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10" yWindow="195" windowWidth="21840" windowHeight="564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典型户型修正" sheetId="31" state="hidden" r:id="rId34"/>
    <sheet name="基准地价（汇总）" sheetId="76" state="hidden" r:id="rId35"/>
    <sheet name="土地案例" sheetId="80" r:id="rId36"/>
    <sheet name="基准地价修正" sheetId="43"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4" i="74" l="1"/>
  <c r="B14" i="74"/>
  <c r="C6" i="68" l="1"/>
  <c r="I34" i="40"/>
  <c r="I7" i="40"/>
  <c r="I5" i="40"/>
  <c r="G41" i="40"/>
  <c r="E66" i="40"/>
  <c r="F66" i="40" s="1"/>
  <c r="G66" i="40" s="1"/>
  <c r="H66" i="40" s="1"/>
  <c r="I66" i="40" s="1"/>
  <c r="J66" i="40" s="1"/>
  <c r="K66" i="40" s="1"/>
  <c r="L66" i="40" s="1"/>
  <c r="M66" i="40" s="1"/>
  <c r="D66" i="40"/>
  <c r="E41" i="40"/>
  <c r="G34" i="40"/>
  <c r="E34" i="40"/>
  <c r="C34" i="40"/>
  <c r="C10" i="40"/>
  <c r="C11" i="40"/>
  <c r="G7" i="40"/>
  <c r="E7" i="40"/>
  <c r="G5" i="40"/>
  <c r="E5" i="40"/>
  <c r="L14" i="1" l="1"/>
  <c r="L7" i="1"/>
  <c r="T24" i="1"/>
  <c r="G84" i="43" l="1"/>
  <c r="G85" i="43"/>
  <c r="G86" i="43"/>
  <c r="G87" i="43"/>
  <c r="G88" i="43"/>
  <c r="G89" i="43"/>
  <c r="G90" i="43"/>
  <c r="G83" i="43"/>
  <c r="D33" i="43"/>
  <c r="S24" i="1"/>
  <c r="U22" i="1"/>
  <c r="U23" i="1"/>
  <c r="U21" i="1"/>
  <c r="S23" i="1"/>
  <c r="S22" i="1"/>
  <c r="S21" i="1"/>
  <c r="Q7" i="1"/>
  <c r="N14" i="1"/>
  <c r="N7" i="1"/>
  <c r="F13" i="4"/>
  <c r="B59" i="1"/>
  <c r="G20" i="6"/>
  <c r="F19" i="6"/>
  <c r="AN17" i="3"/>
  <c r="AL15" i="3"/>
  <c r="U24" i="1" l="1"/>
  <c r="C11" i="4" l="1"/>
  <c r="B6" i="4"/>
  <c r="D3" i="4" l="1"/>
  <c r="E8" i="1" l="1"/>
  <c r="E9" i="1"/>
  <c r="E10" i="1"/>
  <c r="E11" i="1"/>
  <c r="E12" i="1"/>
  <c r="E13" i="1"/>
  <c r="P26" i="79" l="1"/>
  <c r="P27" i="79"/>
  <c r="L26" i="79"/>
  <c r="M26" i="79"/>
  <c r="N26" i="79"/>
  <c r="L27" i="79"/>
  <c r="M27" i="79"/>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6" i="78" l="1"/>
  <c r="C7"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M29" i="79"/>
  <c r="L29" i="79"/>
  <c r="I29" i="79"/>
  <c r="AD29" i="79" s="1"/>
  <c r="AB25" i="79"/>
  <c r="AA25" i="79"/>
  <c r="Z25" i="79"/>
  <c r="N25" i="79"/>
  <c r="M25" i="79"/>
  <c r="L25" i="79"/>
  <c r="I25" i="79"/>
  <c r="AD25" i="79" s="1"/>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N9" i="79"/>
  <c r="M9" i="79"/>
  <c r="L9" i="79"/>
  <c r="K9" i="79"/>
  <c r="I9" i="79"/>
  <c r="AC5" i="79"/>
  <c r="AB5" i="79"/>
  <c r="AA5" i="79"/>
  <c r="AD5" i="79" s="1"/>
  <c r="Z5" i="79"/>
  <c r="Y5" i="79"/>
  <c r="P5" i="79"/>
  <c r="O5" i="79"/>
  <c r="N5" i="79"/>
  <c r="M5" i="79"/>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T26" i="79" l="1"/>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18" i="36"/>
  <c r="U18" i="36"/>
  <c r="S21" i="34"/>
  <c r="H25" i="40"/>
  <c r="AB25" i="40" s="1"/>
  <c r="J25" i="40"/>
  <c r="AC25" i="40" s="1"/>
  <c r="H29" i="39"/>
  <c r="AB29" i="39" s="1"/>
  <c r="J29" i="39"/>
  <c r="AC29" i="39" s="1"/>
  <c r="G66" i="36"/>
  <c r="J18" i="36"/>
  <c r="F68" i="35"/>
  <c r="H18" i="35"/>
  <c r="S18" i="35"/>
  <c r="G68" i="35"/>
  <c r="J18" i="35"/>
  <c r="F77" i="37"/>
  <c r="H21" i="37"/>
  <c r="F21" i="37"/>
  <c r="F84" i="34"/>
  <c r="H21" i="34"/>
  <c r="F83" i="33"/>
  <c r="H21" i="33"/>
  <c r="F21" i="33"/>
  <c r="E83" i="21"/>
  <c r="S21" i="21"/>
  <c r="H1" i="69"/>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E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J39" i="40"/>
  <c r="W39" i="40" s="1"/>
  <c r="B116" i="40"/>
  <c r="F38" i="40"/>
  <c r="AA38" i="40" s="1"/>
  <c r="D115" i="40"/>
  <c r="E115" i="40" s="1"/>
  <c r="F115" i="40" s="1"/>
  <c r="G115" i="40" s="1"/>
  <c r="H115" i="40" s="1"/>
  <c r="I115" i="40" s="1"/>
  <c r="J115" i="40" s="1"/>
  <c r="K115" i="40" s="1"/>
  <c r="L115" i="40" s="1"/>
  <c r="M115" i="40" s="1"/>
  <c r="D113" i="40"/>
  <c r="E113" i="40"/>
  <c r="F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D90" i="40"/>
  <c r="E90" i="40" s="1"/>
  <c r="F90" i="40" s="1"/>
  <c r="G90" i="40" s="1"/>
  <c r="D88" i="40"/>
  <c r="E88" i="40" s="1"/>
  <c r="F88" i="40" s="1"/>
  <c r="G88" i="40" s="1"/>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c r="Q36" i="40"/>
  <c r="Z36" i="40"/>
  <c r="Q35" i="40"/>
  <c r="Z35" i="40"/>
  <c r="Q34" i="40"/>
  <c r="Z34" i="40"/>
  <c r="J34" i="40"/>
  <c r="AC34" i="40" s="1"/>
  <c r="H34" i="40"/>
  <c r="AB34" i="40" s="1"/>
  <c r="F34" i="40"/>
  <c r="AA34" i="40" s="1"/>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S9" i="40" s="1"/>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s="1"/>
  <c r="H11" i="40"/>
  <c r="AB11" i="40" s="1"/>
  <c r="AB39" i="40"/>
  <c r="U9" i="40"/>
  <c r="S40" i="40"/>
  <c r="W31" i="40"/>
  <c r="S38"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F21" i="40"/>
  <c r="AA21" i="40" s="1"/>
  <c r="J21" i="40"/>
  <c r="W21" i="40" s="1"/>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s="1"/>
  <c r="F35" i="40"/>
  <c r="AA35" i="40" s="1"/>
  <c r="H17" i="40"/>
  <c r="U17" i="40" s="1"/>
  <c r="J15" i="40"/>
  <c r="W15" i="40" s="1"/>
  <c r="J11" i="40"/>
  <c r="W11" i="40" s="1"/>
  <c r="AB8" i="39"/>
  <c r="AB12" i="33"/>
  <c r="AC12" i="34"/>
  <c r="AA12" i="34"/>
  <c r="AB12" i="35"/>
  <c r="AB12" i="36"/>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s="1"/>
  <c r="H28" i="40"/>
  <c r="U28" i="40" s="1"/>
  <c r="F17" i="40"/>
  <c r="AA17" i="40" s="1"/>
  <c r="J17" i="40"/>
  <c r="W17" i="40" s="1"/>
  <c r="F15" i="40"/>
  <c r="S15" i="40" s="1"/>
  <c r="H15" i="40"/>
  <c r="AB15" i="40" s="1"/>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s="1"/>
  <c r="AA29" i="35"/>
  <c r="AA42" i="34"/>
  <c r="S42" i="34"/>
  <c r="AC38" i="34"/>
  <c r="AA38" i="34"/>
  <c r="J37" i="34"/>
  <c r="AC37" i="34" s="1"/>
  <c r="J11" i="33"/>
  <c r="W11" i="33" s="1"/>
  <c r="S28" i="34"/>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s="1"/>
  <c r="F33" i="40"/>
  <c r="AA33" i="40" s="1"/>
  <c r="H33" i="40"/>
  <c r="U33" i="40" s="1"/>
  <c r="J35" i="40"/>
  <c r="AC35" i="40" s="1"/>
  <c r="J37" i="40"/>
  <c r="AC37" i="40" s="1"/>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s="1"/>
  <c r="AC12" i="37"/>
  <c r="F94" i="37"/>
  <c r="G94" i="37"/>
  <c r="H94" i="37"/>
  <c r="I94" i="37"/>
  <c r="J94" i="37"/>
  <c r="K94" i="37"/>
  <c r="L94" i="37"/>
  <c r="M94" i="37"/>
  <c r="H31" i="37"/>
  <c r="U31" i="37"/>
  <c r="F71" i="37"/>
  <c r="G71" i="37"/>
  <c r="J15" i="37"/>
  <c r="W15" i="37"/>
  <c r="H5" i="3"/>
  <c r="AA25" i="21"/>
  <c r="H19" i="40"/>
  <c r="U19"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AZ380" i="3"/>
  <c r="AZ384" i="3"/>
  <c r="AZ388" i="3"/>
  <c r="AZ392" i="3"/>
  <c r="AZ396" i="3"/>
  <c r="AZ394" i="3"/>
  <c r="AZ499" i="3"/>
  <c r="AZ509" i="3"/>
  <c r="G509" i="3"/>
  <c r="BL493" i="3"/>
  <c r="AZ491" i="3"/>
  <c r="AZ376" i="3"/>
  <c r="AZ390" i="3"/>
  <c r="AZ382" i="3"/>
  <c r="AZ493" i="3"/>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H35" i="40"/>
  <c r="AB35" i="40" s="1"/>
  <c r="AC29" i="35"/>
  <c r="W29" i="35"/>
  <c r="H35" i="37"/>
  <c r="U35" i="37"/>
  <c r="AC14" i="35"/>
  <c r="H20" i="35"/>
  <c r="U20" i="35"/>
  <c r="F20" i="35"/>
  <c r="AA20" i="35"/>
  <c r="AB23" i="35"/>
  <c r="AB29" i="36"/>
  <c r="U29" i="36"/>
  <c r="H32" i="37"/>
  <c r="AB32" i="37"/>
  <c r="F96" i="37"/>
  <c r="H27" i="40"/>
  <c r="U27" i="40" s="1"/>
  <c r="J27" i="40"/>
  <c r="AC27" i="40" s="1"/>
  <c r="F27" i="40"/>
  <c r="S27" i="40" s="1"/>
  <c r="J30" i="40"/>
  <c r="AC30" i="40" s="1"/>
  <c r="F30" i="40"/>
  <c r="AA30" i="40" s="1"/>
  <c r="S31" i="39"/>
  <c r="E98" i="40"/>
  <c r="F98" i="40"/>
  <c r="G98" i="40" s="1"/>
  <c r="H98" i="40" s="1"/>
  <c r="I98" i="40" s="1"/>
  <c r="J98" i="40" s="1"/>
  <c r="K98" i="40" s="1"/>
  <c r="L98" i="40" s="1"/>
  <c r="M98" i="40" s="1"/>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AA39" i="40" s="1"/>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AA32" i="40"/>
  <c r="S17" i="40"/>
  <c r="AC17" i="40"/>
  <c r="S30" i="40"/>
  <c r="S28" i="40"/>
  <c r="AA27"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L17" i="3"/>
  <c r="AZ17" i="3"/>
  <c r="BL13" i="3"/>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U32" i="40"/>
  <c r="AB31" i="40"/>
  <c r="S37" i="40"/>
  <c r="AB28" i="40"/>
  <c r="W28" i="40"/>
  <c r="W34" i="40"/>
  <c r="W37" i="40"/>
  <c r="AC14" i="40"/>
  <c r="S13" i="40"/>
  <c r="S33" i="40"/>
  <c r="AA15" i="40"/>
  <c r="U11" i="40"/>
  <c r="S31" i="40"/>
  <c r="AB13"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H112" i="9"/>
  <c r="C8" i="74" s="1"/>
  <c r="H111" i="9"/>
  <c r="D126" i="9" s="1"/>
  <c r="AD3" i="71"/>
  <c r="J1" i="73"/>
  <c r="H69" i="43"/>
  <c r="H50" i="43"/>
  <c r="C24" i="12"/>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43" i="15"/>
  <c r="M24" i="15"/>
  <c r="F7" i="15"/>
  <c r="E11" i="76"/>
  <c r="M23" i="15"/>
  <c r="M6" i="15"/>
  <c r="F9" i="15"/>
  <c r="M28" i="67"/>
  <c r="B13" i="76"/>
  <c r="M26" i="15"/>
  <c r="J15" i="67"/>
  <c r="F9" i="67"/>
  <c r="AO13" i="1"/>
  <c r="F38" i="15"/>
  <c r="F16" i="67"/>
  <c r="E8" i="76"/>
  <c r="C76" i="67"/>
  <c r="B8" i="76"/>
  <c r="M22" i="67"/>
  <c r="B9" i="76"/>
  <c r="E10" i="76"/>
  <c r="F38" i="67"/>
  <c r="B11" i="76"/>
  <c r="L47" i="67"/>
  <c r="F6" i="15"/>
  <c r="E2" i="69"/>
  <c r="L47" i="15"/>
  <c r="F43" i="67"/>
  <c r="F3" i="73"/>
  <c r="M28" i="15"/>
  <c r="F5" i="73"/>
  <c r="F37" i="15"/>
  <c r="F13" i="15"/>
  <c r="M8" i="15"/>
  <c r="B7" i="76"/>
  <c r="F42" i="67"/>
  <c r="F6" i="73"/>
  <c r="E12" i="76"/>
  <c r="F26" i="67"/>
  <c r="F7" i="73"/>
  <c r="M9" i="67"/>
  <c r="B12" i="76"/>
  <c r="D7" i="73"/>
  <c r="F8" i="15"/>
  <c r="F37" i="67"/>
  <c r="F13" i="67"/>
  <c r="M8" i="67"/>
  <c r="M26" i="67"/>
  <c r="F36" i="15"/>
  <c r="L48" i="15"/>
  <c r="F40" i="67"/>
  <c r="E9" i="76"/>
  <c r="F20" i="31"/>
  <c r="E7" i="76"/>
  <c r="F16" i="15"/>
  <c r="F42" i="15"/>
  <c r="M9" i="15"/>
  <c r="F36" i="67"/>
  <c r="D3" i="73"/>
  <c r="F8" i="67"/>
  <c r="M29" i="15"/>
  <c r="F40" i="15"/>
  <c r="F6" i="67"/>
  <c r="J15" i="15"/>
  <c r="M23" i="67"/>
  <c r="M22" i="15"/>
  <c r="E2" i="68"/>
  <c r="M24" i="67"/>
  <c r="F26" i="15"/>
  <c r="M6" i="67"/>
  <c r="C76" i="15"/>
  <c r="F7" i="67"/>
  <c r="D4" i="73"/>
  <c r="L48" i="67"/>
  <c r="B10" i="76"/>
  <c r="D6" i="73"/>
  <c r="M29" i="67"/>
  <c r="F4" i="73"/>
  <c r="D5" i="73"/>
  <c r="E13" i="76"/>
  <c r="W38" i="40" l="1"/>
  <c r="U40" i="40"/>
  <c r="U38" i="40"/>
  <c r="AC40" i="40"/>
  <c r="H36" i="40"/>
  <c r="AB36" i="40" s="1"/>
  <c r="J36" i="40"/>
  <c r="W36" i="40" s="1"/>
  <c r="G113" i="40"/>
  <c r="H113" i="40" s="1"/>
  <c r="I113" i="40" s="1"/>
  <c r="J113" i="40" s="1"/>
  <c r="K113" i="40" s="1"/>
  <c r="L113" i="40" s="1"/>
  <c r="M113" i="40" s="1"/>
  <c r="F36" i="40"/>
  <c r="U36" i="40"/>
  <c r="AC36" i="40"/>
  <c r="U35" i="40"/>
  <c r="S35" i="40"/>
  <c r="W35" i="40"/>
  <c r="S34" i="40"/>
  <c r="AA9" i="40"/>
  <c r="AC9" i="40"/>
  <c r="U34" i="40"/>
  <c r="W32" i="40"/>
  <c r="AC32" i="40"/>
  <c r="W27" i="40"/>
  <c r="AB27" i="40"/>
  <c r="U25" i="40"/>
  <c r="W25" i="40"/>
  <c r="S25" i="40"/>
  <c r="F92" i="40"/>
  <c r="G92" i="40" s="1"/>
  <c r="J23" i="40"/>
  <c r="H23" i="40"/>
  <c r="F23" i="40"/>
  <c r="AA23" i="40" s="1"/>
  <c r="S23" i="40"/>
  <c r="U21" i="40"/>
  <c r="AC21" i="40"/>
  <c r="S21" i="40"/>
  <c r="W19" i="40"/>
  <c r="AB19" i="40"/>
  <c r="AA19" i="40"/>
  <c r="AC15" i="40"/>
  <c r="U15" i="40"/>
  <c r="S11" i="40"/>
  <c r="AC11" i="40"/>
  <c r="W8" i="40"/>
  <c r="C40" i="68"/>
  <c r="C21" i="68"/>
  <c r="C40" i="69"/>
  <c r="F7" i="1"/>
  <c r="G7" i="1" s="1"/>
  <c r="G16" i="1" s="1"/>
  <c r="F10" i="39" s="1"/>
  <c r="C28" i="67"/>
  <c r="AC5" i="3"/>
  <c r="F28" i="6"/>
  <c r="G5" i="3"/>
  <c r="B3" i="3" s="1"/>
  <c r="E82" i="3"/>
  <c r="E66" i="3"/>
  <c r="E94" i="3"/>
  <c r="E369" i="3"/>
  <c r="BA5" i="3"/>
  <c r="BL5" i="3"/>
  <c r="G28" i="6"/>
  <c r="G30" i="6" s="1"/>
  <c r="G31" i="6" s="1"/>
  <c r="F29" i="6"/>
  <c r="D19" i="53"/>
  <c r="B38" i="72" s="1"/>
  <c r="D21" i="53"/>
  <c r="B39" i="72" s="1"/>
  <c r="D16" i="53"/>
  <c r="B34" i="72" s="1"/>
  <c r="K56" i="9"/>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E461" i="3"/>
  <c r="E352" i="3"/>
  <c r="E157" i="3"/>
  <c r="E313" i="3"/>
  <c r="E529" i="3"/>
  <c r="E438" i="3"/>
  <c r="E562" i="3"/>
  <c r="E571" i="3"/>
  <c r="E450" i="3"/>
  <c r="E433" i="3"/>
  <c r="E72" i="3"/>
  <c r="E111" i="3"/>
  <c r="E150" i="3"/>
  <c r="E279" i="3"/>
  <c r="E351" i="3"/>
  <c r="E318" i="3"/>
  <c r="E31" i="3"/>
  <c r="E567" i="3"/>
  <c r="E549" i="3"/>
  <c r="E269" i="3"/>
  <c r="E271" i="3"/>
  <c r="E107" i="3"/>
  <c r="E585" i="3"/>
  <c r="E515" i="3"/>
  <c r="E478" i="3"/>
  <c r="E414" i="3"/>
  <c r="E477" i="3"/>
  <c r="E505" i="3"/>
  <c r="AS6" i="3"/>
  <c r="E403" i="3"/>
  <c r="E476" i="3"/>
  <c r="E546" i="3"/>
  <c r="E447" i="3"/>
  <c r="E71" i="3"/>
  <c r="E27" i="3"/>
  <c r="E92" i="3"/>
  <c r="E162" i="3"/>
  <c r="E126" i="3"/>
  <c r="E186" i="3"/>
  <c r="E272" i="3"/>
  <c r="E210" i="3"/>
  <c r="E291" i="3"/>
  <c r="E331" i="3"/>
  <c r="E317" i="3"/>
  <c r="E384" i="3"/>
  <c r="AM6" i="3"/>
  <c r="E44" i="3"/>
  <c r="E29" i="3"/>
  <c r="E441" i="3"/>
  <c r="E14" i="6"/>
  <c r="E63" i="39" s="1"/>
  <c r="I4" i="6"/>
  <c r="G3" i="43" s="1"/>
  <c r="F26" i="43" s="1"/>
  <c r="E29" i="6"/>
  <c r="K15" i="1" s="1"/>
  <c r="F30" i="6"/>
  <c r="E28" i="6"/>
  <c r="K14" i="1" s="1"/>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48" i="68"/>
  <c r="C30" i="68"/>
  <c r="C77" i="9"/>
  <c r="C74" i="9" s="1"/>
  <c r="C30" i="11"/>
  <c r="C21" i="69"/>
  <c r="J84" i="43"/>
  <c r="J85" i="43"/>
  <c r="J86" i="43"/>
  <c r="J87" i="43"/>
  <c r="J88" i="43"/>
  <c r="D88" i="43" s="1"/>
  <c r="J89" i="43"/>
  <c r="J90" i="43"/>
  <c r="D83" i="43"/>
  <c r="D66" i="43"/>
  <c r="D64" i="43"/>
  <c r="D62" i="43"/>
  <c r="D67" i="43"/>
  <c r="D65" i="43"/>
  <c r="D63" i="43"/>
  <c r="D69" i="43"/>
  <c r="D73" i="43"/>
  <c r="D75" i="43"/>
  <c r="D79" i="43"/>
  <c r="D22" i="67"/>
  <c r="AQ13" i="1"/>
  <c r="Q16" i="1"/>
  <c r="F27" i="69" s="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D9" i="11"/>
  <c r="C9" i="11" s="1"/>
  <c r="D19" i="12"/>
  <c r="C19" i="12" s="1"/>
  <c r="AZ13" i="3"/>
  <c r="AZ5" i="3" s="1"/>
  <c r="O9" i="1"/>
  <c r="P9" i="1" s="1"/>
  <c r="O12" i="1"/>
  <c r="P12" i="1" s="1"/>
  <c r="O8" i="1"/>
  <c r="P8" i="1" s="1"/>
  <c r="H73" i="43"/>
  <c r="H90" i="43"/>
  <c r="C23" i="43"/>
  <c r="O23" i="43"/>
  <c r="I18" i="43"/>
  <c r="E17" i="43" s="1"/>
  <c r="C17" i="43" s="1"/>
  <c r="C24" i="43"/>
  <c r="A1" i="79"/>
  <c r="H55" i="43"/>
  <c r="H86" i="43"/>
  <c r="H87" i="43"/>
  <c r="H89" i="43"/>
  <c r="H88" i="43"/>
  <c r="H84" i="43"/>
  <c r="C69" i="39"/>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N59" i="15"/>
  <c r="L58" i="15"/>
  <c r="F66" i="15"/>
  <c r="Q71" i="67"/>
  <c r="F64" i="15"/>
  <c r="C27" i="67"/>
  <c r="F71" i="67"/>
  <c r="C27" i="15"/>
  <c r="F65" i="15"/>
  <c r="N59" i="67"/>
  <c r="L59" i="67"/>
  <c r="L58" i="67"/>
  <c r="B13" i="70"/>
  <c r="M7" i="67"/>
  <c r="J6" i="67" s="1"/>
  <c r="F50" i="67"/>
  <c r="F68" i="67"/>
  <c r="F64" i="67"/>
  <c r="F68" i="15"/>
  <c r="D9" i="69"/>
  <c r="C36" i="69"/>
  <c r="D9" i="68"/>
  <c r="G1" i="73"/>
  <c r="C16" i="15"/>
  <c r="C16" i="67"/>
  <c r="P6" i="1" l="1"/>
  <c r="C13" i="12" s="1"/>
  <c r="AA36" i="40"/>
  <c r="S36" i="40"/>
  <c r="AC23" i="40"/>
  <c r="W23" i="40"/>
  <c r="AB23" i="40"/>
  <c r="U23" i="40"/>
  <c r="E83" i="43"/>
  <c r="B81" i="43" s="1"/>
  <c r="E18" i="3"/>
  <c r="AT6" i="3"/>
  <c r="E480" i="3"/>
  <c r="E109" i="3"/>
  <c r="E30" i="3"/>
  <c r="E572" i="3"/>
  <c r="E334" i="3"/>
  <c r="E377" i="3"/>
  <c r="E316" i="3"/>
  <c r="E273" i="3"/>
  <c r="E295" i="3"/>
  <c r="E211" i="3"/>
  <c r="E166" i="3"/>
  <c r="E182" i="3"/>
  <c r="E121" i="3"/>
  <c r="E70" i="3"/>
  <c r="E88" i="3"/>
  <c r="E28" i="3"/>
  <c r="E404" i="3"/>
  <c r="E489" i="3"/>
  <c r="E444" i="3"/>
  <c r="E531" i="3"/>
  <c r="E547" i="3"/>
  <c r="E367" i="3"/>
  <c r="E432" i="3"/>
  <c r="E548" i="3"/>
  <c r="E411" i="3"/>
  <c r="U6" i="3"/>
  <c r="E379" i="3"/>
  <c r="E145" i="3"/>
  <c r="E207" i="3"/>
  <c r="E196" i="3"/>
  <c r="E397" i="3"/>
  <c r="E93" i="3"/>
  <c r="E14" i="3"/>
  <c r="E357" i="3"/>
  <c r="E257" i="3"/>
  <c r="E208" i="3"/>
  <c r="E168" i="3"/>
  <c r="E54" i="3"/>
  <c r="E475" i="3"/>
  <c r="E471" i="3"/>
  <c r="E537" i="3"/>
  <c r="W6" i="3"/>
  <c r="E288" i="3"/>
  <c r="E474" i="3"/>
  <c r="E532" i="3"/>
  <c r="E224" i="3"/>
  <c r="E306" i="3"/>
  <c r="E136" i="3"/>
  <c r="E122" i="3"/>
  <c r="E470" i="3"/>
  <c r="E163" i="3"/>
  <c r="Y6" i="3"/>
  <c r="E460" i="3"/>
  <c r="E581" i="3"/>
  <c r="E557" i="3"/>
  <c r="E558" i="3"/>
  <c r="E345" i="3"/>
  <c r="E443" i="3"/>
  <c r="E400" i="3"/>
  <c r="P6" i="3"/>
  <c r="E485" i="3"/>
  <c r="E448" i="3"/>
  <c r="AO6" i="3"/>
  <c r="AG6" i="3"/>
  <c r="Z6" i="3"/>
  <c r="E576" i="3"/>
  <c r="E327" i="3"/>
  <c r="E164" i="3"/>
  <c r="E204" i="3"/>
  <c r="E252" i="3"/>
  <c r="E89" i="3"/>
  <c r="E236" i="3"/>
  <c r="E368" i="3"/>
  <c r="I6" i="3"/>
  <c r="E227" i="3"/>
  <c r="E32" i="3"/>
  <c r="E74" i="3"/>
  <c r="E580" i="3"/>
  <c r="E362" i="3"/>
  <c r="E394" i="3"/>
  <c r="E315" i="3"/>
  <c r="E274" i="3"/>
  <c r="E214" i="3"/>
  <c r="E256" i="3"/>
  <c r="E171" i="3"/>
  <c r="E203" i="3"/>
  <c r="E146" i="3"/>
  <c r="E73" i="3"/>
  <c r="E106" i="3"/>
  <c r="E55" i="3"/>
  <c r="E454" i="3"/>
  <c r="E496" i="3"/>
  <c r="E468" i="3"/>
  <c r="E429" i="3"/>
  <c r="E577" i="3"/>
  <c r="AE6" i="3"/>
  <c r="E587" i="3"/>
  <c r="E344" i="3"/>
  <c r="E457" i="3"/>
  <c r="E527" i="3"/>
  <c r="E458" i="3"/>
  <c r="E573" i="3"/>
  <c r="E519" i="3"/>
  <c r="E193" i="3"/>
  <c r="E45" i="3"/>
  <c r="E99" i="3"/>
  <c r="E511" i="3"/>
  <c r="E314" i="3"/>
  <c r="E85" i="3"/>
  <c r="E453" i="3"/>
  <c r="E253" i="3"/>
  <c r="E408" i="3"/>
  <c r="E225" i="3"/>
  <c r="E98" i="3"/>
  <c r="E307" i="3"/>
  <c r="E127" i="3"/>
  <c r="E179" i="3"/>
  <c r="E58" i="3"/>
  <c r="E141" i="3"/>
  <c r="E465" i="3"/>
  <c r="E424" i="3"/>
  <c r="E406" i="3"/>
  <c r="E481" i="3"/>
  <c r="E472" i="3"/>
  <c r="E437" i="3"/>
  <c r="E560" i="3"/>
  <c r="Q6" i="3"/>
  <c r="K6" i="3"/>
  <c r="E330" i="3"/>
  <c r="E133" i="3"/>
  <c r="E177" i="3"/>
  <c r="E277" i="3"/>
  <c r="E120" i="3"/>
  <c r="E228" i="3"/>
  <c r="E262" i="3"/>
  <c r="AK6" i="3"/>
  <c r="E128" i="3"/>
  <c r="E545" i="3"/>
  <c r="E434" i="3"/>
  <c r="E181" i="3"/>
  <c r="E238" i="3"/>
  <c r="E568" i="3"/>
  <c r="E156" i="3"/>
  <c r="E77" i="3"/>
  <c r="E296" i="3"/>
  <c r="E405" i="3"/>
  <c r="E497" i="3"/>
  <c r="E41" i="3"/>
  <c r="E391" i="3"/>
  <c r="E412" i="3"/>
  <c r="E138" i="3"/>
  <c r="E209" i="3"/>
  <c r="E354" i="3"/>
  <c r="E48" i="3"/>
  <c r="E284" i="3"/>
  <c r="E19" i="3"/>
  <c r="E323" i="3"/>
  <c r="E521" i="3"/>
  <c r="E155" i="3"/>
  <c r="E398" i="3"/>
  <c r="E422" i="3"/>
  <c r="E197" i="3"/>
  <c r="E534" i="3"/>
  <c r="E469" i="3"/>
  <c r="E360" i="3"/>
  <c r="E494" i="3"/>
  <c r="E26" i="3"/>
  <c r="E198" i="3"/>
  <c r="E243" i="3"/>
  <c r="AL6" i="3"/>
  <c r="E428" i="3"/>
  <c r="E47" i="3"/>
  <c r="E65" i="3"/>
  <c r="E195" i="3"/>
  <c r="E248" i="3"/>
  <c r="E266" i="3"/>
  <c r="E386" i="3"/>
  <c r="E584" i="3"/>
  <c r="E24" i="3"/>
  <c r="E87" i="3"/>
  <c r="E250" i="3"/>
  <c r="E341" i="3"/>
  <c r="E51" i="3"/>
  <c r="E154" i="3"/>
  <c r="E222" i="3"/>
  <c r="E373" i="3"/>
  <c r="E446" i="3"/>
  <c r="E462" i="3"/>
  <c r="E348" i="3"/>
  <c r="E90" i="3"/>
  <c r="E566" i="3"/>
  <c r="E552" i="3"/>
  <c r="E165" i="3"/>
  <c r="E202" i="3"/>
  <c r="E205" i="3"/>
  <c r="E140" i="3"/>
  <c r="E173" i="3"/>
  <c r="E525" i="3"/>
  <c r="T6" i="3"/>
  <c r="E456" i="3"/>
  <c r="E512" i="3"/>
  <c r="E451" i="3"/>
  <c r="E556" i="3"/>
  <c r="E13" i="3"/>
  <c r="E452" i="3"/>
  <c r="E420" i="3"/>
  <c r="E104" i="3"/>
  <c r="E115" i="3"/>
  <c r="E139" i="3"/>
  <c r="E281" i="3"/>
  <c r="E332" i="3"/>
  <c r="E356" i="3"/>
  <c r="E42" i="3"/>
  <c r="E75" i="3"/>
  <c r="E482"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E425" i="3"/>
  <c r="E484" i="3"/>
  <c r="E488" i="3"/>
  <c r="E375" i="3"/>
  <c r="E297" i="3"/>
  <c r="E131" i="3"/>
  <c r="E436" i="3"/>
  <c r="E582" i="3"/>
  <c r="E459" i="3"/>
  <c r="E464" i="3"/>
  <c r="AD6" i="3"/>
  <c r="E149" i="3"/>
  <c r="E105" i="3"/>
  <c r="E483" i="3"/>
  <c r="E60" i="3"/>
  <c r="E110" i="3"/>
  <c r="E504" i="3"/>
  <c r="E378" i="3"/>
  <c r="E259" i="3"/>
  <c r="E240" i="3"/>
  <c r="E187" i="3"/>
  <c r="E57" i="3"/>
  <c r="E39" i="3"/>
  <c r="E520" i="3"/>
  <c r="E413" i="3"/>
  <c r="E500" i="3"/>
  <c r="E374" i="3"/>
  <c r="E416" i="3"/>
  <c r="E487" i="3"/>
  <c r="E421" i="3"/>
  <c r="E542" i="3"/>
  <c r="E312" i="3"/>
  <c r="E167" i="3"/>
  <c r="E244" i="3"/>
  <c r="E510" i="3"/>
  <c r="E543" i="3"/>
  <c r="AH6" i="3"/>
  <c r="E25" i="3"/>
  <c r="E346" i="3"/>
  <c r="E15" i="3"/>
  <c r="E409" i="3"/>
  <c r="E59" i="3"/>
  <c r="E76" i="3"/>
  <c r="E544" i="3"/>
  <c r="E389" i="3"/>
  <c r="E349" i="3"/>
  <c r="E363" i="3"/>
  <c r="E292" i="3"/>
  <c r="E241" i="3"/>
  <c r="E258" i="3"/>
  <c r="E192" i="3"/>
  <c r="E132" i="3"/>
  <c r="E152" i="3"/>
  <c r="E95" i="3"/>
  <c r="E37" i="3"/>
  <c r="E56" i="3"/>
  <c r="E479" i="3"/>
  <c r="E417" i="3"/>
  <c r="E491" i="3"/>
  <c r="E435" i="3"/>
  <c r="E517" i="3"/>
  <c r="E554" i="3"/>
  <c r="AP6" i="3"/>
  <c r="I3" i="6"/>
  <c r="E255" i="3"/>
  <c r="E449" i="3"/>
  <c r="E430" i="3"/>
  <c r="E541" i="3"/>
  <c r="E466" i="3"/>
  <c r="E442" i="3"/>
  <c r="E502" i="3"/>
  <c r="R6" i="3"/>
  <c r="E499" i="3"/>
  <c r="E575" i="3"/>
  <c r="E286" i="3"/>
  <c r="E199" i="3"/>
  <c r="E212" i="3"/>
  <c r="E148" i="3"/>
  <c r="E536" i="3"/>
  <c r="E539" i="3"/>
  <c r="E223" i="3"/>
  <c r="E493" i="3"/>
  <c r="E486" i="3"/>
  <c r="E490" i="3"/>
  <c r="E498" i="3"/>
  <c r="E463" i="3"/>
  <c r="E178" i="3"/>
  <c r="E226" i="3"/>
  <c r="E372" i="3"/>
  <c r="E540" i="3"/>
  <c r="E16" i="3"/>
  <c r="E329" i="3"/>
  <c r="E116" i="3"/>
  <c r="E564" i="3"/>
  <c r="E507" i="3"/>
  <c r="E376" i="3"/>
  <c r="E419" i="3"/>
  <c r="E40" i="3"/>
  <c r="E119" i="3"/>
  <c r="E276" i="3"/>
  <c r="L6" i="3"/>
  <c r="E473"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188" i="3"/>
  <c r="E393" i="3"/>
  <c r="E427" i="3"/>
  <c r="E440" i="3"/>
  <c r="J6" i="3"/>
  <c r="E401" i="3"/>
  <c r="E108" i="3"/>
  <c r="E242" i="3"/>
  <c r="E333" i="3"/>
  <c r="E43" i="3"/>
  <c r="E455" i="3"/>
  <c r="E96" i="3"/>
  <c r="E78" i="3"/>
  <c r="E190" i="3"/>
  <c r="E174" i="3"/>
  <c r="E220" i="3"/>
  <c r="E275" i="3"/>
  <c r="E235" i="3"/>
  <c r="E324" i="3"/>
  <c r="E342" i="3"/>
  <c r="E522" i="3"/>
  <c r="E35" i="3"/>
  <c r="E34" i="3"/>
  <c r="E206" i="3"/>
  <c r="E251" i="3"/>
  <c r="E370" i="3"/>
  <c r="E102" i="3"/>
  <c r="E113" i="3"/>
  <c r="E287" i="3"/>
  <c r="E326" i="3"/>
  <c r="E22" i="3"/>
  <c r="E129" i="3"/>
  <c r="E383" i="3"/>
  <c r="E86" i="3"/>
  <c r="E49" i="3"/>
  <c r="E232" i="3"/>
  <c r="AF6" i="3"/>
  <c r="E80" i="3"/>
  <c r="E158" i="3"/>
  <c r="E308" i="3"/>
  <c r="E83" i="3"/>
  <c r="E59" i="40"/>
  <c r="K16" i="1"/>
  <c r="N94" i="46"/>
  <c r="E26" i="43"/>
  <c r="J26" i="43"/>
  <c r="H26" i="43"/>
  <c r="N370" i="46"/>
  <c r="G26" i="43"/>
  <c r="D18" i="53"/>
  <c r="B35" i="72" s="1"/>
  <c r="C7" i="74"/>
  <c r="F7" i="36"/>
  <c r="J7" i="37"/>
  <c r="H7" i="36"/>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F28" i="12"/>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J18" i="67"/>
  <c r="C32" i="15"/>
  <c r="F1" i="67"/>
  <c r="Q52" i="67"/>
  <c r="Q60" i="15"/>
  <c r="Q73" i="15"/>
  <c r="Q61" i="67"/>
  <c r="Q74" i="67"/>
  <c r="AE11" i="1"/>
  <c r="AE9" i="1"/>
  <c r="F27" i="68"/>
  <c r="AE7" i="1"/>
  <c r="AE8" i="1"/>
  <c r="AE12" i="1"/>
  <c r="AE10" i="1"/>
  <c r="F41" i="67"/>
  <c r="L37" i="43" l="1"/>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M27" i="15"/>
  <c r="D116" i="43" l="1"/>
  <c r="P37" i="43"/>
  <c r="M37" i="43"/>
  <c r="Q37" i="43"/>
  <c r="O37" i="43"/>
  <c r="N37" i="43"/>
  <c r="M21" i="6"/>
  <c r="I21" i="6" s="1"/>
  <c r="S21" i="6" s="1"/>
  <c r="E6" i="70"/>
  <c r="C34" i="43"/>
  <c r="E34" i="43" s="1"/>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B21" i="1" s="1"/>
  <c r="C44" i="68" s="1"/>
  <c r="D41" i="68" s="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66" i="67"/>
  <c r="C60" i="67"/>
  <c r="D10" i="69"/>
  <c r="C34" i="69"/>
  <c r="D10" i="68"/>
  <c r="C14" i="67"/>
  <c r="C17" i="67"/>
  <c r="C17" i="15"/>
  <c r="C24" i="11" l="1"/>
  <c r="C44" i="11"/>
  <c r="D41" i="11" s="1"/>
  <c r="B23" i="1"/>
  <c r="B24" i="1"/>
  <c r="C29" i="11"/>
  <c r="D27" i="11" s="1"/>
  <c r="C29" i="68"/>
  <c r="D27" i="68" s="1"/>
  <c r="C28" i="11"/>
  <c r="C27" i="11" s="1"/>
  <c r="C18" i="67"/>
  <c r="C15" i="67"/>
  <c r="H23" i="6"/>
  <c r="C30" i="43"/>
  <c r="C31" i="43"/>
  <c r="H20" i="6"/>
  <c r="R20" i="6" s="1"/>
  <c r="R7" i="1" s="1"/>
  <c r="C38" i="69"/>
  <c r="C35" i="69"/>
  <c r="E12" i="70"/>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11"/>
  <c r="C4" i="52"/>
  <c r="B45" i="72" s="1"/>
  <c r="A10" i="51"/>
  <c r="B9" i="72" s="1"/>
  <c r="A7" i="51"/>
  <c r="B7" i="72" s="1"/>
  <c r="R25" i="6"/>
  <c r="R12" i="1" s="1"/>
  <c r="C10" i="68"/>
  <c r="B29" i="1" s="1"/>
  <c r="C8" i="68" s="1"/>
  <c r="D19" i="68"/>
  <c r="B2" i="43"/>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33" i="67"/>
  <c r="J19" i="67"/>
  <c r="C14" i="15"/>
  <c r="E6" i="76"/>
  <c r="B6" i="76"/>
  <c r="C18" i="12" l="1"/>
  <c r="F34" i="11"/>
  <c r="C37" i="11" s="1"/>
  <c r="J53" i="15"/>
  <c r="B3" i="43"/>
  <c r="C7" i="68"/>
  <c r="C5" i="68" s="1"/>
  <c r="C23" i="68" s="1"/>
  <c r="F50" i="68"/>
  <c r="F50" i="69"/>
  <c r="F34" i="68"/>
  <c r="M59" i="15"/>
  <c r="L59" i="15" s="1"/>
  <c r="M59" i="67"/>
  <c r="C29" i="12"/>
  <c r="D28" i="12" s="1"/>
  <c r="C26" i="12"/>
  <c r="D25" i="12" s="1"/>
  <c r="C26" i="11"/>
  <c r="D22" i="11" s="1"/>
  <c r="C23" i="11"/>
  <c r="C25" i="11"/>
  <c r="C26" i="68"/>
  <c r="D22" i="68" s="1"/>
  <c r="D8" i="71"/>
  <c r="C7" i="71"/>
  <c r="C19" i="67"/>
  <c r="C20" i="67" s="1"/>
  <c r="C26" i="67" s="1"/>
  <c r="T16" i="1"/>
  <c r="C18" i="15"/>
  <c r="C15" i="15"/>
  <c r="C36" i="11"/>
  <c r="C34" i="11"/>
  <c r="C14" i="12"/>
  <c r="C16" i="12" s="1"/>
  <c r="H19" i="6"/>
  <c r="S19" i="6"/>
  <c r="S27" i="6" s="1"/>
  <c r="I27" i="6"/>
  <c r="C19" i="68"/>
  <c r="D37" i="68"/>
  <c r="C19" i="69"/>
  <c r="C24" i="69" s="1"/>
  <c r="D37" i="69"/>
  <c r="C37" i="69" s="1"/>
  <c r="C33" i="69" s="1"/>
  <c r="I5" i="6"/>
  <c r="I6" i="6"/>
  <c r="C23" i="69"/>
  <c r="E2" i="76"/>
  <c r="B2" i="76"/>
  <c r="I69" i="39"/>
  <c r="J67" i="39"/>
  <c r="D9" i="71"/>
  <c r="I63" i="40"/>
  <c r="H65" i="40"/>
  <c r="I58" i="21"/>
  <c r="J58" i="21" s="1"/>
  <c r="K58" i="21" s="1"/>
  <c r="L58" i="21" s="1"/>
  <c r="M58" i="21" s="1"/>
  <c r="N58" i="21" s="1"/>
  <c r="O58" i="21" s="1"/>
  <c r="H7" i="21" s="1"/>
  <c r="F7" i="21"/>
  <c r="J48" i="35"/>
  <c r="C21" i="12" l="1"/>
  <c r="C22" i="12" s="1"/>
  <c r="L56" i="15"/>
  <c r="Q52" i="15"/>
  <c r="F1" i="15"/>
  <c r="Q74" i="15"/>
  <c r="Q61" i="15"/>
  <c r="C37" i="68"/>
  <c r="C22" i="11"/>
  <c r="C31" i="11" s="1"/>
  <c r="C36" i="68"/>
  <c r="C34" i="68"/>
  <c r="J7" i="21"/>
  <c r="D7" i="71"/>
  <c r="C6" i="71"/>
  <c r="C23" i="67"/>
  <c r="C29" i="67" s="1"/>
  <c r="J59" i="67" s="1"/>
  <c r="J60" i="67" s="1"/>
  <c r="Q48" i="67" s="1"/>
  <c r="C19" i="15"/>
  <c r="C20" i="15" s="1"/>
  <c r="C26" i="15" s="1"/>
  <c r="C38" i="11"/>
  <c r="C35" i="11"/>
  <c r="H27" i="6"/>
  <c r="R19" i="6"/>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AC7" i="21"/>
  <c r="V48" i="21" s="1"/>
  <c r="I48" i="21" s="1"/>
  <c r="W7" i="21"/>
  <c r="AE6" i="1"/>
  <c r="C35" i="68" l="1"/>
  <c r="C38" i="68"/>
  <c r="J7" i="35"/>
  <c r="D6" i="71"/>
  <c r="C5" i="71"/>
  <c r="Q49" i="67"/>
  <c r="J14" i="67"/>
  <c r="J13" i="67" s="1"/>
  <c r="J23" i="67" s="1"/>
  <c r="C36" i="67"/>
  <c r="C57" i="67"/>
  <c r="C64" i="67" s="1"/>
  <c r="C13" i="67"/>
  <c r="Q70" i="67" s="1"/>
  <c r="C33" i="11"/>
  <c r="C39" i="11" s="1"/>
  <c r="C61" i="67"/>
  <c r="C23" i="15"/>
  <c r="C29" i="15" s="1"/>
  <c r="C41" i="69"/>
  <c r="R27" i="6"/>
  <c r="R6" i="1"/>
  <c r="C46" i="69"/>
  <c r="C45" i="69" s="1"/>
  <c r="C25" i="69"/>
  <c r="C22" i="69" s="1"/>
  <c r="C31" i="69" s="1"/>
  <c r="C25" i="68"/>
  <c r="C22" i="68" s="1"/>
  <c r="C31" i="68" s="1"/>
  <c r="L67" i="39"/>
  <c r="K69" i="39"/>
  <c r="W7" i="35"/>
  <c r="AC7" i="35"/>
  <c r="V38" i="35" s="1"/>
  <c r="I38" i="35" s="1"/>
  <c r="J65" i="40"/>
  <c r="K63" i="40"/>
  <c r="I52" i="21"/>
  <c r="J52" i="21" s="1"/>
  <c r="U7" i="35"/>
  <c r="AB7" i="35"/>
  <c r="T38" i="35" s="1"/>
  <c r="G38" i="35" s="1"/>
  <c r="R49" i="21"/>
  <c r="E48" i="21"/>
  <c r="G52" i="21"/>
  <c r="H52" i="21" s="1"/>
  <c r="G53" i="21"/>
  <c r="H53" i="21" s="1"/>
  <c r="F7" i="35"/>
  <c r="F35" i="15"/>
  <c r="F35" i="67"/>
  <c r="F41" i="15"/>
  <c r="M21" i="15"/>
  <c r="M21" i="67"/>
  <c r="F69" i="15" l="1"/>
  <c r="C33" i="68"/>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39" i="68" l="1"/>
  <c r="C43" i="68" s="1"/>
  <c r="C42"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L51" i="67"/>
  <c r="D2" i="21"/>
  <c r="C46" i="68" l="1"/>
  <c r="C45" i="68" s="1"/>
  <c r="C41" i="68"/>
  <c r="L57" i="67"/>
  <c r="L60" i="67" s="1"/>
  <c r="L46" i="67" s="1"/>
  <c r="Q67" i="67"/>
  <c r="C80" i="67"/>
  <c r="C79" i="67" s="1"/>
  <c r="C40" i="67"/>
  <c r="C45" i="67" s="1"/>
  <c r="C56" i="11"/>
  <c r="C57" i="11" s="1"/>
  <c r="B2" i="21"/>
  <c r="B3" i="21" s="1"/>
  <c r="J16" i="15"/>
  <c r="J25" i="15" s="1"/>
  <c r="J26" i="15" s="1"/>
  <c r="J29" i="15" s="1"/>
  <c r="C58" i="15"/>
  <c r="C67" i="15" s="1"/>
  <c r="C68" i="15" s="1"/>
  <c r="C71" i="15" s="1"/>
  <c r="C30" i="15"/>
  <c r="C39" i="15" s="1"/>
  <c r="O67" i="39"/>
  <c r="O69" i="39" s="1"/>
  <c r="N69" i="39"/>
  <c r="F7" i="39"/>
  <c r="C39" i="35"/>
  <c r="C38" i="35"/>
  <c r="N63" i="40"/>
  <c r="M65" i="40"/>
  <c r="E43" i="35"/>
  <c r="F43" i="35" s="1"/>
  <c r="E42" i="35"/>
  <c r="F42" i="35" s="1"/>
  <c r="I43" i="35"/>
  <c r="J43" i="35" s="1"/>
  <c r="D2" i="33"/>
  <c r="Q69" i="15" l="1"/>
  <c r="Q68" i="15" s="1"/>
  <c r="H39" i="15"/>
  <c r="C49" i="68"/>
  <c r="C51" i="68" s="1"/>
  <c r="C52" i="68" s="1"/>
  <c r="B2" i="68" s="1"/>
  <c r="Q65" i="67"/>
  <c r="Q66" i="67"/>
  <c r="Q57" i="67"/>
  <c r="B2" i="33"/>
  <c r="B3" i="33" s="1"/>
  <c r="C83" i="67"/>
  <c r="C82" i="67" s="1"/>
  <c r="Q47" i="67"/>
  <c r="Q53" i="67" s="1"/>
  <c r="C46" i="67"/>
  <c r="Q56" i="67"/>
  <c r="C43" i="67"/>
  <c r="D2" i="67"/>
  <c r="B2" i="67" s="1"/>
  <c r="C80" i="15"/>
  <c r="C79" i="15" s="1"/>
  <c r="C40" i="15"/>
  <c r="C46" i="15" s="1"/>
  <c r="H7" i="39"/>
  <c r="J7" i="39"/>
  <c r="S7" i="39"/>
  <c r="AA7" i="39"/>
  <c r="R47" i="39" s="1"/>
  <c r="O63" i="40"/>
  <c r="O65" i="40" s="1"/>
  <c r="N65" i="40"/>
  <c r="D2" i="35"/>
  <c r="D2" i="37"/>
  <c r="L51" i="15"/>
  <c r="C19" i="9"/>
  <c r="D2" i="34"/>
  <c r="D2" i="36"/>
  <c r="C102" i="9" l="1"/>
  <c r="C21" i="9"/>
  <c r="B3" i="68"/>
  <c r="C57" i="68"/>
  <c r="C56" i="68" s="1"/>
  <c r="Q75" i="67"/>
  <c r="Q62" i="67"/>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D35" i="9"/>
  <c r="D34" i="9"/>
  <c r="AO12" i="1"/>
  <c r="AO7" i="1"/>
  <c r="AO10" i="1"/>
  <c r="AO9" i="1"/>
  <c r="AO8" i="1"/>
  <c r="C20" i="9"/>
  <c r="AO11" i="1"/>
  <c r="C103" i="9" l="1"/>
  <c r="L46" i="15"/>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B3" i="15" l="1"/>
  <c r="C6" i="12" s="1"/>
  <c r="C8" i="12"/>
  <c r="C4" i="12" s="1"/>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1" i="12" l="1"/>
  <c r="C23" i="12"/>
  <c r="C42" i="40"/>
  <c r="C43" i="40"/>
  <c r="E47" i="40"/>
  <c r="F47" i="40" s="1"/>
  <c r="E46" i="40"/>
  <c r="F46" i="40" s="1"/>
  <c r="I47" i="40"/>
  <c r="J47" i="40" s="1"/>
  <c r="C30" i="12" l="1"/>
  <c r="C28" i="12" s="1"/>
  <c r="C27" i="12"/>
  <c r="C25" i="12" s="1"/>
  <c r="B58" i="40"/>
  <c r="F58" i="40" s="1"/>
  <c r="B54" i="40"/>
  <c r="F54" i="40" s="1"/>
  <c r="B53" i="40"/>
  <c r="F53" i="40" s="1"/>
  <c r="B59" i="40"/>
  <c r="F59" i="40" s="1"/>
  <c r="B52" i="40"/>
  <c r="F52" i="40" s="1"/>
  <c r="B56" i="40"/>
  <c r="F56" i="40" s="1"/>
  <c r="B60" i="40"/>
  <c r="F60" i="40" s="1"/>
  <c r="B57" i="40"/>
  <c r="F57" i="40" s="1"/>
  <c r="B51" i="40"/>
  <c r="F51" i="40" s="1"/>
  <c r="F61" i="40" l="1"/>
  <c r="B2" i="40" s="1"/>
  <c r="B3" i="40" s="1"/>
  <c r="C32" i="12"/>
  <c r="B2" i="12" s="1"/>
  <c r="D19" i="9"/>
  <c r="D102" i="9" l="1"/>
  <c r="D21" i="9"/>
  <c r="G19" i="9"/>
  <c r="G21" i="9" s="1"/>
  <c r="D22" i="9"/>
  <c r="B3" i="12"/>
  <c r="D20" i="9"/>
  <c r="D103" i="9" l="1"/>
  <c r="G20" i="9"/>
  <c r="C32" i="9" s="1"/>
  <c r="C35" i="9" s="1"/>
  <c r="C34" i="9" s="1"/>
  <c r="D118" i="9"/>
  <c r="D4" i="52" s="1"/>
  <c r="B47" i="72" s="1"/>
  <c r="D119" i="9" l="1"/>
  <c r="D5" i="52" s="1"/>
  <c r="B49" i="72" s="1"/>
  <c r="H118" i="9"/>
  <c r="F118" i="9"/>
  <c r="G118" i="9" s="1"/>
  <c r="G4" i="52" s="1"/>
  <c r="B52" i="72" s="1"/>
  <c r="I118" i="9"/>
  <c r="F4" i="52"/>
  <c r="B51" i="72" s="1"/>
  <c r="H119" i="9"/>
  <c r="H5" i="52" s="1"/>
  <c r="H101" i="9"/>
  <c r="H4" i="52" l="1"/>
  <c r="D14" i="74"/>
  <c r="F119" i="9"/>
  <c r="F5" i="52" s="1"/>
  <c r="B53" i="72" s="1"/>
  <c r="C104" i="9"/>
  <c r="I4" i="52"/>
  <c r="C105" i="9"/>
  <c r="H102" i="9"/>
  <c r="E118" i="9"/>
  <c r="E4" i="52" s="1"/>
  <c r="B48" i="72" s="1"/>
  <c r="M48" i="9"/>
  <c r="D5" i="53"/>
  <c r="D45" i="9"/>
  <c r="H107" i="9"/>
  <c r="F14" i="74" l="1"/>
  <c r="E14" i="74"/>
  <c r="B5" i="74"/>
  <c r="D5" i="74" s="1"/>
  <c r="D53" i="9"/>
  <c r="C78" i="9"/>
  <c r="C73" i="9" s="1"/>
  <c r="C93" i="9"/>
  <c r="C86" i="9" s="1"/>
  <c r="D55" i="9"/>
  <c r="M53" i="9" s="1"/>
  <c r="C64" i="9"/>
  <c r="C63" i="9" s="1"/>
  <c r="C67" i="9" s="1"/>
  <c r="C85" i="9"/>
  <c r="D52" i="9"/>
  <c r="C72" i="9"/>
  <c r="C79" i="9" s="1"/>
  <c r="D7" i="53"/>
  <c r="B21" i="72" s="1"/>
  <c r="H108" i="9"/>
  <c r="D13" i="53"/>
  <c r="M49" i="9"/>
  <c r="D122" i="9"/>
  <c r="G14" i="74" s="1"/>
  <c r="B6" i="74" s="1"/>
  <c r="D6" i="74" s="1"/>
  <c r="D6" i="53"/>
  <c r="B22" i="72" s="1"/>
  <c r="B20" i="72"/>
  <c r="C5" i="74" l="1"/>
  <c r="L68" i="9"/>
  <c r="M68" i="9" s="1"/>
  <c r="L66" i="9"/>
  <c r="M66" i="9" s="1"/>
  <c r="L67" i="9"/>
  <c r="M67" i="9" s="1"/>
  <c r="L64" i="9"/>
  <c r="M64" i="9" s="1"/>
  <c r="L65" i="9"/>
  <c r="M65" i="9" s="1"/>
  <c r="L63" i="9"/>
  <c r="M63" i="9" s="1"/>
  <c r="D8" i="52"/>
  <c r="D123" i="9"/>
  <c r="D9" i="52" s="1"/>
  <c r="B30" i="72"/>
  <c r="D14" i="53"/>
  <c r="B32" i="72" s="1"/>
  <c r="C80" i="9"/>
  <c r="E80" i="9" s="1"/>
  <c r="E81" i="9" s="1"/>
  <c r="C95" i="9"/>
  <c r="D15" i="53"/>
  <c r="B31" i="72" s="1"/>
  <c r="C6" i="74"/>
  <c r="D59" i="9"/>
  <c r="M55" i="9" s="1"/>
  <c r="C68" i="9"/>
  <c r="D54" i="9" s="1"/>
  <c r="M69" i="9" l="1"/>
  <c r="N69" i="9" s="1"/>
  <c r="C96" i="9"/>
  <c r="E96" i="9" s="1"/>
  <c r="E97" i="9" s="1"/>
  <c r="C81" i="9"/>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<sst xmlns="http://schemas.openxmlformats.org/spreadsheetml/2006/main" count="8044" uniqueCount="3523">
  <si>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</si>
  <si>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</si>
  <si>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</si>
  <si>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</si>
  <si>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</si>
  <si>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</si>
  <si>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</si>
  <si>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</si>
  <si>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</si>
  <si>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</si>
  <si>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</si>
  <si>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</si>
  <si>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</si>
  <si>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</si>
  <si>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</si>
  <si>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</si>
  <si>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</si>
  <si>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</si>
  <si>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</si>
  <si>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</si>
  <si>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</si>
  <si>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</si>
  <si>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</si>
  <si>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</si>
  <si>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</si>
  <si>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</si>
  <si>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</si>
  <si>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</si>
  <si>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</si>
  <si>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</si>
  <si>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</si>
  <si>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</si>
  <si>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</si>
  <si>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</si>
  <si>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</si>
  <si>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</si>
  <si>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</si>
  <si>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</si>
  <si>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</si>
  <si>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</si>
  <si>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</si>
  <si>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</si>
  <si>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</si>
  <si>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</si>
  <si>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</si>
  <si>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</si>
  <si>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</si>
  <si>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</si>
  <si>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</si>
  <si>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</si>
  <si>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</si>
  <si>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</si>
  <si>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</si>
  <si>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</si>
  <si>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</si>
  <si>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</si>
  <si>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</si>
  <si>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</si>
  <si>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</si>
  <si>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</si>
  <si>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</si>
  <si>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</si>
  <si>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</si>
  <si>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</si>
  <si>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</si>
  <si>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</si>
  <si>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</si>
  <si>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</si>
  <si>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</si>
  <si>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</si>
  <si>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</si>
  <si>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</si>
  <si>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</si>
  <si>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</si>
  <si>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</si>
  <si>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</si>
  <si>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</si>
  <si>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</si>
  <si>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</si>
  <si>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</si>
  <si>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</si>
  <si>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</si>
  <si>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</si>
  <si>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</si>
  <si>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</si>
  <si>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</si>
  <si>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</si>
  <si>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</si>
  <si>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</si>
  <si>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</si>
  <si>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</si>
  <si>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</si>
  <si>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</si>
  <si>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</si>
  <si>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</si>
  <si>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</si>
  <si>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</si>
  <si>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</si>
  <si>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</si>
  <si>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</si>
  <si>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</si>
  <si>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</si>
  <si>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</si>
  <si>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</si>
  <si>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</si>
  <si>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</si>
  <si>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</si>
  <si>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</si>
  <si>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</si>
  <si>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</si>
  <si>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</si>
  <si>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</si>
  <si>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</si>
  <si>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</si>
  <si>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</si>
  <si>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</si>
  <si>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</si>
  <si>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</si>
  <si>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</si>
  <si>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</si>
  <si>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</si>
  <si>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</si>
  <si>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</si>
  <si>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</si>
  <si>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</si>
  <si>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</si>
  <si>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</si>
  <si>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</si>
  <si>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</si>
  <si>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</si>
  <si>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</si>
  <si>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</si>
  <si>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</si>
  <si>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</si>
  <si>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</si>
  <si>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</si>
  <si>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</si>
  <si>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</si>
  <si>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</si>
  <si>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</si>
  <si>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</si>
  <si>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</si>
  <si>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</si>
  <si>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</si>
  <si>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</si>
  <si>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</si>
  <si>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</si>
  <si>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</si>
  <si>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</si>
  <si>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</si>
  <si>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</si>
  <si>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</si>
  <si>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</si>
  <si>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</si>
  <si>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</si>
  <si>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</si>
  <si>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</si>
  <si>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</si>
  <si>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</si>
  <si>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</si>
  <si>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</si>
  <si>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</si>
  <si>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</si>
  <si>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</si>
  <si>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</si>
  <si>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</si>
  <si>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</si>
  <si>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</si>
  <si>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</si>
  <si>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</si>
  <si>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</si>
  <si>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</si>
  <si>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</si>
  <si>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</si>
  <si>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</si>
  <si>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</si>
  <si>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</si>
  <si>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</si>
  <si>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</si>
  <si>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</si>
  <si>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</si>
  <si>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</si>
  <si>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</si>
  <si>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</si>
  <si>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</si>
  <si>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</si>
  <si>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</si>
  <si>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</si>
  <si>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</si>
  <si>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</si>
  <si>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</si>
  <si>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</si>
  <si>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</si>
  <si>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</si>
  <si>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</si>
  <si>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</si>
  <si>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</si>
  <si>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</si>
  <si>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</si>
  <si>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</si>
  <si>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</si>
  <si>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</si>
  <si>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</si>
  <si>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</si>
  <si>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</si>
  <si>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</si>
  <si>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</si>
  <si>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</si>
  <si>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</si>
  <si>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</si>
  <si>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</si>
  <si>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</si>
  <si>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</si>
  <si>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</si>
  <si>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</si>
  <si>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</si>
  <si>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</si>
  <si>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</si>
  <si>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</si>
  <si>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</si>
  <si>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</si>
  <si>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</si>
  <si>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</si>
  <si>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</si>
  <si>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</si>
  <si>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</si>
  <si>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</si>
  <si>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</si>
  <si>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</si>
  <si>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</si>
  <si>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</si>
  <si>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</si>
  <si>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</si>
  <si>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</si>
  <si>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</si>
  <si>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</si>
  <si>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</si>
  <si>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</si>
  <si>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</si>
  <si>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</si>
  <si>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</si>
  <si>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</si>
  <si>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</si>
  <si>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</si>
  <si>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</si>
  <si>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</si>
  <si>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</si>
  <si>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</si>
  <si>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</si>
  <si>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</si>
  <si>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</si>
  <si>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</si>
  <si>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</si>
  <si>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</si>
  <si>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</si>
  <si>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</si>
  <si>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</si>
  <si>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</si>
  <si>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</si>
  <si>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</si>
  <si>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</si>
  <si>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</si>
  <si>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</si>
  <si>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</si>
  <si>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</si>
  <si>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</si>
  <si>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</si>
  <si>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</si>
  <si>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</si>
  <si>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</si>
  <si>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</si>
  <si>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</si>
  <si>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</si>
  <si>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</si>
  <si>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</si>
  <si>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</si>
  <si>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</si>
  <si>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</si>
  <si>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</si>
  <si>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</si>
  <si>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</si>
  <si>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</si>
  <si>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</si>
  <si>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</si>
  <si>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</si>
  <si>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</si>
  <si>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</si>
  <si>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</si>
  <si>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</si>
  <si>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</si>
  <si>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</si>
  <si>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</si>
  <si>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</si>
  <si>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</si>
  <si>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</si>
  <si>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</si>
  <si>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</si>
  <si>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</si>
  <si>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</si>
  <si>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</si>
  <si>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</si>
  <si>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</si>
  <si>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</si>
  <si>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</si>
  <si>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</si>
  <si>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</si>
  <si>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</si>
  <si>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</si>
  <si>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</si>
  <si>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</si>
  <si>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</si>
  <si>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</si>
  <si>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</si>
  <si>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</si>
  <si>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</si>
  <si>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</si>
  <si>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</si>
  <si>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</si>
  <si>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</si>
  <si>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</si>
  <si>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</si>
  <si>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</si>
  <si>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</si>
  <si>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</si>
  <si>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</si>
  <si>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</si>
  <si>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</si>
  <si>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</si>
  <si>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</si>
  <si>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</si>
  <si>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</si>
  <si>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</si>
  <si>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</si>
  <si>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</si>
  <si>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</si>
  <si>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</si>
  <si>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</si>
  <si>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</si>
  <si>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</si>
  <si>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</si>
  <si>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</si>
  <si>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</si>
  <si>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</si>
  <si>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</si>
  <si>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</si>
  <si>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</si>
  <si>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</si>
  <si>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</si>
  <si>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</si>
  <si>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</si>
  <si>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</si>
  <si>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</si>
  <si>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</si>
  <si>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</si>
  <si>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</si>
  <si>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</si>
  <si>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</si>
  <si>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</si>
  <si>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</si>
  <si>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</si>
  <si>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</si>
  <si>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</si>
  <si>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</si>
  <si>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</si>
  <si>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</si>
  <si>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</si>
  <si>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</si>
  <si>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</si>
  <si>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</si>
  <si>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</si>
  <si>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</si>
  <si>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</si>
  <si>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</si>
  <si>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</si>
  <si>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</si>
  <si>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</si>
  <si>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</si>
  <si>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</si>
  <si>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</si>
  <si>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</si>
  <si>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</si>
  <si>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</si>
  <si>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</si>
  <si>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</si>
  <si>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</si>
  <si>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</si>
  <si>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</si>
  <si>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</si>
  <si>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</si>
  <si>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</si>
  <si>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</si>
  <si>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</si>
  <si>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</si>
  <si>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</si>
  <si>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</si>
  <si>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</si>
  <si>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</si>
  <si>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</si>
  <si>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</si>
  <si>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</si>
  <si>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</si>
  <si>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</si>
  <si>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</si>
  <si>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</si>
  <si>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</si>
  <si>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</si>
  <si>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</si>
  <si>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</si>
  <si>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</si>
  <si>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</si>
  <si>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</si>
  <si>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</si>
  <si>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</si>
  <si>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</si>
  <si>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</si>
  <si>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</si>
  <si>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</si>
  <si>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</si>
  <si>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</si>
  <si>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</si>
  <si>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</si>
  <si>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</si>
  <si>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</si>
  <si>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</si>
  <si>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</si>
  <si>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</si>
  <si>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</si>
  <si>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</si>
  <si>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</si>
  <si>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</si>
  <si>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</si>
  <si>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</si>
  <si>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</si>
  <si>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</si>
  <si>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</si>
  <si>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</si>
  <si>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</si>
  <si>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</si>
  <si>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</si>
  <si>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</si>
  <si>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</si>
  <si>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</si>
  <si>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</si>
  <si>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</si>
  <si>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</si>
  <si>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</si>
  <si>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</si>
  <si>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</si>
  <si>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</si>
  <si>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</si>
  <si>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</si>
  <si>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</si>
  <si>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</si>
  <si>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</si>
  <si>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</si>
  <si>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</si>
  <si>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</si>
  <si>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</si>
  <si>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</si>
  <si>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</si>
  <si>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</si>
  <si>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</si>
  <si>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</si>
  <si>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</si>
  <si>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</si>
  <si>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</si>
  <si>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</si>
  <si>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</si>
  <si>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</si>
  <si>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</si>
  <si>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</si>
  <si>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</si>
  <si>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</si>
  <si>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</si>
  <si>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</si>
  <si>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</si>
  <si>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</si>
  <si>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</si>
  <si>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</si>
  <si>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</si>
  <si>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</si>
  <si>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</si>
  <si>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</si>
  <si>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</si>
  <si>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</si>
  <si>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</si>
  <si>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</si>
  <si>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</si>
  <si>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</si>
  <si>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</si>
  <si>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</si>
  <si>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</si>
  <si>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</si>
  <si>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</si>
  <si>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</si>
  <si>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</si>
  <si>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</si>
  <si>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</si>
  <si>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</si>
  <si>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</si>
  <si>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</si>
  <si>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</si>
  <si>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</si>
  <si>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</si>
  <si>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</si>
  <si>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</si>
  <si>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</si>
  <si>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</si>
  <si>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</si>
  <si>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</si>
  <si>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</si>
  <si>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</si>
  <si>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</si>
  <si>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</si>
  <si>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</si>
  <si>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</si>
  <si>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</si>
  <si>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</si>
  <si>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</si>
  <si>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</si>
  <si>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</si>
  <si>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</si>
  <si>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</si>
  <si>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</si>
  <si>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</si>
  <si>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</si>
  <si>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</si>
  <si>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</si>
  <si>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</si>
  <si>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</si>
  <si>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</si>
  <si>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</si>
  <si>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</si>
  <si>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</si>
  <si>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</si>
  <si>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</si>
  <si>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</si>
  <si>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</si>
  <si>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</si>
  <si>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</si>
  <si>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</si>
  <si>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</si>
  <si>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</si>
  <si>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</si>
  <si>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</si>
  <si>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</si>
  <si>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</si>
  <si>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</si>
  <si>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</si>
  <si>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</si>
  <si>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</si>
  <si>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</si>
  <si>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</si>
  <si>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</si>
  <si>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</si>
  <si>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</si>
  <si>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</si>
  <si>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</si>
  <si>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</si>
  <si>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</si>
  <si>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</si>
  <si>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</si>
  <si>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</si>
  <si>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</si>
  <si>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</si>
  <si>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</si>
  <si>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</si>
  <si>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</si>
  <si>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</si>
  <si>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</si>
  <si>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</si>
  <si>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</si>
  <si>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</si>
  <si>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</si>
  <si>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</si>
  <si>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</si>
  <si>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</si>
  <si>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</si>
  <si>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</si>
  <si>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</si>
  <si>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</si>
  <si>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</si>
  <si>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</si>
  <si>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</si>
  <si>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</si>
  <si>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</si>
  <si>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</si>
  <si>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</si>
  <si>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</si>
  <si>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</si>
  <si>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</si>
  <si>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</si>
  <si>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</si>
  <si>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</si>
  <si>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</si>
  <si>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</si>
  <si>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</si>
  <si>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</si>
  <si>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</si>
  <si>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</si>
  <si>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</si>
  <si>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</si>
  <si>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</si>
  <si>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</si>
  <si>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</si>
  <si>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</si>
  <si>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</si>
  <si>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</si>
  <si>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</si>
  <si>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</si>
  <si>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</si>
  <si>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</si>
  <si>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</si>
  <si>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</si>
  <si>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</si>
  <si>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</si>
  <si>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</si>
  <si>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</si>
  <si>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</si>
  <si>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</si>
  <si>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</si>
  <si>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</si>
  <si>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</si>
  <si>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</si>
  <si>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</si>
  <si>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</si>
  <si>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</si>
  <si>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</si>
  <si>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</si>
  <si>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</si>
  <si>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</si>
  <si>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</si>
  <si>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</si>
  <si>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</si>
  <si>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</si>
  <si>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</si>
  <si>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</si>
  <si>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</si>
  <si>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</si>
  <si>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</si>
  <si>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</si>
  <si>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</si>
  <si>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</si>
  <si>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</si>
  <si>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</si>
  <si>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</si>
  <si>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</si>
  <si>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</si>
  <si>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</si>
  <si>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</si>
  <si>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</si>
  <si>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</si>
  <si>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</si>
  <si>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</si>
  <si>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</si>
  <si>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</si>
  <si>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</si>
  <si>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</si>
  <si>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</si>
  <si>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</si>
  <si>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</si>
  <si>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</si>
  <si>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</si>
  <si>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</si>
  <si>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</si>
  <si>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</si>
  <si>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</si>
  <si>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</si>
  <si>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</si>
  <si>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</si>
  <si>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</si>
  <si>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</si>
  <si>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</si>
  <si>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</si>
  <si>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</si>
  <si>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</si>
  <si>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</si>
  <si>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</si>
  <si>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</si>
  <si>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</si>
  <si>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</si>
  <si>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</si>
  <si>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</si>
  <si>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</si>
  <si>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</si>
  <si>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</si>
  <si>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</si>
  <si>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</si>
  <si>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</si>
  <si>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</si>
  <si>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</si>
  <si>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</si>
  <si>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</si>
  <si>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</si>
  <si>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</si>
  <si>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</si>
  <si>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</si>
  <si>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</si>
  <si>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</si>
  <si>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</si>
  <si>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</si>
  <si>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</si>
  <si>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</si>
  <si>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</si>
  <si>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</si>
  <si>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</si>
  <si>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</si>
  <si>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</si>
  <si>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</si>
  <si>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</si>
  <si>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</si>
  <si>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</si>
  <si>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</si>
  <si>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</si>
  <si>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</si>
  <si>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</si>
  <si>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</si>
  <si>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</si>
  <si>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</si>
  <si>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</si>
  <si>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</si>
  <si>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</si>
  <si>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</si>
  <si>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</si>
  <si>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</si>
  <si>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</si>
  <si>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</si>
  <si>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</si>
  <si>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</si>
  <si>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</si>
  <si>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</si>
  <si>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</si>
  <si>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</si>
  <si>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</si>
  <si>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</si>
  <si>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</si>
  <si>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</si>
  <si>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</si>
  <si>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</si>
  <si>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</si>
  <si>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</si>
  <si>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</si>
  <si>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</si>
  <si>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</si>
  <si>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</si>
  <si>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</si>
  <si>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</si>
  <si>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</si>
  <si>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</si>
  <si>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</si>
  <si>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</si>
  <si>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</si>
  <si>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</si>
  <si>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</si>
  <si>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</si>
  <si>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</si>
  <si>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</si>
  <si>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</si>
  <si>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</si>
  <si>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</si>
  <si>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</si>
  <si>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</si>
  <si>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</si>
  <si>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</si>
  <si>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</si>
  <si>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</si>
  <si>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</si>
  <si>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</si>
  <si>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</si>
  <si>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</si>
  <si>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</si>
  <si>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</si>
  <si>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</si>
  <si>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</si>
  <si>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</si>
  <si>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</si>
  <si>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</si>
  <si>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</si>
  <si>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</si>
  <si>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</si>
  <si>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</si>
  <si>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</si>
  <si>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</si>
  <si>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</si>
  <si>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</si>
  <si>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</si>
  <si>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</si>
  <si>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</si>
  <si>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</si>
  <si>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</si>
  <si>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</si>
  <si>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</si>
  <si>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</si>
  <si>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</si>
  <si>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</si>
  <si>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</si>
  <si>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</si>
  <si>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</si>
  <si>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</si>
  <si>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</si>
  <si>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</si>
  <si>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</si>
  <si>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</si>
  <si>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</si>
  <si>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</si>
  <si>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</si>
  <si>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</si>
  <si>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</si>
  <si>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</si>
  <si>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</si>
  <si>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</si>
  <si>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</si>
  <si>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</si>
  <si>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</si>
  <si>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</si>
  <si>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</si>
  <si>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</si>
  <si>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</si>
  <si>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</si>
  <si>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</si>
  <si>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</si>
  <si>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</si>
  <si>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</si>
  <si>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</si>
  <si>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</si>
  <si>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</si>
  <si>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</si>
  <si>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</si>
  <si>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</si>
  <si>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</si>
  <si>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</si>
  <si>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</si>
  <si>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</si>
  <si>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</si>
  <si>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</si>
  <si>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</si>
  <si>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</si>
  <si>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</si>
  <si>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</si>
  <si>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</si>
  <si>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</si>
  <si>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</si>
  <si>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</si>
  <si>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</si>
  <si>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</si>
  <si>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</si>
  <si>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</si>
  <si>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</si>
  <si>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</si>
  <si>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</si>
  <si>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</si>
  <si>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</si>
  <si>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</si>
  <si>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</si>
  <si>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</si>
  <si>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</si>
  <si>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</si>
  <si>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</si>
  <si>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</si>
  <si>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</si>
  <si>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</si>
  <si>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</si>
  <si>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</si>
  <si>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</si>
  <si>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</si>
  <si>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</si>
  <si>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</si>
  <si>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</si>
  <si>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</si>
  <si>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</si>
  <si>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</si>
  <si>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</si>
  <si>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</si>
  <si>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</si>
  <si>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</si>
  <si>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</si>
  <si>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</si>
  <si>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</si>
  <si>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</si>
  <si>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</si>
  <si>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</si>
  <si>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</si>
  <si>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</si>
  <si>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</si>
  <si>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</si>
  <si>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</si>
  <si>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</si>
  <si>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</si>
  <si>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</si>
  <si>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</si>
  <si>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</si>
  <si>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</si>
  <si>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</si>
  <si>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</si>
  <si>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</si>
  <si>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</si>
  <si>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</si>
  <si>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</si>
  <si>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</si>
  <si>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</si>
  <si>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</si>
  <si>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</si>
  <si>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</si>
  <si>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</si>
  <si>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</si>
  <si>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</si>
  <si>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</si>
  <si>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</si>
  <si>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</si>
  <si>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</si>
  <si>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</si>
  <si>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</si>
  <si>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</si>
  <si>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</si>
  <si>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</si>
  <si>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</si>
  <si>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</si>
  <si>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</si>
  <si>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</si>
  <si>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</si>
  <si>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</si>
  <si>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</si>
  <si>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</si>
  <si>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</si>
  <si>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</si>
  <si>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</si>
  <si>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</si>
  <si>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</si>
  <si>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</si>
  <si>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</si>
  <si>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</si>
  <si>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</si>
  <si>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</si>
  <si>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</si>
  <si>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</si>
  <si>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</si>
  <si>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</si>
  <si>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</si>
  <si>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</si>
  <si>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</si>
  <si>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</si>
  <si>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</si>
  <si>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</si>
  <si>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</si>
  <si>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</si>
  <si>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</si>
  <si>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</si>
  <si>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</si>
  <si>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</si>
  <si>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</si>
  <si>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</si>
  <si>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</si>
  <si>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</si>
  <si>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</si>
  <si>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</si>
  <si>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</si>
  <si>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</si>
  <si>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</si>
  <si>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</si>
  <si>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</si>
  <si>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</si>
  <si>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</si>
  <si>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</si>
  <si>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</si>
  <si>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</si>
  <si>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</si>
  <si>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</si>
  <si>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</si>
  <si>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</si>
  <si>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</si>
  <si>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</si>
  <si>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</si>
  <si>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</si>
  <si>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</si>
  <si>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</si>
  <si>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</si>
  <si>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</si>
  <si>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</si>
  <si>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</si>
  <si>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</si>
  <si>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</si>
  <si>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</si>
  <si>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</si>
  <si>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</si>
  <si>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</si>
  <si>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</si>
  <si>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</si>
  <si>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</si>
  <si>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</si>
  <si>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</si>
  <si>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</si>
  <si>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</si>
  <si>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</si>
  <si>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</si>
  <si>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</si>
  <si>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</si>
  <si>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</si>
  <si>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</si>
  <si>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</si>
  <si>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</si>
  <si>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</si>
  <si>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</si>
  <si>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</si>
  <si>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</si>
  <si>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</si>
  <si>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</si>
  <si>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</si>
  <si>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</si>
  <si>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</si>
  <si>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</si>
  <si>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</si>
  <si>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</si>
  <si>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</si>
  <si>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</si>
  <si>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</si>
  <si>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</si>
  <si>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</si>
  <si>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</si>
  <si>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</si>
  <si>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</si>
  <si>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</si>
  <si>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</si>
  <si>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</si>
  <si>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</si>
  <si>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</si>
  <si>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</si>
  <si>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</si>
  <si>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</si>
  <si>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</si>
  <si>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</si>
  <si>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</si>
  <si>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</si>
  <si>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</si>
  <si>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</si>
  <si>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</si>
  <si>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</si>
  <si>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</si>
  <si>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</si>
  <si>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</si>
  <si>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</si>
  <si>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</si>
  <si>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</si>
  <si>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</si>
  <si>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</si>
  <si>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</si>
  <si>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</si>
  <si>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</si>
  <si>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</si>
  <si>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</si>
  <si>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</si>
  <si>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</si>
  <si>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</si>
  <si>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</si>
  <si>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</si>
  <si>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</si>
  <si>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</si>
  <si>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</si>
  <si>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</si>
  <si>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</si>
  <si>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</si>
  <si>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</si>
  <si>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</si>
  <si>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</si>
  <si>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</si>
  <si>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</si>
  <si>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</si>
  <si>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</si>
  <si>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</si>
  <si>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</si>
  <si>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</si>
  <si>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</si>
  <si>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</si>
  <si>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</si>
  <si>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</si>
  <si>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</si>
  <si>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</si>
  <si>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</si>
  <si>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</si>
  <si>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</si>
  <si>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</si>
  <si>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</si>
  <si>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</si>
  <si>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</si>
  <si>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</si>
  <si>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</si>
  <si>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</si>
  <si>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</si>
  <si>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</si>
  <si>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</si>
  <si>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</si>
  <si>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</si>
  <si>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</si>
  <si>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</si>
  <si>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</si>
  <si>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</si>
  <si>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</si>
  <si>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</si>
  <si>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</si>
  <si>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</si>
  <si>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</si>
  <si>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</si>
  <si>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</si>
  <si>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</si>
  <si>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</si>
  <si>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</si>
  <si>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</si>
  <si>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</si>
  <si>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</si>
  <si>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</si>
  <si>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</si>
  <si>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</si>
  <si>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</si>
  <si>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</si>
  <si>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</si>
  <si>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</si>
  <si>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</si>
  <si>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</si>
  <si>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</si>
  <si>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</si>
  <si>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</si>
  <si>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</si>
  <si>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</si>
  <si>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</si>
  <si>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</si>
  <si>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</si>
  <si>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</si>
  <si>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</si>
  <si>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</si>
  <si>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</si>
  <si>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</si>
  <si>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</si>
  <si>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</si>
  <si>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</si>
  <si>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</si>
  <si>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</si>
  <si>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</si>
  <si>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</si>
  <si>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</si>
  <si>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</si>
  <si>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</si>
  <si>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</si>
  <si>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</si>
  <si>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</si>
  <si>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</si>
  <si>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</si>
  <si>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</si>
  <si>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</si>
  <si>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</si>
  <si>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</si>
  <si>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</si>
  <si>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</si>
  <si>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</si>
  <si>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</si>
  <si>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</si>
  <si>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</si>
  <si>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</si>
  <si>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</si>
  <si>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</si>
  <si>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</si>
  <si>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</si>
  <si>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</si>
  <si>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</si>
  <si>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</si>
  <si>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</si>
  <si>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</si>
  <si>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</si>
  <si>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</si>
  <si>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</si>
  <si>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</si>
  <si>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</si>
  <si>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</si>
  <si>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</si>
  <si>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</si>
  <si>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</si>
  <si>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</si>
  <si>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</si>
  <si>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</si>
  <si>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</si>
  <si>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</si>
  <si>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</si>
  <si>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</si>
  <si>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</si>
  <si>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</si>
  <si>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</si>
  <si>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</si>
  <si>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</si>
  <si>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</si>
  <si>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</si>
  <si>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</si>
  <si>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</si>
  <si>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</si>
  <si>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</si>
  <si>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</si>
  <si>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</si>
  <si>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</si>
  <si>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</si>
  <si>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</si>
  <si>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</si>
  <si>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</si>
  <si>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</si>
  <si>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</si>
  <si>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</si>
  <si>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</si>
  <si>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</si>
  <si>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</si>
  <si>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</si>
  <si>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</si>
  <si>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</si>
  <si>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</si>
  <si>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</si>
  <si>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</si>
  <si>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</si>
  <si>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</si>
  <si>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</si>
  <si>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</si>
  <si>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</si>
  <si>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</si>
  <si>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</si>
  <si>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</si>
  <si>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</si>
  <si>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</si>
  <si>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</si>
  <si>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</si>
  <si>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</si>
  <si>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</si>
  <si>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</si>
  <si>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</si>
  <si>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</si>
  <si>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</si>
  <si>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</si>
  <si>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</si>
  <si>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</si>
  <si>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</si>
  <si>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</si>
  <si>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</si>
  <si>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</si>
  <si>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</si>
  <si>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</si>
  <si>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</si>
  <si>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</si>
  <si>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</si>
  <si>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</si>
  <si>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</si>
  <si>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</si>
  <si>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</si>
  <si>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</si>
  <si>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</si>
  <si>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</si>
  <si>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</si>
  <si>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</si>
  <si>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</si>
  <si>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</si>
  <si>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</si>
  <si>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</si>
  <si>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</si>
  <si>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</si>
  <si>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</si>
  <si>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</si>
  <si>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</si>
  <si>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</si>
  <si>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</si>
  <si>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</si>
  <si>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</si>
  <si>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</si>
  <si>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</si>
  <si>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</si>
  <si>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</si>
  <si>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</si>
  <si>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</si>
  <si>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</si>
  <si>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</si>
  <si>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</si>
  <si>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</si>
  <si>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</si>
  <si>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</si>
  <si>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</si>
  <si>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</si>
  <si>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</si>
  <si>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</si>
  <si>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</si>
  <si>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</si>
  <si>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</si>
  <si>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</si>
  <si>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</si>
  <si>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</si>
  <si>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</si>
  <si>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</si>
  <si>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</si>
  <si>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</si>
  <si>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</si>
  <si>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</si>
  <si>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</si>
  <si>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</si>
  <si>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</si>
  <si>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</si>
  <si>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</si>
  <si>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</si>
  <si>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</si>
  <si>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</si>
  <si>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</si>
  <si>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</si>
  <si>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</si>
  <si>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</si>
  <si>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</si>
  <si>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</si>
  <si>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</si>
  <si>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</si>
  <si>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</si>
  <si>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</si>
  <si>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</si>
  <si>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</si>
  <si>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</si>
  <si>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</si>
  <si>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</si>
  <si>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</si>
  <si>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</si>
  <si>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</si>
  <si>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</si>
  <si>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</si>
  <si>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</si>
  <si>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</si>
  <si>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</si>
  <si>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</si>
  <si>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</si>
  <si>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</si>
  <si>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</si>
  <si>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</si>
  <si>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</si>
  <si>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</si>
  <si>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</si>
  <si>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</si>
  <si>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</si>
  <si>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</si>
  <si>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</si>
  <si>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</si>
  <si>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</si>
  <si>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</si>
  <si>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</si>
  <si>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</si>
  <si>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</si>
  <si>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</si>
  <si>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</si>
  <si>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</si>
  <si>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</si>
  <si>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</si>
  <si>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</si>
  <si>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</si>
  <si>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</si>
  <si>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</si>
  <si>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</si>
  <si>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</si>
  <si>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</si>
  <si>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</si>
  <si>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</si>
  <si>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</si>
  <si>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</si>
  <si>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</si>
  <si>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</si>
  <si>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</si>
  <si>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</si>
  <si>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</si>
  <si>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</si>
  <si>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</si>
  <si>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</si>
  <si>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</si>
  <si>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</si>
  <si>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</si>
  <si>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</si>
  <si>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</si>
  <si>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</si>
  <si>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</si>
  <si>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</si>
  <si>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</si>
  <si>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</si>
  <si>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</si>
  <si>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</si>
  <si>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</si>
  <si>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</si>
  <si>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</si>
  <si>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</si>
  <si>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</si>
  <si>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</si>
  <si>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</si>
  <si>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</si>
  <si>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</si>
  <si>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</si>
  <si>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</si>
  <si>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</si>
  <si>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</si>
  <si>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</si>
  <si>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</si>
  <si>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</si>
  <si>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</si>
  <si>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</si>
  <si>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</si>
  <si>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</si>
  <si>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</si>
  <si>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</si>
  <si>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</si>
  <si>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</si>
  <si>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</si>
  <si>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</si>
  <si>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</si>
  <si>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</si>
  <si>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</si>
  <si>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</si>
  <si>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</si>
  <si>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</si>
  <si>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</si>
  <si>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</si>
  <si>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</si>
  <si>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</si>
  <si>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</si>
  <si>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</si>
  <si>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</si>
  <si>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</si>
  <si>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</si>
  <si>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</si>
  <si>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</si>
  <si>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</si>
  <si>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</si>
  <si>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</si>
  <si>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</si>
  <si>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</si>
  <si>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</si>
  <si>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</si>
  <si>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</si>
  <si>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</si>
  <si>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</si>
  <si>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</si>
  <si>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</si>
  <si>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</si>
  <si>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</si>
  <si>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</si>
  <si>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</si>
  <si>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</si>
  <si>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</si>
  <si>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</si>
  <si>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</si>
  <si>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</si>
  <si>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</si>
  <si>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</si>
  <si>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</si>
  <si>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</si>
  <si>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</si>
  <si>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</si>
  <si>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</si>
  <si>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</si>
  <si>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</si>
  <si>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</si>
  <si>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</si>
  <si>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</si>
  <si>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</si>
  <si>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</si>
  <si>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</si>
  <si>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</si>
  <si>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</si>
  <si>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</si>
  <si>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</si>
  <si>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</si>
  <si>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</si>
  <si>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</si>
  <si>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</si>
  <si>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</si>
  <si>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</si>
  <si>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</si>
  <si>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</si>
  <si>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</si>
  <si>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</si>
  <si>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</si>
  <si>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</si>
  <si>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</si>
  <si>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</si>
  <si>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</si>
  <si>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</si>
  <si>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</si>
  <si>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</si>
  <si>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</si>
  <si>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</si>
  <si>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</si>
  <si>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</si>
  <si>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</si>
  <si>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</si>
  <si>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</si>
  <si>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</si>
  <si>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</si>
  <si>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</si>
  <si>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</si>
  <si>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</si>
  <si>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</si>
  <si>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</si>
  <si>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</si>
  <si>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</si>
  <si>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</si>
  <si>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</si>
  <si>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</si>
  <si>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</si>
  <si>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</si>
  <si>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</si>
  <si>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</si>
  <si>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</si>
  <si>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</si>
  <si>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</si>
  <si>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</si>
  <si>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</si>
  <si>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</si>
  <si>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</si>
  <si>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</si>
  <si>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</si>
  <si>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</si>
  <si>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</si>
  <si>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</si>
  <si>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</si>
  <si>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</si>
  <si>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</si>
  <si>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</si>
  <si>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</si>
  <si>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</si>
  <si>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</si>
  <si>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</si>
  <si>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</si>
  <si>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</si>
  <si>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</si>
  <si>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</si>
  <si>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</si>
  <si>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</si>
  <si>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</si>
  <si>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</si>
  <si>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</si>
  <si>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</si>
  <si>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</si>
  <si>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</si>
  <si>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</si>
  <si>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</si>
  <si>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</si>
  <si>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</si>
  <si>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</si>
  <si>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</si>
  <si>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</si>
  <si>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</si>
  <si>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</si>
  <si>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</si>
  <si>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</si>
  <si>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</si>
  <si>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</si>
  <si>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</si>
  <si>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</si>
  <si>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</si>
  <si>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</si>
  <si>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</si>
  <si>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</si>
  <si>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</si>
  <si>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</si>
  <si>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</si>
  <si>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</si>
  <si>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</si>
  <si>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</si>
  <si>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</si>
  <si>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</si>
  <si>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</si>
  <si>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</si>
  <si>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</si>
  <si>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</si>
  <si>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</si>
  <si>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</si>
  <si>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</si>
  <si>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</si>
  <si>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</si>
  <si>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</si>
  <si>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</si>
  <si>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</si>
  <si>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</si>
  <si>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</si>
  <si>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</si>
  <si>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</si>
  <si>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</si>
  <si>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</si>
  <si>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</si>
  <si>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</si>
  <si>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</si>
  <si>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</si>
  <si>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</si>
  <si>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</si>
  <si>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</si>
  <si>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</si>
  <si>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</si>
  <si>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</si>
  <si>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</si>
  <si>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</si>
  <si>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</si>
  <si>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</si>
  <si>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</si>
  <si>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</si>
  <si>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</si>
  <si>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</si>
  <si>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</si>
  <si>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</si>
  <si>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</si>
  <si>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</si>
  <si>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</si>
  <si>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</si>
  <si>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</si>
  <si>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</si>
  <si>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</si>
  <si>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</si>
  <si>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</si>
  <si>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</si>
  <si>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</si>
  <si>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</si>
  <si>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</si>
  <si>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</si>
  <si>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</si>
  <si>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</si>
  <si>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</si>
  <si>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</si>
  <si>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</si>
  <si>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</si>
  <si>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</si>
  <si>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</si>
  <si>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</si>
  <si>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</si>
  <si>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</si>
  <si>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</si>
  <si>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</si>
  <si>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</si>
  <si>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</si>
  <si>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</si>
  <si>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</si>
  <si>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</si>
  <si>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</si>
  <si>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</si>
  <si>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</si>
  <si>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</si>
  <si>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</si>
  <si>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</si>
  <si>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</si>
  <si>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</si>
  <si>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</si>
  <si>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</si>
  <si>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</si>
  <si>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</si>
  <si>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</si>
  <si>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</si>
  <si>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</si>
  <si>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</si>
  <si>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</si>
  <si>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</si>
  <si>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</si>
  <si>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</si>
  <si>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</si>
  <si>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</si>
  <si>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</si>
  <si>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</si>
  <si>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</si>
  <si>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</si>
  <si>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</si>
  <si>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</si>
  <si>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</si>
  <si>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</si>
  <si>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</si>
  <si>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</si>
  <si>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</si>
  <si>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</si>
  <si>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</si>
  <si>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</si>
  <si>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</si>
  <si>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</si>
  <si>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</si>
  <si>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</si>
  <si>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</si>
  <si>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</si>
  <si>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</si>
  <si>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</si>
  <si>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</si>
  <si>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</si>
  <si>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</si>
  <si>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</si>
  <si>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</si>
  <si>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</si>
  <si>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</si>
  <si>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</si>
  <si>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</si>
  <si>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</si>
  <si>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</si>
  <si>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</si>
  <si>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</si>
  <si>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</si>
  <si>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</si>
  <si>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</si>
  <si>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</si>
  <si>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</si>
  <si>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</si>
  <si>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</si>
  <si>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</si>
  <si>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</si>
  <si>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</si>
  <si>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</si>
  <si>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</si>
  <si>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</si>
  <si>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</si>
  <si>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</si>
  <si>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</si>
  <si>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</si>
  <si>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</si>
  <si>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</si>
  <si>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</si>
  <si>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</si>
  <si>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</si>
  <si>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</si>
  <si>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</si>
  <si>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</si>
  <si>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</si>
  <si>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</si>
  <si>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</si>
  <si>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</si>
  <si>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</si>
  <si>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</si>
  <si>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</si>
  <si>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</si>
  <si>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</si>
  <si>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</si>
  <si>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</si>
  <si>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</si>
  <si>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</si>
  <si>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</si>
  <si>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</si>
  <si>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</si>
  <si>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</si>
  <si>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</si>
  <si>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</si>
  <si>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</si>
  <si>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</si>
  <si>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</si>
  <si>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</si>
  <si>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</si>
  <si>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</si>
  <si>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</si>
  <si>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</si>
  <si>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</si>
  <si>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</si>
  <si>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</si>
  <si>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</si>
  <si>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</si>
  <si>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</si>
  <si>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</si>
  <si>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</si>
  <si>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</si>
  <si>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</si>
  <si>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</si>
  <si>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</si>
  <si>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</si>
  <si>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</si>
  <si>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</si>
  <si>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</si>
  <si>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</si>
  <si>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</si>
  <si>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</si>
  <si>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</si>
  <si>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</si>
  <si>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</si>
  <si>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</si>
  <si>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</si>
  <si>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</si>
  <si>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</si>
  <si>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</si>
  <si>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</si>
  <si>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</si>
  <si>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</si>
  <si>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</si>
  <si>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</si>
  <si>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</si>
  <si>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</si>
  <si>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</si>
  <si>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</si>
  <si>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</si>
  <si>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</si>
  <si>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</si>
  <si>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</si>
  <si>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</si>
  <si>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</si>
  <si>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</si>
  <si>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</si>
  <si>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</si>
  <si>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</si>
  <si>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</si>
  <si>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</si>
  <si>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</si>
  <si>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</si>
  <si>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</si>
  <si>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</si>
  <si>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</si>
  <si>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</si>
  <si>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</si>
  <si>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</si>
  <si>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</si>
  <si>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</si>
  <si>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</si>
  <si>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</si>
  <si>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</si>
  <si>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</si>
  <si>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</si>
  <si>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</si>
  <si>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</si>
  <si>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</si>
  <si>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</si>
  <si>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</si>
  <si>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</si>
  <si>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</si>
  <si>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</si>
  <si>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</si>
  <si>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</si>
  <si>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</si>
  <si>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</si>
  <si>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</si>
  <si>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</si>
  <si>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</si>
  <si>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</si>
  <si>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</si>
  <si>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</si>
  <si>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</si>
  <si>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</si>
  <si>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</si>
  <si>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</si>
  <si>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</si>
  <si>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</si>
  <si>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</si>
  <si>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</si>
  <si>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</si>
  <si>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</si>
  <si>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</si>
  <si>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</si>
  <si>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</si>
  <si>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</si>
  <si>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</si>
  <si>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</si>
  <si>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</si>
  <si>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</si>
  <si>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</si>
  <si>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</si>
  <si>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</si>
  <si>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</si>
  <si>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</si>
  <si>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</si>
  <si>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</si>
  <si>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</si>
  <si>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</si>
  <si>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</si>
  <si>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</si>
  <si>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</si>
  <si>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</si>
  <si>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</si>
  <si>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</si>
  <si>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</si>
  <si>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</si>
  <si>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</si>
  <si>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</si>
  <si>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</si>
  <si>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</si>
  <si>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</si>
  <si>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</si>
  <si>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</si>
  <si>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</si>
  <si>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</si>
  <si>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</si>
  <si>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</si>
  <si>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</si>
  <si>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</si>
  <si>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</si>
  <si>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</si>
  <si>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</si>
  <si>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</si>
  <si>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</si>
  <si>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</si>
  <si>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</si>
  <si>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</si>
  <si>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</si>
  <si>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</si>
  <si>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</si>
  <si>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</si>
  <si>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</si>
  <si>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</si>
  <si>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</si>
  <si>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</si>
  <si>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</si>
  <si>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</si>
  <si>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</si>
  <si>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</si>
  <si>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</si>
  <si>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</si>
  <si>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</si>
  <si>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</si>
  <si>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</si>
  <si>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</si>
  <si>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</si>
  <si>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</si>
  <si>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</si>
  <si>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</si>
  <si>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</si>
  <si>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</si>
  <si>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</si>
  <si>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</si>
  <si>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</si>
  <si>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</si>
  <si>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</si>
  <si>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</si>
  <si>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</si>
  <si>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</si>
  <si>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</si>
  <si>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</si>
  <si>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</si>
  <si>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</si>
  <si>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</si>
  <si>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</si>
  <si>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</si>
  <si>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</si>
  <si>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</si>
  <si>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</si>
  <si>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</si>
  <si>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</si>
  <si>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</si>
  <si>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</si>
  <si>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</si>
  <si>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</si>
  <si>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</si>
  <si>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</si>
  <si>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</si>
  <si>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</si>
  <si>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</si>
  <si>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</si>
  <si>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</si>
  <si>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</si>
  <si>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</si>
  <si>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</si>
  <si>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</si>
  <si>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</si>
  <si>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</si>
  <si>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</si>
  <si>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</si>
  <si>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</si>
  <si>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</si>
  <si>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</si>
  <si>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</si>
  <si>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</si>
  <si>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</si>
  <si>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</si>
  <si>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</si>
  <si>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</si>
  <si>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</si>
  <si>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</si>
  <si>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</si>
  <si>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</si>
  <si>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</si>
  <si>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</si>
  <si>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</si>
  <si>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</si>
  <si>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</si>
  <si>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</si>
  <si>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</si>
  <si>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</si>
  <si>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</si>
  <si>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</si>
  <si>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</si>
  <si>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</si>
  <si>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</si>
  <si>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</si>
  <si>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</si>
  <si>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</si>
  <si>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</si>
  <si>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</si>
  <si>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</si>
  <si>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</si>
  <si>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</si>
  <si>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</si>
  <si>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</si>
  <si>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</si>
  <si>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</si>
  <si>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</si>
  <si>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</si>
  <si>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</si>
  <si>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</si>
  <si>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</si>
  <si>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</si>
  <si>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</si>
  <si>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</si>
  <si>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</si>
  <si>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</si>
  <si>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</si>
  <si>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</si>
  <si>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</si>
  <si>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</si>
  <si>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</si>
  <si>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</si>
  <si>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</si>
  <si>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</si>
  <si>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</si>
  <si>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</si>
  <si>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</si>
  <si>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</si>
  <si>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</si>
  <si>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</si>
  <si>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</si>
  <si>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</si>
  <si>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</si>
  <si>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</si>
  <si>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</si>
  <si>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</si>
  <si>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</si>
  <si>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</si>
  <si>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</si>
  <si>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</si>
  <si>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</si>
  <si>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</si>
  <si>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</si>
  <si>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</si>
  <si>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</si>
  <si>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</si>
  <si>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</si>
  <si>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</si>
  <si>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</si>
  <si>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</si>
  <si>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</si>
  <si>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</si>
  <si>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</si>
  <si>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</si>
  <si>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</si>
  <si>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</si>
  <si>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</si>
  <si>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</si>
  <si>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</si>
  <si>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</si>
  <si>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</si>
  <si>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</si>
  <si>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</si>
  <si>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</si>
  <si>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</si>
  <si>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</si>
  <si>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</si>
  <si>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</si>
  <si>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</si>
  <si>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</si>
  <si>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</si>
  <si>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</si>
  <si>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</si>
  <si>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</si>
  <si>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</si>
  <si>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</si>
  <si>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</si>
  <si>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</si>
  <si>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</si>
  <si>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</si>
  <si>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</si>
  <si>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</si>
  <si>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</si>
  <si>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</si>
  <si>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</si>
  <si>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</si>
  <si>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</si>
  <si>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</si>
  <si>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</si>
  <si>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</si>
  <si>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</si>
  <si>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</si>
  <si>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</si>
  <si>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</si>
  <si>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</si>
  <si>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</si>
  <si>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</si>
  <si>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</si>
  <si>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</si>
  <si>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</si>
  <si>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</si>
  <si>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</si>
  <si>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</si>
  <si>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</si>
  <si>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</si>
  <si>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</si>
  <si>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</si>
  <si>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</si>
  <si>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</si>
  <si>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</si>
  <si>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</si>
  <si>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</si>
  <si>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</si>
  <si>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</si>
  <si>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</si>
  <si>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</si>
  <si>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</si>
  <si>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</si>
  <si>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</si>
  <si>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</si>
  <si>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</si>
  <si>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</si>
  <si>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</si>
  <si>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</si>
  <si>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</si>
  <si>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</si>
  <si>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</si>
  <si>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</si>
  <si>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</si>
  <si>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</si>
  <si>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</si>
  <si>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</si>
  <si>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</si>
  <si>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</si>
  <si>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</si>
  <si>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</si>
  <si>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</si>
  <si>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</si>
  <si>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</si>
  <si>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</si>
  <si>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</si>
  <si>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</si>
  <si>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</si>
  <si>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</si>
  <si>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</si>
  <si>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</si>
  <si>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</si>
  <si>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</si>
  <si>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</si>
  <si>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</si>
  <si>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</si>
  <si>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</si>
  <si>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</si>
  <si>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</si>
  <si>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</si>
  <si>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</si>
  <si>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</si>
  <si>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</si>
  <si>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</si>
  <si>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</si>
  <si>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</si>
  <si>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</si>
  <si>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</si>
  <si>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</si>
  <si>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</si>
  <si>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</si>
  <si>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</si>
  <si>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</si>
  <si>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</si>
  <si>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</si>
  <si>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</si>
  <si>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</si>
  <si>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</si>
  <si>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</si>
  <si>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</si>
  <si>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</si>
  <si>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</si>
  <si>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</si>
  <si>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</si>
  <si>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</si>
  <si>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</si>
  <si>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</si>
  <si>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</si>
  <si>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</si>
  <si>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</si>
  <si>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</si>
  <si>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</si>
  <si>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</si>
  <si>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</si>
  <si>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</si>
  <si>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</si>
  <si>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</si>
  <si>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</si>
  <si>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</si>
  <si>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</si>
  <si>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</si>
  <si>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</si>
  <si>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</si>
  <si>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</si>
  <si>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</si>
  <si>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</si>
  <si>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</si>
  <si>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</si>
  <si>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</si>
  <si>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</si>
  <si>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</si>
  <si>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</si>
  <si>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</si>
  <si>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</si>
  <si>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</si>
  <si>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</si>
  <si>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</si>
  <si>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</si>
  <si>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</si>
  <si>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</si>
  <si>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</si>
  <si>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</si>
  <si>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</si>
  <si>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</si>
  <si>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</si>
  <si>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</si>
  <si>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</si>
  <si>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</si>
  <si>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</si>
  <si>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</si>
  <si>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</si>
  <si>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</si>
  <si>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</si>
  <si>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</si>
  <si>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</si>
  <si>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</si>
  <si>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</si>
  <si>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</si>
  <si>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</si>
  <si>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</si>
  <si>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</si>
  <si>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</si>
  <si>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</si>
  <si>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</si>
  <si>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</si>
  <si>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</si>
  <si>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</si>
  <si>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</si>
  <si>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</si>
  <si>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</si>
  <si>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</si>
  <si>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</si>
  <si>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</si>
  <si>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</si>
  <si>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</si>
  <si>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</si>
  <si>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</si>
  <si>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</si>
  <si>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</si>
  <si>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</si>
  <si>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</si>
  <si>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</si>
  <si>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</si>
  <si>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</si>
  <si>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</si>
  <si>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</si>
  <si>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</si>
  <si>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</si>
  <si>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</si>
  <si>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</si>
  <si>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</si>
  <si>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</si>
  <si>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</si>
  <si>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</si>
  <si>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</si>
  <si>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</si>
  <si>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</si>
  <si>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</si>
  <si>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</si>
  <si>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</si>
  <si>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</si>
  <si>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</si>
  <si>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</si>
  <si>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</si>
  <si>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</si>
  <si>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</si>
  <si>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</si>
  <si>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</si>
  <si>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</si>
  <si>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</si>
  <si>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</si>
  <si>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</si>
  <si>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</si>
  <si>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</si>
  <si>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</si>
  <si>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</si>
  <si>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</si>
  <si>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</si>
  <si>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</si>
  <si>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</si>
  <si>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</si>
  <si>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</si>
  <si>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</si>
  <si>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</si>
  <si>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</si>
  <si>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</si>
  <si>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</si>
  <si>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</si>
  <si>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</si>
  <si>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</si>
  <si>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</si>
  <si>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</si>
  <si>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</si>
  <si>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</si>
  <si>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</si>
  <si>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</si>
  <si>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</si>
  <si>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</si>
  <si>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</si>
  <si>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</si>
  <si>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</si>
  <si>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</si>
  <si>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</si>
  <si>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</si>
  <si>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</si>
  <si>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</si>
  <si>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</si>
  <si>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</si>
  <si>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</si>
  <si>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</si>
  <si>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</si>
  <si>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</si>
  <si>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</si>
  <si>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</si>
  <si>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</si>
  <si>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</si>
  <si>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</si>
  <si>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</si>
  <si>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</si>
  <si>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</si>
  <si>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</si>
  <si>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</si>
  <si>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</si>
  <si>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</si>
  <si>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</si>
  <si>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</si>
  <si>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</si>
  <si>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</si>
  <si>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</si>
  <si>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</si>
  <si>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</si>
  <si>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</si>
  <si>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</si>
  <si>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</si>
  <si>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</si>
  <si>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</si>
  <si>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</si>
  <si>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</si>
  <si>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</si>
  <si>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</si>
  <si>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</si>
  <si>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</si>
  <si>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</si>
  <si>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</si>
  <si>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</si>
  <si>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</si>
  <si>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</si>
  <si>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</si>
  <si>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</si>
  <si>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</si>
  <si>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</si>
  <si>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</si>
  <si>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</si>
  <si>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</si>
  <si>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</si>
  <si>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</si>
  <si>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</si>
  <si>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</si>
  <si>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</si>
  <si>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</si>
  <si>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</si>
  <si>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</si>
  <si>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</si>
  <si>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</si>
  <si>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</si>
  <si>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</si>
  <si>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</si>
  <si>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</si>
  <si>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</si>
  <si>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</si>
  <si>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</si>
  <si>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</si>
  <si>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</si>
  <si>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</si>
  <si>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</si>
  <si>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</si>
  <si>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</si>
  <si>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</si>
  <si>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</si>
  <si>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</si>
  <si>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</si>
  <si>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</si>
  <si>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</si>
  <si>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</si>
  <si>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</si>
  <si>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</si>
  <si>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</si>
  <si>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</si>
  <si>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</si>
  <si>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</si>
  <si>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</si>
  <si>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</si>
  <si>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</si>
  <si>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</si>
  <si>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</si>
  <si>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</si>
  <si>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</si>
  <si>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</si>
  <si>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</si>
  <si>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</si>
  <si>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</si>
  <si>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</si>
  <si>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</si>
  <si>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</si>
  <si>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</si>
  <si>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</si>
  <si>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</si>
  <si>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</si>
  <si>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</si>
  <si>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</si>
  <si>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</si>
  <si>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</si>
  <si>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</si>
  <si>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</si>
  <si>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</si>
  <si>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</si>
  <si>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</si>
  <si>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</si>
  <si>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</si>
  <si>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</si>
  <si>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</si>
  <si>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</si>
  <si>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</si>
  <si>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</si>
  <si>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</si>
  <si>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</si>
  <si>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</si>
  <si>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</si>
  <si>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</si>
  <si>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</si>
  <si>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</si>
  <si>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</si>
  <si>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</si>
  <si>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</si>
  <si>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</si>
  <si>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</si>
  <si>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</si>
  <si>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</si>
  <si>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</si>
  <si>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</si>
  <si>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</si>
  <si>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</si>
  <si>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</si>
  <si>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</si>
  <si>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</si>
  <si>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</si>
  <si>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</si>
  <si>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</si>
  <si>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</si>
  <si>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</si>
  <si>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</si>
  <si>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</si>
  <si>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</si>
  <si>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</si>
  <si>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</si>
  <si>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</si>
  <si>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</si>
  <si>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</si>
  <si>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</si>
  <si>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</si>
  <si>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</si>
  <si>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</si>
  <si>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</si>
  <si>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</si>
  <si>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</si>
  <si>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</si>
  <si>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</si>
  <si>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</si>
  <si>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</si>
  <si>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</si>
  <si>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</si>
  <si>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</si>
  <si>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</si>
  <si>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</si>
  <si>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</si>
  <si>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</si>
  <si>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</si>
  <si>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</si>
  <si>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</si>
  <si>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</si>
  <si>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</si>
  <si>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</si>
  <si>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</si>
  <si>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</si>
  <si>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</si>
  <si>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</si>
  <si>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</si>
  <si>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</si>
  <si>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</si>
  <si>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</si>
  <si>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</si>
  <si>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</si>
  <si>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</si>
  <si>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</si>
  <si>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</si>
  <si>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</si>
  <si>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</si>
  <si>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</si>
  <si>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</si>
  <si>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</si>
  <si>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</si>
  <si>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</si>
  <si>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</si>
  <si>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</si>
  <si>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</si>
  <si>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</si>
  <si>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</si>
  <si>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</si>
  <si>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</si>
  <si>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</si>
  <si>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</si>
  <si>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</si>
  <si>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</si>
  <si>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</si>
  <si>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</si>
  <si>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</si>
  <si>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</si>
  <si>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</si>
  <si>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</si>
  <si>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</si>
  <si>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</si>
  <si>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</si>
  <si>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</si>
  <si>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</si>
  <si>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</si>
  <si>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</si>
  <si>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</si>
  <si>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</si>
  <si>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</si>
  <si>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</si>
  <si>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</si>
  <si>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</si>
  <si>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</si>
  <si>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</si>
  <si>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</si>
  <si>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</si>
  <si>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</si>
  <si>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</si>
  <si>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</si>
  <si>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</si>
  <si>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</si>
  <si>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</si>
  <si>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</si>
  <si>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</si>
  <si>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</si>
  <si>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</si>
  <si>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</si>
  <si>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</si>
  <si>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</si>
  <si>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</si>
  <si>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</si>
  <si>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</si>
  <si>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</si>
  <si>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</si>
  <si>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</si>
  <si>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</si>
  <si>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</si>
  <si>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</si>
  <si>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</si>
  <si>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</si>
  <si>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</si>
  <si>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</si>
  <si>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</si>
  <si>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</si>
  <si>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</si>
  <si>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</si>
  <si>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</si>
  <si>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</si>
  <si>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</si>
  <si>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</si>
  <si>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</si>
  <si>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</si>
  <si>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</si>
  <si>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</si>
  <si>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</si>
  <si>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</si>
  <si>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</si>
  <si>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</si>
  <si>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</si>
  <si>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</si>
  <si>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</si>
  <si>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</si>
  <si>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</si>
  <si>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</si>
  <si>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</si>
  <si>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</si>
  <si>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</si>
  <si>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</si>
  <si>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</si>
  <si>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</si>
  <si>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</si>
  <si>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</si>
  <si>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</si>
  <si>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</si>
  <si>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</si>
  <si>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</si>
  <si>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</si>
  <si>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</si>
  <si>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</si>
  <si>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</si>
  <si>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</si>
  <si>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</si>
  <si>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</si>
  <si>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</si>
  <si>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</si>
  <si>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</si>
  <si>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</si>
  <si>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</si>
  <si>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</si>
  <si>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</si>
  <si>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</si>
  <si>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</si>
  <si>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</si>
  <si>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</si>
  <si>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</si>
  <si>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</si>
  <si>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</si>
  <si>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</si>
  <si>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</si>
  <si>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</si>
  <si>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</si>
  <si>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</si>
  <si>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</si>
  <si>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</si>
  <si>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</si>
  <si>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</si>
  <si>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</si>
  <si>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</si>
  <si>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</si>
  <si>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</si>
  <si>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</si>
  <si>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</si>
  <si>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</si>
  <si>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</si>
  <si>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</si>
  <si>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</si>
  <si>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</si>
  <si>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</si>
  <si>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</si>
  <si>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</si>
  <si>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</si>
  <si>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</si>
  <si>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</si>
  <si>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</si>
  <si>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</si>
  <si>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</si>
  <si>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</si>
  <si>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</si>
  <si>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</si>
  <si>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</si>
  <si>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</si>
  <si>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</si>
  <si>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</si>
  <si>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</si>
  <si>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</si>
  <si>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</si>
  <si>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</si>
  <si>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</si>
  <si>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</si>
  <si>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</si>
  <si>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</si>
  <si>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</si>
  <si>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</si>
  <si>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</si>
  <si>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</si>
  <si>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</si>
  <si>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</si>
  <si>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</si>
  <si>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</si>
  <si>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</si>
  <si>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</si>
  <si>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</si>
  <si>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</si>
  <si>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</si>
  <si>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</si>
  <si>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</si>
  <si>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</si>
  <si>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</si>
  <si>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</si>
  <si>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</si>
  <si>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</si>
  <si>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</si>
  <si>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</si>
  <si>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</si>
  <si>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</si>
  <si>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</si>
  <si>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</si>
  <si>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</si>
  <si>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</si>
  <si>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</si>
  <si>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</si>
  <si>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</si>
  <si>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</si>
  <si>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</si>
  <si>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</si>
  <si>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</si>
  <si>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</si>
  <si>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</si>
  <si>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</si>
  <si>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</si>
  <si>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</si>
  <si>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</si>
  <si>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</si>
  <si>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</si>
  <si>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</si>
  <si>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</si>
  <si>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</si>
  <si>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</si>
  <si>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</si>
  <si>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</si>
  <si>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</si>
  <si>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</si>
  <si>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</si>
  <si>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</si>
  <si>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</si>
  <si>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</si>
  <si>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</si>
  <si>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</si>
  <si>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</si>
  <si>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</si>
  <si>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</si>
  <si>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</si>
  <si>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</si>
  <si>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</si>
  <si>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</si>
  <si>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</si>
  <si>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</si>
  <si>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</si>
  <si>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</si>
  <si>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</si>
  <si>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</si>
  <si>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</si>
  <si>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</si>
  <si>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</si>
  <si>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</si>
  <si>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</si>
  <si>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</si>
  <si>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</si>
  <si>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</si>
  <si>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</si>
  <si>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</si>
  <si>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</si>
  <si>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</si>
  <si>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</si>
  <si>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</si>
  <si>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</si>
  <si>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</si>
  <si>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</si>
  <si>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</si>
  <si>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</si>
  <si>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</si>
  <si>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</si>
  <si>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</si>
  <si>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</si>
  <si>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</si>
  <si>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</si>
  <si>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</si>
  <si>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</si>
  <si>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</si>
  <si>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</si>
  <si>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</si>
  <si>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</si>
  <si>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</si>
  <si>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</si>
  <si>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</si>
  <si>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</si>
  <si>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</si>
  <si>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</si>
  <si>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</si>
  <si>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</si>
  <si>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</si>
  <si>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</si>
  <si>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</si>
  <si>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</si>
  <si>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</si>
  <si>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</si>
  <si>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</si>
  <si>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</si>
  <si>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</si>
  <si>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</si>
  <si>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</si>
  <si>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</si>
  <si>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</si>
  <si>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</si>
  <si>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</si>
  <si>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</si>
  <si>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</si>
  <si>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</si>
  <si>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</si>
  <si>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</si>
  <si>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</si>
  <si>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</si>
  <si>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</si>
  <si>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</si>
  <si>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</si>
  <si>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</si>
  <si>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</si>
  <si>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</si>
  <si>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</si>
  <si>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</si>
  <si>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</si>
  <si>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</si>
  <si>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</si>
  <si>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</si>
  <si>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</si>
  <si>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</si>
  <si>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</si>
  <si>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</si>
  <si>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</si>
  <si>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</si>
  <si>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</si>
  <si>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</si>
  <si>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</si>
  <si>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</si>
  <si>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</si>
  <si>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</si>
  <si>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</si>
  <si>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</si>
  <si>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</si>
  <si>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</si>
  <si>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</si>
  <si>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</si>
  <si>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</si>
  <si>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</si>
  <si>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</si>
  <si>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</si>
  <si>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</si>
  <si>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</si>
  <si>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</si>
  <si>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</si>
  <si>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</si>
  <si>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</si>
  <si>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</si>
  <si>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</si>
  <si>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</si>
  <si>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</si>
  <si>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</si>
  <si>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</si>
  <si>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</si>
  <si>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</si>
  <si>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</si>
  <si>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</si>
  <si>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</si>
  <si>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</si>
  <si>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</si>
  <si>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</si>
  <si>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</si>
  <si>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</si>
  <si>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</si>
  <si>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</si>
  <si>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</si>
  <si>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</si>
  <si>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</si>
  <si>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</si>
  <si>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</si>
  <si>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</si>
  <si>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</si>
  <si>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</si>
  <si>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</si>
  <si>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</si>
  <si>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</si>
  <si>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</si>
  <si>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</si>
  <si>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</si>
  <si>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</si>
  <si>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</si>
  <si>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</si>
  <si>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</si>
  <si>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</si>
  <si>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</si>
  <si>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</si>
  <si>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</si>
  <si>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</si>
  <si>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</si>
  <si>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</si>
  <si>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</si>
  <si>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</si>
  <si>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</si>
  <si>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</si>
  <si>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</si>
  <si>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</si>
  <si>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</si>
  <si>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</si>
  <si>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</si>
  <si>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</si>
  <si>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</si>
  <si>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</si>
  <si>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</si>
  <si>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</si>
  <si>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</si>
  <si>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</si>
  <si>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</si>
  <si>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</si>
  <si>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</si>
  <si>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</si>
  <si>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</si>
  <si>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</si>
  <si>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</si>
  <si>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</si>
  <si>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</si>
  <si>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</si>
  <si>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</si>
  <si>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</si>
  <si>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</si>
  <si>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</si>
  <si>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</si>
  <si>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</si>
  <si>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</si>
  <si>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</si>
  <si>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</si>
  <si>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</si>
  <si>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</si>
  <si>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</si>
  <si>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</si>
  <si>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</si>
  <si>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</si>
  <si>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</si>
  <si>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</si>
  <si>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</si>
  <si>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</si>
  <si>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</si>
  <si>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</si>
  <si>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</si>
  <si>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</si>
  <si>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</si>
  <si>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</si>
  <si>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</si>
  <si>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</si>
  <si>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</si>
  <si>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</si>
  <si>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</si>
  <si>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</si>
  <si>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</si>
  <si>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</si>
  <si>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</si>
  <si>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</si>
  <si>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</si>
  <si>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</si>
  <si>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</si>
  <si>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</si>
  <si>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</si>
  <si>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</si>
  <si>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</si>
  <si>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</si>
  <si>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</si>
  <si>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</si>
  <si>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</si>
  <si>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</si>
  <si>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</si>
  <si>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</si>
  <si>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</si>
  <si>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</si>
  <si>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</si>
  <si>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</si>
  <si>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</si>
  <si>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</si>
  <si>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</si>
  <si>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</si>
  <si>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</si>
  <si>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</si>
  <si>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</si>
  <si>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</si>
  <si>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</si>
  <si>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</si>
  <si>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</si>
  <si>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</si>
  <si>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</si>
  <si>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</si>
  <si>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</si>
  <si>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</si>
  <si>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</si>
  <si>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</si>
  <si>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</si>
  <si>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</si>
  <si>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</si>
  <si>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</si>
  <si>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</si>
  <si>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</si>
  <si>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</si>
  <si>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</si>
  <si>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</si>
  <si>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</si>
  <si>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</si>
  <si>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</si>
  <si>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</si>
  <si>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</si>
  <si>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</si>
  <si>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</si>
  <si>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</si>
  <si>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</si>
  <si>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</si>
  <si>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</si>
  <si>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</si>
  <si>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</si>
  <si>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</si>
  <si>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</si>
  <si>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</si>
  <si>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</si>
  <si>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</si>
  <si>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</si>
  <si>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</si>
  <si>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</si>
  <si>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</si>
  <si>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</si>
  <si>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</si>
  <si>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</si>
  <si>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</si>
  <si>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</si>
  <si>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</si>
  <si>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</si>
  <si>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</si>
  <si>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</si>
  <si>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</si>
  <si>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</si>
  <si>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</si>
  <si>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</si>
  <si>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</si>
  <si>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</si>
  <si>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</si>
  <si>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</si>
  <si>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</si>
  <si>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</si>
  <si>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</si>
  <si>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</si>
  <si>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</si>
  <si>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</si>
  <si>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</si>
  <si>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</si>
  <si>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</si>
  <si>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</si>
  <si>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</si>
  <si>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</si>
  <si>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</si>
  <si>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</si>
  <si>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</si>
  <si>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</si>
  <si>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</si>
  <si>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</si>
  <si>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</si>
  <si>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</si>
  <si>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</si>
  <si>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</si>
  <si>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</si>
  <si>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</si>
  <si>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</si>
  <si>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</si>
  <si>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</si>
  <si>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</si>
  <si>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</si>
  <si>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</si>
  <si>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</si>
  <si>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</si>
  <si>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</si>
  <si>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</si>
  <si>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</si>
  <si>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</si>
  <si>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</si>
  <si>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</si>
  <si>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</si>
  <si>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</si>
  <si>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</si>
  <si>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</si>
  <si>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</si>
  <si>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</si>
  <si>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</si>
  <si>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</si>
  <si>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</si>
  <si>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</si>
  <si>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</si>
  <si>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</si>
  <si>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</si>
  <si>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</si>
  <si>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</si>
  <si>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</si>
  <si>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</si>
  <si>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</si>
  <si>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</si>
  <si>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</si>
  <si>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</si>
  <si>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</si>
  <si>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</si>
  <si>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</si>
  <si>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</si>
  <si>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</si>
  <si>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</si>
  <si>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</si>
  <si>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</si>
  <si>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</si>
  <si>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</si>
  <si>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</si>
  <si>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</si>
  <si>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</si>
  <si>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</si>
  <si>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</si>
  <si>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</si>
  <si>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</si>
  <si>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</si>
  <si>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</si>
  <si>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</si>
  <si>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</si>
  <si>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</si>
  <si>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</si>
  <si>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</si>
  <si>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</si>
  <si>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</si>
  <si>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</si>
  <si>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</si>
  <si>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</si>
  <si>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</si>
  <si>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</si>
  <si>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</si>
  <si>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</si>
  <si>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</si>
  <si>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</si>
  <si>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</si>
  <si>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</si>
  <si>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</si>
  <si>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</si>
  <si>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</si>
  <si>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</si>
  <si>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</si>
  <si>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</si>
  <si>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</si>
  <si>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</si>
  <si>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</si>
  <si>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</si>
  <si>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</si>
  <si>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</si>
  <si>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</si>
  <si>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</si>
  <si>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</si>
  <si>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</si>
  <si>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</si>
  <si>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</si>
  <si>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</si>
  <si>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</si>
  <si>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</si>
  <si>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</si>
  <si>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</si>
  <si>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</si>
  <si>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</si>
  <si>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</si>
  <si>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</si>
  <si>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</si>
  <si>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</si>
  <si>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</si>
  <si>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</si>
  <si>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</si>
  <si>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</si>
  <si>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</si>
  <si>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</si>
  <si>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</si>
  <si>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</si>
  <si>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</si>
  <si>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</si>
  <si>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</si>
  <si>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</si>
  <si>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</si>
  <si>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</si>
  <si>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</si>
  <si>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</si>
  <si>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</si>
  <si>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</si>
  <si>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</si>
  <si>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</si>
  <si>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</si>
  <si>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</si>
  <si>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</si>
  <si>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</si>
  <si>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</si>
  <si>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</si>
  <si>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</si>
  <si>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</si>
  <si>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</si>
  <si>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</si>
  <si>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</si>
  <si>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</si>
  <si>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</si>
  <si>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</si>
  <si>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</si>
  <si>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</si>
  <si>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</si>
  <si>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</si>
  <si>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</si>
  <si>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</si>
  <si>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</si>
  <si>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</si>
  <si>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</si>
  <si>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</si>
  <si>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</si>
  <si>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</si>
  <si>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</si>
  <si>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</si>
  <si>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</si>
  <si>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</si>
  <si>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</si>
  <si>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</si>
  <si>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</si>
  <si>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</si>
  <si>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</si>
  <si>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</si>
  <si>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</si>
  <si>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</si>
  <si>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</si>
  <si>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</si>
  <si>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</si>
  <si>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</si>
  <si>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</si>
  <si>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</si>
  <si>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</si>
  <si>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</si>
  <si>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</si>
  <si>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</si>
  <si>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</si>
  <si>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</si>
  <si>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</si>
  <si>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</si>
  <si>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</si>
  <si>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</si>
  <si>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</si>
  <si>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</si>
  <si>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</si>
  <si>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</si>
  <si>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</si>
  <si>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</si>
  <si>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</si>
  <si>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</si>
  <si>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</si>
  <si>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</si>
  <si>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</si>
  <si>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</si>
  <si>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</si>
  <si>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</si>
  <si>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</si>
  <si>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</si>
  <si>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</si>
  <si>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</si>
  <si>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</si>
  <si>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</si>
  <si>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</si>
  <si>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</si>
  <si>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</si>
  <si>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</si>
  <si>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</si>
  <si>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</si>
  <si>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</si>
  <si>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</si>
  <si>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</si>
  <si>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</si>
  <si>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</si>
  <si>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</si>
  <si>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</si>
  <si>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</si>
  <si>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</si>
  <si>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</si>
  <si>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</si>
  <si>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</si>
  <si>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</si>
  <si>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</si>
  <si>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</si>
  <si>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</si>
  <si>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</si>
  <si>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</si>
  <si>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</si>
  <si>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</si>
  <si>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</si>
  <si>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</si>
  <si>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</si>
  <si>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</si>
  <si>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</si>
  <si>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</si>
  <si>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</si>
  <si>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</si>
  <si>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</si>
  <si>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</si>
  <si>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</si>
  <si>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</si>
  <si>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</si>
  <si>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</si>
  <si>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</si>
  <si>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</si>
  <si>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</si>
  <si>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</si>
  <si>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</si>
  <si>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</si>
  <si>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</si>
  <si>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</si>
  <si>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</si>
  <si>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</si>
  <si>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</si>
  <si>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</si>
  <si>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</si>
  <si>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</si>
  <si>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</si>
  <si>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</si>
  <si>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</si>
  <si>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</si>
  <si>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</si>
  <si>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</si>
  <si>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</si>
  <si>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</si>
  <si>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</si>
  <si>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</si>
  <si>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</si>
  <si>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</si>
  <si>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</si>
  <si>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</si>
  <si>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</si>
  <si>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</si>
  <si>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</si>
  <si>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</si>
  <si>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</si>
  <si>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</si>
  <si>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</si>
  <si>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</si>
  <si>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</si>
  <si>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</si>
  <si>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</si>
  <si>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</si>
  <si>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</si>
  <si>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</si>
  <si>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</si>
  <si>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</si>
  <si>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</si>
  <si>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</si>
  <si>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</si>
  <si>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</si>
  <si>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</si>
  <si>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</si>
  <si>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</si>
  <si>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</si>
  <si>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</si>
  <si>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</si>
  <si>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</si>
  <si>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</si>
  <si>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</si>
  <si>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</si>
  <si>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</si>
  <si>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</si>
  <si>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</si>
  <si>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</si>
  <si>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</si>
  <si>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</si>
  <si>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</si>
  <si>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</si>
  <si>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</si>
  <si>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</si>
  <si>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</si>
  <si>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</si>
  <si>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</si>
  <si>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</si>
  <si>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</si>
  <si>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</si>
  <si>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</si>
  <si>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</si>
  <si>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</si>
  <si>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</si>
  <si>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</si>
  <si>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</si>
  <si>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</si>
  <si>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</si>
  <si>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</si>
  <si>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</si>
  <si>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</si>
  <si>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</si>
  <si>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</si>
  <si>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</si>
  <si>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</si>
  <si>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</si>
  <si>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</si>
  <si>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</si>
  <si>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</si>
  <si>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</si>
  <si>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</si>
  <si>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</si>
  <si>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</si>
  <si>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</si>
  <si>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</si>
  <si>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</si>
  <si>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</si>
  <si>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</si>
  <si>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</si>
  <si>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</si>
  <si>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</si>
  <si>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</si>
  <si>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</si>
  <si>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</si>
  <si>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</si>
  <si>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</si>
  <si>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2023-1</t>
    <phoneticPr fontId="3" type="noConversion"/>
  </si>
  <si>
    <t>2022-4</t>
    <phoneticPr fontId="3" type="noConversion"/>
  </si>
  <si>
    <t>郑燚</t>
  </si>
  <si>
    <t>崔锴</t>
  </si>
  <si>
    <t>工行翠微路</t>
    <phoneticPr fontId="6" type="noConversion"/>
  </si>
  <si>
    <t>北京巴瑞医疗器械有限公司</t>
    <phoneticPr fontId="6" type="noConversion"/>
  </si>
  <si>
    <t>北京市</t>
  </si>
  <si>
    <t>企业</t>
  </si>
  <si>
    <t>抵押</t>
  </si>
  <si>
    <t>房地产抵押价值</t>
  </si>
  <si>
    <t>通路</t>
  </si>
  <si>
    <t>在建</t>
  </si>
  <si>
    <t>通电</t>
  </si>
  <si>
    <t>通讯</t>
  </si>
  <si>
    <t>通上水</t>
  </si>
  <si>
    <t>通下水</t>
  </si>
  <si>
    <t>通热</t>
  </si>
  <si>
    <t>燃气</t>
  </si>
  <si>
    <t>Ⅷ-生物医药基地</t>
  </si>
  <si>
    <r>
      <t>1#</t>
    </r>
    <r>
      <rPr>
        <sz val="10"/>
        <color indexed="8"/>
        <rFont val="宋体"/>
        <family val="3"/>
        <charset val="134"/>
      </rPr>
      <t>厂房</t>
    </r>
    <phoneticPr fontId="3" type="noConversion"/>
  </si>
  <si>
    <t>是</t>
  </si>
  <si>
    <t>地上</t>
  </si>
  <si>
    <t>标准厂房</t>
  </si>
  <si>
    <t>办公楼</t>
  </si>
  <si>
    <r>
      <t>2#</t>
    </r>
    <r>
      <rPr>
        <sz val="10"/>
        <color indexed="8"/>
        <rFont val="宋体"/>
        <family val="3"/>
        <charset val="134"/>
      </rPr>
      <t>厂房</t>
    </r>
    <phoneticPr fontId="3" type="noConversion"/>
  </si>
  <si>
    <r>
      <t>3#</t>
    </r>
    <r>
      <rPr>
        <sz val="10"/>
        <color indexed="8"/>
        <rFont val="宋体"/>
        <family val="3"/>
        <charset val="134"/>
      </rPr>
      <t>厂房</t>
    </r>
    <phoneticPr fontId="3" type="noConversion"/>
  </si>
  <si>
    <t>戊类库房</t>
  </si>
  <si>
    <t>门卫</t>
    <phoneticPr fontId="3" type="noConversion"/>
  </si>
  <si>
    <t>地下车库</t>
  </si>
  <si>
    <t>地下车库</t>
    <phoneticPr fontId="3" type="noConversion"/>
  </si>
  <si>
    <t>地下</t>
  </si>
  <si>
    <t>工业</t>
    <phoneticPr fontId="7" type="noConversion"/>
  </si>
  <si>
    <t>地下车库</t>
    <phoneticPr fontId="7" type="noConversion"/>
  </si>
  <si>
    <t>利息：取LPR加浮动点数</t>
  </si>
  <si>
    <t>工程进度</t>
  </si>
  <si>
    <t>研发</t>
    <phoneticPr fontId="3" type="noConversion"/>
  </si>
  <si>
    <t>办公</t>
    <phoneticPr fontId="3" type="noConversion"/>
  </si>
  <si>
    <t>仓储</t>
    <phoneticPr fontId="3" type="noConversion"/>
  </si>
  <si>
    <t>收益法</t>
  </si>
  <si>
    <t>押一</t>
  </si>
  <si>
    <t>在建（套用方法）</t>
  </si>
  <si>
    <t>钢</t>
  </si>
  <si>
    <t>非生产用房</t>
  </si>
  <si>
    <t>否</t>
  </si>
  <si>
    <t>未包含在土地购买价格中</t>
  </si>
  <si>
    <t>全部缴纳</t>
  </si>
  <si>
    <t>已包含在土地取得成本中</t>
  </si>
  <si>
    <t>宗地容积率</t>
  </si>
  <si>
    <t>与级别开发程度不一致</t>
  </si>
  <si>
    <t>平整</t>
  </si>
  <si>
    <t>较好</t>
  </si>
  <si>
    <t>一般</t>
  </si>
  <si>
    <t>好</t>
  </si>
  <si>
    <t>项目全部</t>
  </si>
  <si>
    <t>成本法</t>
  </si>
  <si>
    <t>假设开发法</t>
  </si>
  <si>
    <t>地块名称</t>
  </si>
  <si>
    <t>地块编号</t>
  </si>
  <si>
    <t>区县</t>
  </si>
  <si>
    <t>用地性质</t>
  </si>
  <si>
    <t>成交状态</t>
  </si>
  <si>
    <t>容积率</t>
  </si>
  <si>
    <t>详细规划</t>
  </si>
  <si>
    <t>规划建筑面积(㎡)</t>
  </si>
  <si>
    <t>建设用地面积(㎡)</t>
  </si>
  <si>
    <t>截止日期</t>
  </si>
  <si>
    <t>起始价(万元)</t>
  </si>
  <si>
    <t>成交日期</t>
  </si>
  <si>
    <t>成交价(万元)</t>
  </si>
  <si>
    <t>成交楼面价(元/㎡)</t>
  </si>
  <si>
    <t>溢价率(%)</t>
  </si>
  <si>
    <t>受让单位</t>
  </si>
  <si>
    <t>大兴生物医药产业基地DX00-0501-0051-2地块M1工业用地国有建设用地使用权出让公告</t>
  </si>
  <si>
    <t>京规自挂(兴)工业[2022]002号</t>
  </si>
  <si>
    <t xml:space="preserve"> 大兴区  </t>
  </si>
  <si>
    <t xml:space="preserve"> 已成交  </t>
  </si>
  <si>
    <t xml:space="preserve"> ≥1.0,≤1.0  </t>
  </si>
  <si>
    <t xml:space="preserve"> 工业用地  </t>
  </si>
  <si>
    <t>2022-06-30</t>
  </si>
  <si>
    <t xml:space="preserve"> 北京华洋奎龙药业有限公司  </t>
  </si>
  <si>
    <t>大兴生物医药产业基地DX00-0501-0057地块M1一类工业用地国有建设用地使用权出让挂牌文件</t>
  </si>
  <si>
    <t>大兴生物医药产业基地DX00-0501-0057地块</t>
  </si>
  <si>
    <t xml:space="preserve"> ≤1.5  </t>
  </si>
  <si>
    <t xml:space="preserve"> 工业  </t>
  </si>
  <si>
    <t>2021-10-11</t>
  </si>
  <si>
    <t xml:space="preserve"> 北京谊安和瑞技术有限公司  </t>
  </si>
  <si>
    <t>大兴生物医药产业基地DX00-0502-0045地块M1一类工业用地国有建设用地使用权出让挂牌文件</t>
  </si>
  <si>
    <t>大兴生物医药产业基地DX00-0502-0045地块</t>
  </si>
  <si>
    <t xml:space="preserve"> ≤0.8  </t>
  </si>
  <si>
    <t xml:space="preserve"> 北京生物医药产业基地发展有限公司  </t>
  </si>
  <si>
    <t>大兴生物医药产业基地DX00-0501-0051-1地块M1一类工业用地国有建设用地使用权出让挂牌文件</t>
  </si>
  <si>
    <t>大兴生物医药产业基地DX00-0501-0051-1地块</t>
  </si>
  <si>
    <t xml:space="preserve"> 北京巴瑞医疗器械有限公司  </t>
  </si>
  <si>
    <t>大兴生物医药产业基地DX00-0501-0061地块M1一类工业用地国有建设用地使用权出让挂牌文件</t>
  </si>
  <si>
    <t>大兴生物医药产业基地DX00-0501-0061地块</t>
  </si>
  <si>
    <t>大兴生物医药产业基地DX00-0502-0029地块M1一类工业用地</t>
  </si>
  <si>
    <t>京土整储挂(兴)工业[2021]003号</t>
  </si>
  <si>
    <t>2021-08-25</t>
  </si>
  <si>
    <t xml:space="preserve"> 北京药康生物科技有限公司  </t>
  </si>
  <si>
    <t>大兴生物医药产业基地DX00-0502-6004-3地块M1一类工业用地国有建设用地使用权出让</t>
  </si>
  <si>
    <t>京土整储挂(兴)工业[2020]004号</t>
  </si>
  <si>
    <t xml:space="preserve"> ≤2.0  </t>
  </si>
  <si>
    <t xml:space="preserve"> M1一类工业用地  </t>
  </si>
  <si>
    <t>2020-11-04</t>
  </si>
  <si>
    <t xml:space="preserve"> 北京热景生物技术股份有限公司  </t>
  </si>
  <si>
    <t>大兴生物医药产业基地DX00-0502-6016地块M1一类工业用地国有建设用地使用权出让</t>
  </si>
  <si>
    <t>京土整储挂(兴)工业[2020]005号</t>
  </si>
  <si>
    <t xml:space="preserve"> 北京沃森创新生物技术有限公司  </t>
  </si>
  <si>
    <t>大兴生物医药产业基地DX00-0502-6004-1地块M1工业项目用地</t>
  </si>
  <si>
    <t>京土整储挂(兴)工业[2020]003号</t>
  </si>
  <si>
    <t xml:space="preserve"> 一类工业用地(M1)  </t>
  </si>
  <si>
    <t>2020-07-29</t>
  </si>
  <si>
    <t xml:space="preserve"> 北京三元基因药业股份有限公司  </t>
  </si>
  <si>
    <t>大兴生物医药产业基地DX00-0502-6004-2地块工业用地国有建设用地使用权出让</t>
  </si>
  <si>
    <t>京土整储挂(兴)工业【2020】002号</t>
  </si>
  <si>
    <t>2020-05-21</t>
  </si>
  <si>
    <t xml:space="preserve"> 北京赛诺希德医疗科技有限公司  </t>
  </si>
  <si>
    <t>大兴生物医药产业基地DX00-0502-6014-3地块工业用地</t>
  </si>
  <si>
    <t>京土整储挂(兴)工业[2020]001号</t>
  </si>
  <si>
    <t xml:space="preserve"> 工业厂房  </t>
  </si>
  <si>
    <t>2020-04-06</t>
  </si>
  <si>
    <t xml:space="preserve"> 北京本草方源药业集团有限公司  </t>
  </si>
  <si>
    <t>大兴生物医药产业基地项目DX00-0502-6009地块工业用地</t>
  </si>
  <si>
    <t>京土整储挂(兴)工业[2019]002号</t>
  </si>
  <si>
    <t>2019-12-22</t>
  </si>
  <si>
    <t xml:space="preserve"> 北京费森尤斯卡比医药有限公司  </t>
  </si>
  <si>
    <t>大兴生物医药产业基地0501-023地块工业用地国有建设用地</t>
  </si>
  <si>
    <t>京土整储挂(兴)工业[2018]003号</t>
  </si>
  <si>
    <t>2019-01-17</t>
  </si>
  <si>
    <t xml:space="preserve"> 中关村医疗器械园有限公司  </t>
  </si>
  <si>
    <t>大兴生物医药产业基地0503-039、040、043、044地块工业用地</t>
  </si>
  <si>
    <t>京土整储挂(兴)工业[2018]004号</t>
  </si>
  <si>
    <t xml:space="preserve"> 北京民海生物科技有限公司  </t>
  </si>
  <si>
    <t>大兴生物医药产业基地0503-011-1、014-1、016-1地块工业用地国有建设用地使用权出让</t>
  </si>
  <si>
    <t>京土整储挂(兴)工业[2018]002号</t>
  </si>
  <si>
    <t>2018-12-29</t>
  </si>
  <si>
    <t>七通</t>
  </si>
  <si>
    <t>楼面地价</t>
  </si>
  <si>
    <t>工业</t>
    <phoneticPr fontId="32" type="noConversion"/>
  </si>
  <si>
    <t>较规则</t>
  </si>
  <si>
    <t>较规则</t>
    <phoneticPr fontId="32" type="noConversion"/>
  </si>
  <si>
    <t>七通</t>
    <phoneticPr fontId="32" type="noConversion"/>
  </si>
  <si>
    <t>六通</t>
    <phoneticPr fontId="32" type="noConversion"/>
  </si>
  <si>
    <t>五通</t>
    <phoneticPr fontId="32" type="noConversion"/>
  </si>
  <si>
    <t>四通</t>
  </si>
  <si>
    <t>四通</t>
    <phoneticPr fontId="32" type="noConversion"/>
  </si>
  <si>
    <t>较好</t>
    <phoneticPr fontId="32" type="noConversion"/>
  </si>
  <si>
    <t>总价</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</si>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</sst>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0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77" fillId="7" borderId="150" xfId="0" applyFont="1" applyFill="1" applyBorder="1" applyAlignment="1" applyProtection="1">
      <alignment vertical="center" wrapText="1"/>
      <protection locked="0"/>
    </xf>
    <xf numFmtId="0" fontId="77" fillId="7" borderId="5" xfId="0" applyFont="1" applyFill="1" applyBorder="1" applyAlignment="1" applyProtection="1">
      <alignment vertical="center"/>
      <protection locked="0"/>
    </xf>
    <xf numFmtId="0" fontId="77" fillId="0" borderId="1" xfId="0" applyFont="1" applyBorder="1" applyAlignment="1" applyProtection="1">
      <alignment vertical="center" wrapText="1"/>
      <protection locked="0"/>
    </xf>
    <xf numFmtId="0" fontId="77" fillId="12" borderId="0" xfId="0" applyFont="1" applyFill="1" applyAlignment="1" applyProtection="1">
      <alignment vertical="center"/>
      <protection locked="0"/>
    </xf>
    <xf numFmtId="0" fontId="0" fillId="0" borderId="0" xfId="0" applyNumberFormat="1" applyAlignment="1"/>
    <xf numFmtId="14" fontId="0" fillId="0" borderId="0" xfId="0" applyNumberFormat="1" applyAlignment="1"/>
    <xf numFmtId="0" fontId="0" fillId="16" borderId="0" xfId="0" applyNumberFormat="1" applyFill="1" applyAlignment="1"/>
    <xf numFmtId="14" fontId="0" fillId="16" borderId="0" xfId="0" applyNumberFormat="1" applyFill="1" applyAlignment="1"/>
    <xf numFmtId="0" fontId="0" fillId="5" borderId="0" xfId="0" applyNumberFormat="1" applyFill="1" applyAlignment="1"/>
    <xf numFmtId="14" fontId="0" fillId="5" borderId="0" xfId="0" applyNumberFormat="1" applyFill="1" applyAlignment="1"/>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北京市出让国有建设用地使用权及在建建筑物房地产抵押价值预评估</v>
      </c>
    </row>
    <row r="3" spans="1:2" s="1203" customFormat="1">
      <c r="A3" s="1201" t="s">
        <v>523</v>
      </c>
      <c r="B3" s="1202" t="str">
        <f>'预评函-封皮'!B40</f>
        <v>工行翠微路</v>
      </c>
    </row>
    <row r="4" spans="1:2" s="1203" customFormat="1">
      <c r="A4" s="1201" t="s">
        <v>524</v>
      </c>
      <c r="B4" s="1202" t="str">
        <f ca="1">'预评函-封皮'!B46</f>
        <v>郑燚（注册号：1120070131)、崔锴（注册号：1120100036)</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受贵公司委托，我公司对北京市出让国有建设用地使用权及在建建筑物房地产抵押价值进行了预评估。</v>
      </c>
    </row>
    <row r="7" spans="1:2" s="1203" customFormat="1">
      <c r="A7" s="1201" t="s">
        <v>566</v>
      </c>
      <c r="B7" s="1202" t="str">
        <f>'预评函-1'!A7</f>
        <v>估价对象为北京市出让国有建设用地使用权及在建建筑物房地产，为北京巴瑞医疗器械有限公司所有。根据《国有土地使用证》[]，估价对象（分摊）出让国有建设用地使用权面积为23254.45平方米，建筑面积为34689.1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出让国有建设用地使用权及在建建筑物房地产,为北京巴瑞医疗器械有限公司开发建设的，该项目尚在开发建设中。根据《国有土地使用证》[]，估价对象（分摊）出让国有建设用地使用权面积为23254.45平方米，规划建筑面积为34689.1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北京巴瑞医疗器械有限公司拟使用北京市出让国有建设用地使用权及在建建筑物房地产作为抵押担保物，向工行翠微路办理贷款手续。工行翠微路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2023年4月28日（评估专业人员实地查勘之日）</v>
      </c>
    </row>
    <row r="13" spans="1:2" s="1203" customFormat="1">
      <c r="A13" s="1201" t="s">
        <v>529</v>
      </c>
      <c r="B13" s="1202" t="str">
        <f>'预评函-1'!A18</f>
        <v>本次估价的“房地产价值”是指在正常市场情况下，在价值时点2023年4月28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5" thickBot="1">
      <c r="A18" s="1204" t="s">
        <v>534</v>
      </c>
      <c r="B18" s="1205" t="str">
        <f>'预评函-1'!A24</f>
        <v>本次评估采用的主估价方法为成本法和假设开发法。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13149</v>
      </c>
    </row>
    <row r="21" spans="1:2" s="1203" customFormat="1">
      <c r="A21" s="1201" t="s">
        <v>537</v>
      </c>
      <c r="B21" s="1202">
        <f ca="1">'预评函-2'!D7</f>
        <v>3791</v>
      </c>
    </row>
    <row r="22" spans="1:2" s="1203" customFormat="1">
      <c r="A22" s="1201" t="s">
        <v>538</v>
      </c>
      <c r="B22" s="1202" t="str">
        <f ca="1">'预评函-2'!D6</f>
        <v>壹亿叁仟壹佰肆拾玖万元整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13149</v>
      </c>
    </row>
    <row r="31" spans="1:2" s="1203" customFormat="1">
      <c r="A31" s="1201" t="s">
        <v>576</v>
      </c>
      <c r="B31" s="1202">
        <f ca="1">'预评函-2'!D15</f>
        <v>3791</v>
      </c>
    </row>
    <row r="32" spans="1:2" s="1203" customFormat="1">
      <c r="A32" s="1201" t="s">
        <v>543</v>
      </c>
      <c r="B32" s="1202" t="str">
        <f ca="1">'预评函-2'!D14</f>
        <v>壹亿叁仟壹佰肆拾玖万元整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北京市出让国有建设用地使用权及在建建筑物房地产</v>
      </c>
    </row>
    <row r="42" spans="1:2" s="1203" customFormat="1">
      <c r="A42" s="1201" t="s">
        <v>590</v>
      </c>
      <c r="B42" s="1202" t="str">
        <f>'预评函-3'!B2</f>
        <v>建筑面积</v>
      </c>
    </row>
    <row r="43" spans="1:2" s="1203" customFormat="1">
      <c r="A43" s="1201" t="s">
        <v>591</v>
      </c>
      <c r="B43" s="1202">
        <f>'预评函-3'!B4</f>
        <v>34689.100000000006</v>
      </c>
    </row>
    <row r="44" spans="1:2" s="1203" customFormat="1">
      <c r="A44" s="1201" t="s">
        <v>575</v>
      </c>
      <c r="B44" s="1202" t="str">
        <f>'预评函-3'!C2</f>
        <v>(分摊)土地面积</v>
      </c>
    </row>
    <row r="45" spans="1:2" s="1203" customFormat="1">
      <c r="A45" s="1201" t="s">
        <v>547</v>
      </c>
      <c r="B45" s="1202">
        <f>'预评函-3'!C4</f>
        <v>23254.45</v>
      </c>
    </row>
    <row r="46" spans="1:2" s="1203" customFormat="1">
      <c r="A46" s="1201" t="s">
        <v>573</v>
      </c>
      <c r="B46" s="1202" t="str">
        <f>'预评函-3'!D2</f>
        <v>出让国有建设用地使用权价值</v>
      </c>
    </row>
    <row r="47" spans="1:2" s="1203" customFormat="1">
      <c r="A47" s="1201" t="s">
        <v>548</v>
      </c>
      <c r="B47" s="1202">
        <f ca="1">'预评函-3'!D4</f>
        <v>3603</v>
      </c>
    </row>
    <row r="48" spans="1:2" s="1203" customFormat="1">
      <c r="A48" s="1201" t="s">
        <v>549</v>
      </c>
      <c r="B48" s="1202">
        <f ca="1">'预评函-3'!E4</f>
        <v>1039</v>
      </c>
    </row>
    <row r="49" spans="1:2" s="1203" customFormat="1">
      <c r="A49" s="1201" t="s">
        <v>550</v>
      </c>
      <c r="B49" s="1202" t="str">
        <f ca="1">'预评函-3'!D5</f>
        <v>叁仟陆佰零叁万元整</v>
      </c>
    </row>
    <row r="50" spans="1:2" s="1203" customFormat="1">
      <c r="A50" s="1201" t="s">
        <v>574</v>
      </c>
      <c r="B50" s="1202" t="str">
        <f>'预评函-3'!F2</f>
        <v>在建建筑物价值</v>
      </c>
    </row>
    <row r="51" spans="1:2" s="1203" customFormat="1">
      <c r="A51" s="1201" t="s">
        <v>551</v>
      </c>
      <c r="B51" s="1202">
        <f ca="1">'预评函-3'!F4</f>
        <v>9546</v>
      </c>
    </row>
    <row r="52" spans="1:2" s="1203" customFormat="1">
      <c r="A52" s="1201" t="s">
        <v>552</v>
      </c>
      <c r="B52" s="1202">
        <f ca="1">'预评函-3'!G4</f>
        <v>2752</v>
      </c>
    </row>
    <row r="53" spans="1:2" s="1203" customFormat="1">
      <c r="A53" s="1201" t="s">
        <v>580</v>
      </c>
      <c r="B53" s="1202" t="str">
        <f ca="1">'预评函-3'!F5</f>
        <v>玖仟伍佰肆拾陆万元整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郑燚</v>
      </c>
    </row>
    <row r="71" spans="1:2">
      <c r="A71" s="1201" t="s">
        <v>563</v>
      </c>
      <c r="B71" s="1202">
        <f ca="1">'预评函-4'!B4</f>
        <v>1120070131</v>
      </c>
    </row>
    <row r="72" spans="1:2">
      <c r="A72" s="1201" t="s">
        <v>564</v>
      </c>
      <c r="B72" s="1210" t="str">
        <f>'预评函-4'!A5</f>
        <v>崔锴</v>
      </c>
    </row>
    <row r="73" spans="1:2" s="1197" customFormat="1" ht="15" thickBot="1">
      <c r="A73" s="1204" t="s">
        <v>565</v>
      </c>
      <c r="B73" s="1205">
        <f ca="1">'预评函-4'!B5</f>
        <v>1120100036</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3354</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3340</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3341</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3342</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3343</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3344</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3345</v>
      </c>
    </row>
    <row r="8" spans="1:23">
      <c r="A8" s="1546" t="s">
        <v>1026</v>
      </c>
      <c r="B8" s="1546" t="s">
        <v>1027</v>
      </c>
      <c r="C8" s="1547" t="s">
        <v>319</v>
      </c>
      <c r="F8" s="1548" t="s">
        <v>1028</v>
      </c>
      <c r="H8" s="1548" t="s">
        <v>2578</v>
      </c>
      <c r="I8" s="1548" t="s">
        <v>3346</v>
      </c>
    </row>
    <row r="9" spans="1:23">
      <c r="A9" s="1546" t="s">
        <v>1029</v>
      </c>
      <c r="B9" s="1546" t="s">
        <v>1030</v>
      </c>
      <c r="C9" s="1547" t="s">
        <v>320</v>
      </c>
      <c r="F9" s="1548" t="s">
        <v>1031</v>
      </c>
      <c r="H9" s="1548"/>
      <c r="I9" s="1551" t="s">
        <v>3347</v>
      </c>
    </row>
    <row r="10" spans="1:23">
      <c r="A10" s="1546" t="s">
        <v>1032</v>
      </c>
      <c r="B10" s="1546" t="s">
        <v>1033</v>
      </c>
      <c r="C10" s="1547" t="s">
        <v>321</v>
      </c>
      <c r="F10" s="1548" t="s">
        <v>2579</v>
      </c>
      <c r="I10" s="1551" t="s">
        <v>3348</v>
      </c>
    </row>
    <row r="11" spans="1:23">
      <c r="A11" s="1546" t="s">
        <v>1034</v>
      </c>
      <c r="B11" s="1546" t="s">
        <v>1035</v>
      </c>
      <c r="C11" s="1547" t="s">
        <v>322</v>
      </c>
      <c r="F11" s="1548" t="s">
        <v>13</v>
      </c>
      <c r="I11" s="1551" t="s">
        <v>3349</v>
      </c>
    </row>
    <row r="12" spans="1:23">
      <c r="A12" s="1546" t="s">
        <v>1036</v>
      </c>
      <c r="B12" s="1546" t="s">
        <v>1037</v>
      </c>
      <c r="C12" s="1547" t="s">
        <v>323</v>
      </c>
      <c r="I12" s="1551" t="s">
        <v>3350</v>
      </c>
    </row>
    <row r="13" spans="1:23">
      <c r="A13" s="1546" t="s">
        <v>1038</v>
      </c>
      <c r="B13" s="1546" t="s">
        <v>1039</v>
      </c>
      <c r="C13" s="1547" t="s">
        <v>324</v>
      </c>
      <c r="I13" s="1551" t="s">
        <v>3351</v>
      </c>
    </row>
    <row r="14" spans="1:23">
      <c r="A14" s="1546" t="s">
        <v>1040</v>
      </c>
      <c r="B14" s="1546" t="s">
        <v>1041</v>
      </c>
      <c r="C14" s="1548" t="s">
        <v>13</v>
      </c>
      <c r="I14" s="1551" t="s">
        <v>3352</v>
      </c>
    </row>
    <row r="15" spans="1:23">
      <c r="A15" s="1546" t="s">
        <v>1042</v>
      </c>
      <c r="B15" s="1546" t="s">
        <v>1043</v>
      </c>
      <c r="C15" s="1547"/>
      <c r="I15" s="1551" t="s">
        <v>3353</v>
      </c>
    </row>
    <row r="16" spans="1:23">
      <c r="A16" s="1546" t="s">
        <v>1044</v>
      </c>
      <c r="B16" s="1546" t="s">
        <v>312</v>
      </c>
      <c r="C16" s="1547"/>
    </row>
    <row r="17" spans="1:3">
      <c r="A17" s="1546" t="s">
        <v>1045</v>
      </c>
      <c r="B17" s="1546" t="s">
        <v>2291</v>
      </c>
      <c r="C17" s="1547"/>
    </row>
    <row r="18" spans="1:3">
      <c r="A18" s="1546" t="s">
        <v>1046</v>
      </c>
      <c r="B18" s="1546" t="s">
        <v>2434</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为估价委托人在向工行翠微路办理贷款手续过程中，确定房地产抵押贷款额度提供参考依据而评估房地产抵押价值。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巴瑞医疗器械有限公司拟使用北京市出让国有建设用地使用权及在建建筑物房地产作为抵押担保物，向工行翠微路办理贷款手续。工行翠微路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01"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4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1"/>
      <c r="B54" s="1554" t="s">
        <v>385</v>
      </c>
      <c r="C54" s="1551" t="s">
        <v>583</v>
      </c>
    </row>
    <row r="55" spans="1:4">
      <c r="A55" s="3501"/>
      <c r="B55" s="1554" t="s">
        <v>386</v>
      </c>
      <c r="C55" s="1551" t="s">
        <v>584</v>
      </c>
    </row>
    <row r="56" spans="1:4">
      <c r="A56" s="3501"/>
      <c r="B56" s="1554" t="s">
        <v>387</v>
      </c>
      <c r="C56" s="1551" t="s">
        <v>588</v>
      </c>
    </row>
    <row r="57" spans="1:4">
      <c r="A57" s="3501"/>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2501</v>
      </c>
      <c r="B1" s="3012"/>
      <c r="C1" s="3012"/>
      <c r="D1" s="3012"/>
      <c r="E1" s="3012"/>
      <c r="F1" s="3013"/>
      <c r="I1" s="3435" t="s">
        <v>2594</v>
      </c>
      <c r="J1" s="3224"/>
      <c r="K1" s="3224"/>
      <c r="L1" s="3224"/>
      <c r="M1" s="3224"/>
      <c r="N1" s="3436"/>
      <c r="O1" s="3436"/>
      <c r="P1" s="3436"/>
      <c r="Q1" s="3436"/>
      <c r="R1" s="3436"/>
    </row>
    <row r="2" spans="1:18">
      <c r="A2" s="3015"/>
      <c r="B2" s="3016"/>
      <c r="C2" s="3016"/>
      <c r="D2" s="3016"/>
      <c r="E2" s="3016"/>
      <c r="F2" s="3017"/>
      <c r="I2" s="3502" t="s">
        <v>2581</v>
      </c>
      <c r="J2" s="3502"/>
      <c r="K2" s="3502"/>
      <c r="L2" s="3502"/>
      <c r="M2" s="3502"/>
      <c r="N2" s="3502"/>
      <c r="O2" s="3502"/>
      <c r="P2" s="3502"/>
      <c r="Q2" s="3502"/>
      <c r="R2" s="3502"/>
    </row>
    <row r="3" spans="1:18">
      <c r="A3" s="3018" t="s">
        <v>2502</v>
      </c>
      <c r="B3" s="3019">
        <f>项目基本情况!D3</f>
        <v>45044</v>
      </c>
      <c r="C3" s="3021"/>
      <c r="D3" s="3021"/>
      <c r="E3" s="3021"/>
      <c r="F3" s="3017"/>
      <c r="I3" s="3437"/>
      <c r="J3" s="3437" t="s">
        <v>2585</v>
      </c>
      <c r="K3" s="3437" t="s">
        <v>2586</v>
      </c>
      <c r="L3" s="3437" t="s">
        <v>2587</v>
      </c>
      <c r="M3" s="3437" t="s">
        <v>2588</v>
      </c>
      <c r="N3" s="3438" t="s">
        <v>2589</v>
      </c>
      <c r="O3" s="3438" t="s">
        <v>2590</v>
      </c>
      <c r="P3" s="3438" t="s">
        <v>2591</v>
      </c>
      <c r="Q3" s="3438" t="s">
        <v>2592</v>
      </c>
      <c r="R3" s="3438" t="s">
        <v>2593</v>
      </c>
    </row>
    <row r="4" spans="1:18">
      <c r="A4" s="3018" t="s">
        <v>2503</v>
      </c>
      <c r="B4" s="3021" t="s">
        <v>2504</v>
      </c>
      <c r="C4" s="3021" t="s">
        <v>2505</v>
      </c>
      <c r="D4" s="3021" t="s">
        <v>2506</v>
      </c>
      <c r="E4" s="3021" t="s">
        <v>2507</v>
      </c>
      <c r="F4" s="3017"/>
      <c r="I4" s="3437" t="s">
        <v>2582</v>
      </c>
      <c r="J4" s="3437">
        <v>80</v>
      </c>
      <c r="K4" s="3437">
        <v>70</v>
      </c>
      <c r="L4" s="3437">
        <v>20</v>
      </c>
      <c r="M4" s="3437">
        <v>30</v>
      </c>
      <c r="N4" s="3021">
        <v>45</v>
      </c>
      <c r="O4" s="3021">
        <v>60</v>
      </c>
      <c r="P4" s="3021">
        <v>50</v>
      </c>
      <c r="Q4" s="3021">
        <v>20</v>
      </c>
      <c r="R4" s="3021">
        <v>375</v>
      </c>
    </row>
    <row r="5" spans="1:18">
      <c r="A5" s="3022">
        <v>40</v>
      </c>
      <c r="B5" s="3019">
        <v>46375</v>
      </c>
      <c r="C5" s="3021">
        <f>ROUNDDOWN(MIN((B5-B3)/365,A5),2)</f>
        <v>3.64</v>
      </c>
      <c r="D5" s="3023">
        <f>IF(ISERROR(ROUND(POWER(1+E5,A5-C5)*(POWER(1+E5,C5)-1)/(POWER(1+E5,A5)-1),3)),0,ROUND(POWER(1+E5,A5-C5)*(POWER(1+E5,C5)-1)/(POWER(1+E5,A5)-1),4))</f>
        <v>0.16800000000000001</v>
      </c>
      <c r="E5" s="3024">
        <v>0.04</v>
      </c>
      <c r="F5" s="3017"/>
      <c r="I5" s="3437" t="s">
        <v>2583</v>
      </c>
      <c r="J5" s="3437">
        <v>70</v>
      </c>
      <c r="K5" s="3437">
        <v>60</v>
      </c>
      <c r="L5" s="3437">
        <v>15</v>
      </c>
      <c r="M5" s="3437">
        <v>25</v>
      </c>
      <c r="N5" s="3021">
        <v>40</v>
      </c>
      <c r="O5" s="3021">
        <v>50</v>
      </c>
      <c r="P5" s="3021">
        <v>40</v>
      </c>
      <c r="Q5" s="3021">
        <v>15</v>
      </c>
      <c r="R5" s="3021">
        <v>315</v>
      </c>
    </row>
    <row r="6" spans="1:18">
      <c r="A6" s="3022">
        <v>50</v>
      </c>
      <c r="B6" s="3019">
        <v>50028</v>
      </c>
      <c r="C6" s="3021">
        <f>ROUNDDOWN(MIN((B6-B3)/365,A6),2)</f>
        <v>13.65</v>
      </c>
      <c r="D6" s="3023">
        <f>IF(ISERROR(ROUND(POWER(1+E6,A6-C6)*(POWER(1+E6,C6)-1)/(POWER(1+E6,A6)-1),3)),0,ROUND(POWER(1+E6,A6-C6)*(POWER(1+E6,C6)-1)/(POWER(1+E6,A6)-1),4))</f>
        <v>0.4824</v>
      </c>
      <c r="E6" s="3024">
        <v>0.04</v>
      </c>
      <c r="F6" s="3017"/>
      <c r="I6" s="3437" t="s">
        <v>2584</v>
      </c>
      <c r="J6" s="3437">
        <v>60</v>
      </c>
      <c r="K6" s="3437">
        <v>50</v>
      </c>
      <c r="L6" s="3437">
        <v>10</v>
      </c>
      <c r="M6" s="3437">
        <v>20</v>
      </c>
      <c r="N6" s="3021">
        <v>35</v>
      </c>
      <c r="O6" s="3021">
        <v>40</v>
      </c>
      <c r="P6" s="3021">
        <v>30</v>
      </c>
      <c r="Q6" s="3021">
        <v>10</v>
      </c>
      <c r="R6" s="3021">
        <v>255</v>
      </c>
    </row>
    <row r="7" spans="1:18">
      <c r="A7" s="3022">
        <v>70</v>
      </c>
      <c r="B7" s="3019">
        <v>57333</v>
      </c>
      <c r="C7" s="3021">
        <f>ROUNDDOWN(MIN((B7-B3)/365,A7),2)</f>
        <v>33.659999999999997</v>
      </c>
      <c r="D7" s="3023">
        <f>IF(ISERROR(ROUND(POWER(1+E7,A7-C7)*(POWER(1+E7,C7)-1)/(POWER(1+E7,A7)-1),3)),0,ROUND(POWER(1+E7,A7-C7)*(POWER(1+E7,C7)-1)/(POWER(1+E7,A7)-1),4))</f>
        <v>0.78320000000000001</v>
      </c>
      <c r="E7" s="3024">
        <v>0.04</v>
      </c>
      <c r="F7" s="3017"/>
    </row>
    <row r="8" spans="1:18">
      <c r="A8" s="3015"/>
      <c r="B8" s="3016"/>
      <c r="C8" s="3016"/>
      <c r="D8" s="3016"/>
      <c r="E8" s="3016"/>
      <c r="F8" s="3017"/>
    </row>
    <row r="9" spans="1:18">
      <c r="A9" s="3018" t="s">
        <v>2508</v>
      </c>
      <c r="B9" s="3021"/>
      <c r="C9" s="3021"/>
      <c r="D9" s="3021"/>
      <c r="E9" s="3021"/>
      <c r="F9" s="3025"/>
    </row>
    <row r="10" spans="1:18">
      <c r="A10" s="3018" t="s">
        <v>2509</v>
      </c>
      <c r="B10" s="3021"/>
      <c r="C10" s="3021"/>
      <c r="D10" s="3021" t="s">
        <v>2507</v>
      </c>
      <c r="E10" s="3021"/>
      <c r="F10" s="3025" t="s">
        <v>2506</v>
      </c>
    </row>
    <row r="11" spans="1:18">
      <c r="A11" s="3018" t="s">
        <v>2510</v>
      </c>
      <c r="B11" s="3026">
        <v>70</v>
      </c>
      <c r="C11" s="3021" t="s">
        <v>2511</v>
      </c>
      <c r="D11" s="3027">
        <v>4.4999999999999998E-2</v>
      </c>
      <c r="E11" s="3021" t="s">
        <v>2512</v>
      </c>
      <c r="F11" s="3028">
        <f>ROUND(1-(1/(POWER(1+D11,B11))),4)</f>
        <v>0.95409999999999995</v>
      </c>
    </row>
    <row r="12" spans="1:18">
      <c r="A12" s="3018" t="s">
        <v>2513</v>
      </c>
      <c r="B12" s="3026">
        <v>40</v>
      </c>
      <c r="C12" s="3021" t="s">
        <v>2514</v>
      </c>
      <c r="D12" s="3027">
        <v>4.4999999999999998E-2</v>
      </c>
      <c r="E12" s="3021" t="s">
        <v>2515</v>
      </c>
      <c r="F12" s="3028">
        <f>ROUND(1-(1/(POWER(1+D12,B12))),4)</f>
        <v>0.82809999999999995</v>
      </c>
    </row>
    <row r="13" spans="1:18">
      <c r="A13" s="3018" t="s">
        <v>2516</v>
      </c>
      <c r="B13" s="3021"/>
      <c r="C13" s="3021"/>
      <c r="D13" s="3016"/>
      <c r="E13" s="3016"/>
      <c r="F13" s="3017"/>
    </row>
    <row r="14" spans="1:18">
      <c r="A14" s="3018" t="s">
        <v>2517</v>
      </c>
      <c r="B14" s="3026">
        <v>5000</v>
      </c>
      <c r="C14" s="3020"/>
      <c r="D14" s="3016"/>
      <c r="E14" s="3016"/>
      <c r="F14" s="3017"/>
    </row>
    <row r="15" spans="1:18">
      <c r="A15" s="3018" t="s">
        <v>2518</v>
      </c>
      <c r="B15" s="3021">
        <f>ROUND(B14*F12/F11,2)</f>
        <v>4339.6899999999996</v>
      </c>
      <c r="C15" s="3021">
        <f>ROUND(F12/F11,4)</f>
        <v>0.8679</v>
      </c>
      <c r="D15" s="3016"/>
      <c r="E15" s="3016"/>
      <c r="F15" s="3017"/>
    </row>
    <row r="16" spans="1:18">
      <c r="A16" s="3018" t="s">
        <v>2519</v>
      </c>
      <c r="B16" s="3021"/>
      <c r="C16" s="3021"/>
      <c r="D16" s="3016"/>
      <c r="E16" s="3016"/>
      <c r="F16" s="3017"/>
    </row>
    <row r="17" spans="1:13">
      <c r="A17" s="3018" t="s">
        <v>2518</v>
      </c>
      <c r="B17" s="3027">
        <v>4810</v>
      </c>
      <c r="C17" s="3020"/>
      <c r="D17" s="3016"/>
      <c r="E17" s="3016"/>
      <c r="F17" s="3017"/>
    </row>
    <row r="18" spans="1:13" ht="14.25" thickBot="1">
      <c r="A18" s="3029" t="s">
        <v>2517</v>
      </c>
      <c r="B18" s="3030">
        <f>ROUND(B17*F11/F12,2)</f>
        <v>5541.87</v>
      </c>
      <c r="C18" s="3030">
        <f>ROUND(F11/F12,4)</f>
        <v>1.1521999999999999</v>
      </c>
      <c r="D18" s="3031"/>
      <c r="E18" s="3031"/>
      <c r="F18" s="3032"/>
    </row>
    <row r="19" spans="1:13" ht="14.25" thickBot="1"/>
    <row r="20" spans="1:13" s="3067" customFormat="1" ht="14.25" thickTop="1">
      <c r="A20" s="3064" t="s">
        <v>2520</v>
      </c>
      <c r="B20" s="3065"/>
      <c r="C20" s="3065"/>
      <c r="D20" s="3065"/>
      <c r="E20" s="3065"/>
      <c r="F20" s="3065"/>
      <c r="G20" s="3066"/>
      <c r="I20" s="3068" t="s">
        <v>2565</v>
      </c>
      <c r="J20" s="3068" t="s">
        <v>2570</v>
      </c>
      <c r="K20" s="3068"/>
      <c r="L20" s="3068"/>
      <c r="M20" s="3068"/>
    </row>
    <row r="21" spans="1:13">
      <c r="A21" s="3033"/>
      <c r="B21" s="3034" t="s">
        <v>2521</v>
      </c>
      <c r="C21" s="3034" t="s">
        <v>2522</v>
      </c>
      <c r="D21" s="3034" t="s">
        <v>2523</v>
      </c>
      <c r="E21" s="3034" t="s">
        <v>2524</v>
      </c>
      <c r="F21" s="3034" t="s">
        <v>2525</v>
      </c>
      <c r="G21" s="3035" t="s">
        <v>2526</v>
      </c>
      <c r="I21" s="3056">
        <v>5</v>
      </c>
      <c r="J21" s="3056">
        <v>54.2</v>
      </c>
    </row>
    <row r="22" spans="1:13">
      <c r="A22" s="3033" t="s">
        <v>2527</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2528</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2568</v>
      </c>
      <c r="M23" s="3056" t="s">
        <v>2569</v>
      </c>
    </row>
    <row r="24" spans="1:13">
      <c r="A24" s="3033" t="s">
        <v>2529</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2567</v>
      </c>
      <c r="M24" s="3056">
        <v>10</v>
      </c>
    </row>
    <row r="25" spans="1:13">
      <c r="A25" s="3033" t="s">
        <v>2530</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2571</v>
      </c>
      <c r="M25" s="3056">
        <v>8</v>
      </c>
    </row>
    <row r="26" spans="1:13">
      <c r="A26" s="3038"/>
      <c r="B26" s="3039"/>
      <c r="C26" s="3039"/>
      <c r="D26" s="3039"/>
      <c r="E26" s="3039"/>
      <c r="F26" s="3039"/>
      <c r="G26" s="3040"/>
      <c r="I26" s="3056">
        <v>30</v>
      </c>
      <c r="J26" s="3056">
        <v>90.5</v>
      </c>
      <c r="K26" s="3056">
        <f t="shared" si="2"/>
        <v>4.2000000000000028</v>
      </c>
      <c r="L26" s="3056" t="s">
        <v>2572</v>
      </c>
      <c r="M26" s="3056">
        <v>5</v>
      </c>
    </row>
    <row r="27" spans="1:13">
      <c r="A27" s="3038" t="s">
        <v>2531</v>
      </c>
      <c r="B27" s="3039"/>
      <c r="C27" s="3039"/>
      <c r="D27" s="3039"/>
      <c r="E27" s="3039"/>
      <c r="F27" s="3039"/>
      <c r="G27" s="3040"/>
      <c r="I27" s="3056">
        <v>35</v>
      </c>
      <c r="J27" s="3056">
        <v>93.8</v>
      </c>
      <c r="K27" s="3056">
        <f t="shared" si="2"/>
        <v>3.2999999999999972</v>
      </c>
      <c r="L27" s="3056" t="s">
        <v>2573</v>
      </c>
      <c r="M27" s="3056">
        <v>3</v>
      </c>
    </row>
    <row r="28" spans="1:13">
      <c r="A28" s="3038" t="s">
        <v>2532</v>
      </c>
      <c r="B28" s="3039"/>
      <c r="C28" s="3039"/>
      <c r="D28" s="3039"/>
      <c r="E28" s="3039"/>
      <c r="F28" s="3039"/>
      <c r="G28" s="3040"/>
      <c r="I28" s="3056">
        <v>40</v>
      </c>
      <c r="J28" s="3056">
        <v>96.4</v>
      </c>
      <c r="K28" s="3056">
        <f t="shared" si="2"/>
        <v>2.6000000000000085</v>
      </c>
      <c r="L28" s="3056" t="s">
        <v>2574</v>
      </c>
      <c r="M28" s="3056">
        <v>2</v>
      </c>
    </row>
    <row r="29" spans="1:13">
      <c r="A29" s="3038" t="s">
        <v>2533</v>
      </c>
      <c r="B29" s="3039"/>
      <c r="C29" s="3039"/>
      <c r="D29" s="3039"/>
      <c r="E29" s="3039"/>
      <c r="F29" s="3039"/>
      <c r="G29" s="3040"/>
      <c r="I29" s="3056">
        <v>45</v>
      </c>
      <c r="J29" s="3056">
        <v>98.4</v>
      </c>
      <c r="K29" s="3056">
        <f t="shared" si="2"/>
        <v>2</v>
      </c>
    </row>
    <row r="30" spans="1:13">
      <c r="A30" s="3038" t="s">
        <v>2534</v>
      </c>
      <c r="B30" s="3039"/>
      <c r="C30" s="3039"/>
      <c r="D30" s="3039"/>
      <c r="E30" s="3039"/>
      <c r="F30" s="3039"/>
      <c r="G30" s="3040"/>
      <c r="I30" s="3056">
        <v>50</v>
      </c>
      <c r="J30" s="3056">
        <v>100</v>
      </c>
      <c r="K30" s="3056">
        <f t="shared" si="2"/>
        <v>1.5999999999999943</v>
      </c>
    </row>
    <row r="31" spans="1:13">
      <c r="A31" s="3038" t="s">
        <v>2535</v>
      </c>
      <c r="B31" s="3039"/>
      <c r="C31" s="3039"/>
      <c r="D31" s="3039"/>
      <c r="E31" s="3039"/>
      <c r="F31" s="3039"/>
      <c r="G31" s="3040"/>
      <c r="I31" s="3056" t="s">
        <v>2566</v>
      </c>
    </row>
    <row r="32" spans="1:13">
      <c r="A32" s="3038" t="s">
        <v>2536</v>
      </c>
      <c r="B32" s="3039"/>
      <c r="C32" s="3039"/>
      <c r="D32" s="3039"/>
      <c r="E32" s="3039"/>
      <c r="F32" s="3039"/>
      <c r="G32" s="3040"/>
    </row>
    <row r="33" spans="1:13">
      <c r="A33" s="3038" t="s">
        <v>2537</v>
      </c>
      <c r="B33" s="3039"/>
      <c r="C33" s="3039"/>
      <c r="D33" s="3039"/>
      <c r="E33" s="3039"/>
      <c r="F33" s="3039"/>
      <c r="G33" s="3040"/>
      <c r="I33" s="3056" t="s">
        <v>2565</v>
      </c>
      <c r="J33" s="3056" t="s">
        <v>2575</v>
      </c>
    </row>
    <row r="34" spans="1:13">
      <c r="A34" s="3038" t="s">
        <v>2538</v>
      </c>
      <c r="B34" s="3039"/>
      <c r="C34" s="3039"/>
      <c r="D34" s="3039"/>
      <c r="E34" s="3039"/>
      <c r="F34" s="3039"/>
      <c r="G34" s="3040"/>
      <c r="I34" s="3056">
        <v>5</v>
      </c>
      <c r="J34" s="3056">
        <v>55.1</v>
      </c>
    </row>
    <row r="35" spans="1:13">
      <c r="A35" s="3038" t="s">
        <v>2539</v>
      </c>
      <c r="B35" s="3039"/>
      <c r="C35" s="3039"/>
      <c r="D35" s="3039"/>
      <c r="E35" s="3039"/>
      <c r="F35" s="3039"/>
      <c r="G35" s="3040"/>
      <c r="I35" s="3056">
        <v>10</v>
      </c>
      <c r="J35" s="3056">
        <v>67</v>
      </c>
      <c r="K35" s="3056">
        <f>J35-J34</f>
        <v>11.899999999999999</v>
      </c>
    </row>
    <row r="36" spans="1:13">
      <c r="A36" s="3038" t="s">
        <v>2540</v>
      </c>
      <c r="B36" s="3039"/>
      <c r="C36" s="3039"/>
      <c r="D36" s="3039"/>
      <c r="E36" s="3039"/>
      <c r="F36" s="3039"/>
      <c r="G36" s="3040"/>
      <c r="I36" s="3056">
        <v>15</v>
      </c>
      <c r="J36" s="3056">
        <v>76.3</v>
      </c>
      <c r="K36" s="3056">
        <f t="shared" ref="K36:K41" si="3">J36-J35</f>
        <v>9.2999999999999972</v>
      </c>
      <c r="L36" s="3056" t="s">
        <v>2568</v>
      </c>
      <c r="M36" s="3056" t="s">
        <v>2569</v>
      </c>
    </row>
    <row r="37" spans="1:13">
      <c r="A37" s="3038" t="s">
        <v>2541</v>
      </c>
      <c r="B37" s="3039"/>
      <c r="C37" s="3039"/>
      <c r="D37" s="3039"/>
      <c r="E37" s="3039"/>
      <c r="F37" s="3039"/>
      <c r="G37" s="3040"/>
      <c r="I37" s="3056">
        <v>20</v>
      </c>
      <c r="J37" s="3056">
        <v>83.6</v>
      </c>
      <c r="K37" s="3056">
        <f t="shared" si="3"/>
        <v>7.2999999999999972</v>
      </c>
      <c r="L37" s="3056" t="s">
        <v>2567</v>
      </c>
      <c r="M37" s="3056">
        <v>10</v>
      </c>
    </row>
    <row r="38" spans="1:13">
      <c r="A38" s="3038" t="s">
        <v>2542</v>
      </c>
      <c r="B38" s="3039"/>
      <c r="C38" s="3039"/>
      <c r="D38" s="3039"/>
      <c r="E38" s="3039"/>
      <c r="F38" s="3039"/>
      <c r="G38" s="3040"/>
      <c r="I38" s="3056">
        <v>25</v>
      </c>
      <c r="J38" s="3056">
        <v>89.3</v>
      </c>
      <c r="K38" s="3056">
        <f t="shared" si="3"/>
        <v>5.7000000000000028</v>
      </c>
      <c r="L38" s="3056" t="s">
        <v>2571</v>
      </c>
      <c r="M38" s="3056">
        <v>8</v>
      </c>
    </row>
    <row r="39" spans="1:13">
      <c r="A39" s="3038"/>
      <c r="B39" s="3039"/>
      <c r="C39" s="3039"/>
      <c r="D39" s="3039"/>
      <c r="E39" s="3039"/>
      <c r="F39" s="3039"/>
      <c r="G39" s="3040"/>
      <c r="I39" s="3056">
        <v>30</v>
      </c>
      <c r="J39" s="3056">
        <v>93.8</v>
      </c>
      <c r="K39" s="3056">
        <f t="shared" si="3"/>
        <v>4.5</v>
      </c>
      <c r="L39" s="3056" t="s">
        <v>2572</v>
      </c>
      <c r="M39" s="3056">
        <v>6</v>
      </c>
    </row>
    <row r="40" spans="1:13">
      <c r="A40" s="3041" t="s">
        <v>2543</v>
      </c>
      <c r="B40" s="3042"/>
      <c r="C40" s="3042"/>
      <c r="D40" s="3042"/>
      <c r="E40" s="3042"/>
      <c r="F40" s="3042"/>
      <c r="G40" s="3043"/>
      <c r="I40" s="3056">
        <v>35</v>
      </c>
      <c r="J40" s="3056">
        <v>97.2</v>
      </c>
      <c r="K40" s="3056">
        <f t="shared" si="3"/>
        <v>3.4000000000000057</v>
      </c>
      <c r="L40" s="3056" t="s">
        <v>2573</v>
      </c>
      <c r="M40" s="3056">
        <v>3</v>
      </c>
    </row>
    <row r="41" spans="1:13">
      <c r="A41" s="3044" t="s">
        <v>2544</v>
      </c>
      <c r="B41" s="3045" t="s">
        <v>2545</v>
      </c>
      <c r="C41" s="3046" t="s">
        <v>2546</v>
      </c>
      <c r="D41" s="3046" t="s">
        <v>2547</v>
      </c>
      <c r="E41" s="3047"/>
      <c r="F41" s="3048"/>
      <c r="G41" s="3049"/>
      <c r="I41" s="3056">
        <v>40</v>
      </c>
      <c r="J41" s="3056">
        <v>100</v>
      </c>
      <c r="K41" s="3056">
        <f t="shared" si="3"/>
        <v>2.7999999999999972</v>
      </c>
    </row>
    <row r="42" spans="1:13">
      <c r="A42" s="3044" t="s">
        <v>2548</v>
      </c>
      <c r="B42" s="3045" t="s">
        <v>2549</v>
      </c>
      <c r="C42" s="3046" t="s">
        <v>2550</v>
      </c>
      <c r="D42" s="3050" t="s">
        <v>2551</v>
      </c>
      <c r="E42" s="3042" t="s">
        <v>2552</v>
      </c>
      <c r="F42" s="3042"/>
      <c r="G42" s="3043"/>
    </row>
    <row r="43" spans="1:13">
      <c r="A43" s="3044" t="s">
        <v>2553</v>
      </c>
      <c r="B43" s="3045" t="s">
        <v>2554</v>
      </c>
      <c r="C43" s="3046" t="s">
        <v>2555</v>
      </c>
      <c r="D43" s="3046" t="s">
        <v>2556</v>
      </c>
      <c r="E43" s="3047" t="s">
        <v>2557</v>
      </c>
      <c r="F43" s="3048"/>
      <c r="G43" s="3049"/>
      <c r="I43" s="3056" t="s">
        <v>2565</v>
      </c>
      <c r="J43" s="3056" t="s">
        <v>2576</v>
      </c>
    </row>
    <row r="44" spans="1:13">
      <c r="A44" s="3044" t="s">
        <v>2558</v>
      </c>
      <c r="B44" s="3045" t="s">
        <v>2559</v>
      </c>
      <c r="C44" s="3046" t="s">
        <v>2560</v>
      </c>
      <c r="D44" s="3050">
        <v>0.5</v>
      </c>
      <c r="E44" s="3047" t="s">
        <v>2561</v>
      </c>
      <c r="F44" s="3048"/>
      <c r="G44" s="3049"/>
      <c r="I44" s="3056">
        <v>30</v>
      </c>
      <c r="J44" s="3056">
        <v>81.7</v>
      </c>
    </row>
    <row r="45" spans="1:13" ht="14.25" thickBot="1">
      <c r="A45" s="3051" t="s">
        <v>2562</v>
      </c>
      <c r="B45" s="3052" t="s">
        <v>2549</v>
      </c>
      <c r="C45" s="3053" t="s">
        <v>2549</v>
      </c>
      <c r="D45" s="3053" t="s">
        <v>2563</v>
      </c>
      <c r="E45" s="3054" t="s">
        <v>2564</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G22" sqref="G22"/>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6" customWidth="1"/>
    <col min="12" max="13" width="10" style="2627"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2166</v>
      </c>
      <c r="B1" s="3511"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512"/>
      <c r="D1" s="3512"/>
      <c r="E1" s="3512"/>
      <c r="F1" s="3512"/>
      <c r="G1" s="3512"/>
      <c r="H1" s="3512"/>
      <c r="I1" s="3513"/>
      <c r="J1" s="2469"/>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c r="T1" s="1745"/>
      <c r="U1" s="1745"/>
      <c r="V1" s="1745"/>
      <c r="W1" s="1745"/>
      <c r="X1" s="1745"/>
      <c r="Y1" s="1745"/>
      <c r="Z1" s="1745"/>
      <c r="AA1" s="1745"/>
      <c r="AB1" s="1745"/>
    </row>
    <row r="2" spans="1:30">
      <c r="A2" s="2367" t="s">
        <v>2167</v>
      </c>
      <c r="B2" s="2371"/>
      <c r="C2" s="2372"/>
      <c r="D2" s="2668"/>
      <c r="E2" s="2660"/>
      <c r="F2" s="2660"/>
      <c r="G2" s="2661"/>
      <c r="H2" s="2661"/>
      <c r="I2" s="2661"/>
      <c r="J2" s="2469"/>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北京市出让国有建设用地使用权及在建建筑物房地产</v>
      </c>
      <c r="T2" s="1745"/>
      <c r="U2" s="1745"/>
      <c r="V2" s="1745"/>
      <c r="W2" s="1745"/>
      <c r="X2" s="1745"/>
      <c r="Y2" s="1745"/>
      <c r="Z2" s="1745"/>
      <c r="AA2" s="1745"/>
      <c r="AB2" s="1745"/>
    </row>
    <row r="3" spans="1:30">
      <c r="A3" s="302" t="s">
        <v>2168</v>
      </c>
      <c r="B3" s="2373">
        <v>45044</v>
      </c>
      <c r="C3" s="2374" t="s">
        <v>2169</v>
      </c>
      <c r="D3" s="2373">
        <f>B3</f>
        <v>45044</v>
      </c>
      <c r="E3" s="2661"/>
      <c r="F3" s="2661"/>
      <c r="G3" s="2661"/>
      <c r="H3" s="2661"/>
      <c r="I3" s="2661"/>
      <c r="J3" s="2469"/>
      <c r="K3" s="2368"/>
      <c r="L3" s="2369"/>
      <c r="M3" s="2369"/>
      <c r="N3" s="2370"/>
      <c r="O3" s="1576"/>
      <c r="P3" s="2370"/>
      <c r="Q3" s="2370"/>
      <c r="R3" s="2370"/>
      <c r="S3" s="1682"/>
      <c r="T3" s="1745"/>
      <c r="U3" s="1745"/>
      <c r="V3" s="1745"/>
      <c r="W3" s="1745"/>
      <c r="X3" s="1745"/>
      <c r="Y3" s="1745"/>
      <c r="Z3" s="1745"/>
      <c r="AA3" s="1745"/>
      <c r="AB3" s="1745"/>
    </row>
    <row r="4" spans="1:30" ht="13.5" thickBot="1">
      <c r="A4" s="1090" t="s">
        <v>2170</v>
      </c>
      <c r="B4" s="2375" t="s">
        <v>3376</v>
      </c>
      <c r="C4" s="2376">
        <f ca="1">SUMIF(注册房地产估价师,B4,估价师及机构信息!B3:B24)</f>
        <v>1120070131</v>
      </c>
      <c r="D4" s="2375" t="s">
        <v>3377</v>
      </c>
      <c r="E4" s="2377">
        <f ca="1">SUMIF(注册房地产估价师,D4,估价师及机构信息!B3:B24)</f>
        <v>1120100036</v>
      </c>
      <c r="F4" s="2375"/>
      <c r="G4" s="2377">
        <f>SUMIF(注册房地产估价师,F4,估价师及机构信息!B3:B24)</f>
        <v>0</v>
      </c>
      <c r="H4" s="2375"/>
      <c r="I4" s="2377">
        <f>SUMIF(注册房地产估价师,H4,估价师及机构信息!B3:B24)</f>
        <v>0</v>
      </c>
      <c r="J4" s="2437"/>
      <c r="K4" s="2378" t="str">
        <f ca="1">CONCATENATE(B4,"（注册号：",C4,")、",D4,"（注册号：",E4,")")</f>
        <v>郑燚（注册号：1120070131)、崔锴（注册号：1120100036)</v>
      </c>
      <c r="L4" s="2369"/>
      <c r="M4" s="2369"/>
      <c r="N4" s="2370"/>
      <c r="O4" s="1576"/>
      <c r="P4" s="2370"/>
      <c r="Q4" s="2370"/>
      <c r="R4" s="2370"/>
      <c r="S4" s="1682"/>
      <c r="T4" s="1745"/>
      <c r="U4" s="1745"/>
      <c r="V4" s="1745"/>
      <c r="W4" s="1745"/>
      <c r="X4" s="1745"/>
      <c r="Y4" s="1745"/>
      <c r="Z4" s="1745"/>
      <c r="AA4" s="1745"/>
      <c r="AB4" s="1745"/>
    </row>
    <row r="5" spans="1:30" ht="13.5" thickTop="1">
      <c r="A5" s="2379" t="s">
        <v>2171</v>
      </c>
      <c r="B5" s="3448" t="s">
        <v>3378</v>
      </c>
      <c r="C5" s="2380"/>
      <c r="D5" s="2381"/>
      <c r="E5" s="2662"/>
      <c r="F5" s="2662"/>
      <c r="G5" s="2662"/>
      <c r="H5" s="2662"/>
      <c r="I5" s="2662"/>
      <c r="J5" s="2437"/>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2" t="s">
        <v>2172</v>
      </c>
      <c r="B6" s="2383" t="str">
        <f>B5</f>
        <v>工行翠微路</v>
      </c>
      <c r="C6" s="2384"/>
      <c r="D6" s="2385"/>
      <c r="E6" s="2660"/>
      <c r="F6" s="2662"/>
      <c r="G6" s="2662"/>
      <c r="H6" s="2662"/>
      <c r="I6" s="2662"/>
      <c r="J6" s="2437"/>
      <c r="K6" s="2613" t="str">
        <f>IF(COUNTIF(B6,"*上海银行*"),"上海银行","")</f>
        <v/>
      </c>
      <c r="L6" s="2611"/>
      <c r="M6" s="2611"/>
      <c r="N6" s="2437"/>
      <c r="O6" s="2448"/>
      <c r="P6" s="2437"/>
      <c r="Q6" s="2437"/>
      <c r="R6" s="2437"/>
    </row>
    <row r="7" spans="1:30">
      <c r="A7" s="2382" t="s">
        <v>2173</v>
      </c>
      <c r="B7" s="3449" t="s">
        <v>3379</v>
      </c>
      <c r="C7" s="2384"/>
      <c r="D7" s="2385"/>
      <c r="E7" s="2660"/>
      <c r="F7" s="2662"/>
      <c r="G7" s="2662"/>
      <c r="H7" s="2662"/>
      <c r="I7" s="2662"/>
      <c r="J7" s="2437"/>
      <c r="K7" s="2614"/>
      <c r="L7" s="2611"/>
      <c r="M7" s="2611"/>
      <c r="N7" s="2437"/>
      <c r="O7" s="2448"/>
      <c r="P7" s="2437"/>
      <c r="Q7" s="2437"/>
      <c r="R7" s="2437"/>
    </row>
    <row r="8" spans="1:30">
      <c r="A8" s="2386" t="s">
        <v>2174</v>
      </c>
      <c r="B8" s="2387" t="s">
        <v>3382</v>
      </c>
      <c r="C8" s="2388"/>
      <c r="D8" s="3514" t="s">
        <v>2175</v>
      </c>
      <c r="E8" s="2389" t="s">
        <v>3383</v>
      </c>
      <c r="F8" s="2390"/>
      <c r="G8" s="2661"/>
      <c r="H8" s="2661"/>
      <c r="I8" s="2661"/>
      <c r="J8" s="2437"/>
      <c r="K8" s="2612"/>
      <c r="L8" s="2611"/>
      <c r="M8" s="2611"/>
      <c r="N8" s="2437"/>
      <c r="O8" s="2448"/>
      <c r="P8" s="2437"/>
      <c r="Q8" s="2437"/>
      <c r="R8" s="2437"/>
    </row>
    <row r="9" spans="1:30" ht="13.5" thickBot="1">
      <c r="A9" s="2391" t="s">
        <v>2176</v>
      </c>
      <c r="B9" s="2392" t="s">
        <v>3383</v>
      </c>
      <c r="C9" s="2393"/>
      <c r="D9" s="3515"/>
      <c r="E9" s="2392" t="s">
        <v>43</v>
      </c>
      <c r="F9" s="2394"/>
      <c r="G9" s="2663"/>
      <c r="H9" s="2663"/>
      <c r="I9" s="2663"/>
      <c r="J9" s="2437"/>
      <c r="K9" s="2614"/>
      <c r="L9" s="2611"/>
      <c r="M9" s="2611"/>
      <c r="N9" s="2437"/>
      <c r="O9" s="2448"/>
      <c r="P9" s="2437"/>
      <c r="Q9" s="2437"/>
      <c r="R9" s="2437"/>
    </row>
    <row r="10" spans="1:30" ht="13.5" thickTop="1">
      <c r="A10" s="2395" t="s">
        <v>2177</v>
      </c>
      <c r="B10" s="2396" t="s">
        <v>3380</v>
      </c>
      <c r="C10" s="2397"/>
      <c r="D10" s="2381"/>
      <c r="E10" s="2398" t="s">
        <v>2178</v>
      </c>
      <c r="F10" s="2664"/>
      <c r="G10" s="2665"/>
      <c r="H10" s="2666"/>
      <c r="I10" s="2667"/>
      <c r="J10" s="2437"/>
      <c r="K10" s="2614"/>
      <c r="L10" s="2611"/>
      <c r="M10" s="2611"/>
      <c r="N10" s="2437"/>
      <c r="O10" s="2448"/>
      <c r="P10" s="2437"/>
      <c r="Q10" s="2437"/>
      <c r="R10" s="2437"/>
    </row>
    <row r="11" spans="1:30" ht="25.5">
      <c r="A11" s="2399" t="s">
        <v>2179</v>
      </c>
      <c r="B11" s="2400" t="s">
        <v>3381</v>
      </c>
      <c r="C11" s="2401" t="str">
        <f>B7</f>
        <v>北京巴瑞医疗器械有限公司</v>
      </c>
      <c r="D11" s="2402"/>
      <c r="E11" s="2370"/>
      <c r="F11" s="2370"/>
      <c r="G11" s="2370"/>
      <c r="H11" s="2370"/>
      <c r="I11" s="2370"/>
      <c r="J11" s="3059"/>
      <c r="K11" s="3058"/>
      <c r="L11" s="2611"/>
      <c r="M11" s="2611"/>
      <c r="N11" s="2437"/>
      <c r="O11" s="2448"/>
      <c r="P11" s="2437"/>
      <c r="Q11" s="2437"/>
      <c r="R11" s="2437"/>
    </row>
    <row r="12" spans="1:30">
      <c r="A12" s="2403" t="s">
        <v>2180</v>
      </c>
      <c r="B12" s="323" t="s">
        <v>2181</v>
      </c>
      <c r="C12" s="2404" t="s">
        <v>2182</v>
      </c>
      <c r="D12" s="2404" t="s">
        <v>2183</v>
      </c>
      <c r="E12" s="2404" t="s">
        <v>2184</v>
      </c>
      <c r="F12" s="2404" t="s">
        <v>2185</v>
      </c>
      <c r="G12" s="2404" t="s">
        <v>2186</v>
      </c>
      <c r="H12" s="2404" t="s">
        <v>2187</v>
      </c>
      <c r="I12" s="3057" t="s">
        <v>2577</v>
      </c>
      <c r="J12" s="3060"/>
      <c r="K12" s="2611"/>
      <c r="L12" s="2611"/>
      <c r="M12" s="2437"/>
      <c r="N12" s="2448"/>
      <c r="O12" s="2437"/>
      <c r="P12" s="2437"/>
      <c r="Q12" s="2437"/>
      <c r="AD12" s="1745"/>
    </row>
    <row r="13" spans="1:30">
      <c r="A13" s="3421" t="s">
        <v>3335</v>
      </c>
      <c r="B13" s="2405" t="s">
        <v>2188</v>
      </c>
      <c r="C13" s="856"/>
      <c r="D13" s="856"/>
      <c r="E13" s="856"/>
      <c r="F13" s="856">
        <f>H13</f>
        <v>51806</v>
      </c>
      <c r="G13" s="856"/>
      <c r="H13" s="856">
        <v>51806</v>
      </c>
      <c r="I13" s="856"/>
      <c r="J13" s="3060"/>
      <c r="K13" s="2611"/>
      <c r="L13" s="2611"/>
      <c r="M13" s="2437"/>
      <c r="N13" s="2448"/>
      <c r="O13" s="2437"/>
      <c r="P13" s="2437"/>
      <c r="Q13" s="2437"/>
      <c r="AD13" s="1745"/>
    </row>
    <row r="14" spans="1:30">
      <c r="A14" s="1081"/>
      <c r="B14" s="2405" t="s">
        <v>2189</v>
      </c>
      <c r="C14" s="2406"/>
      <c r="D14" s="2406"/>
      <c r="E14" s="2406"/>
      <c r="F14" s="2406">
        <v>20</v>
      </c>
      <c r="G14" s="2406"/>
      <c r="H14" s="2406">
        <v>20</v>
      </c>
      <c r="I14" s="2406"/>
      <c r="J14" s="3061"/>
      <c r="K14" s="2611"/>
      <c r="L14" s="2611"/>
      <c r="M14" s="2437"/>
      <c r="N14" s="2448"/>
      <c r="O14" s="2437"/>
      <c r="P14" s="2437"/>
      <c r="Q14" s="2437"/>
      <c r="AD14" s="1745"/>
    </row>
    <row r="15" spans="1:30">
      <c r="A15" s="320"/>
      <c r="B15" s="2407" t="s">
        <v>2190</v>
      </c>
      <c r="C15" s="2408" t="str">
        <f>IF(A13="出让",IF(C13="","",ROUNDDOWN(MIN((C13-$D$3)/365,C14),2)),C14)</f>
        <v/>
      </c>
      <c r="D15" s="2408" t="str">
        <f>IF(A13="出让",IF(D13="","",ROUNDDOWN(MIN((D13-$D$3)/365,D14),2)),D14)</f>
        <v/>
      </c>
      <c r="E15" s="2408" t="str">
        <f>IF(A13="出让",IF(E13="","",ROUNDDOWN(MIN((E13-$D$3)/365,E14),2)),E14)</f>
        <v/>
      </c>
      <c r="F15" s="2408">
        <f>IF(A13="出让",IF(F13="","",ROUNDDOWN(MIN((F13-$D$3)/365,F14),2)),F14)</f>
        <v>18.52</v>
      </c>
      <c r="G15" s="2408" t="str">
        <f>IF(A13="出让",IF(G13="","",ROUNDDOWN(MIN((G13-$D$3)/365,G14),2)),G14)</f>
        <v/>
      </c>
      <c r="H15" s="2408">
        <f>IF(A13="出让",IF(H13="","",ROUNDDOWN(MIN((H13-$D$3)/365,H14),2)),H14)</f>
        <v>18.52</v>
      </c>
      <c r="I15" s="2408" t="str">
        <f>IF(A13="出让",IF(I13="","",ROUNDDOWN(MIN((I13-$D$3)/365,I14),2)),I14)</f>
        <v/>
      </c>
      <c r="J15" s="3062"/>
      <c r="K15" s="2449"/>
      <c r="L15" s="2449"/>
      <c r="M15" s="2507"/>
      <c r="N15" s="2449"/>
      <c r="O15" s="2507"/>
      <c r="P15" s="2437"/>
      <c r="Q15" s="2437"/>
      <c r="AD15" s="1745"/>
    </row>
    <row r="16" spans="1:30">
      <c r="A16" s="2398" t="s">
        <v>2191</v>
      </c>
      <c r="B16" s="3521"/>
      <c r="C16" s="3522"/>
      <c r="D16" s="3523"/>
      <c r="E16" s="2411" t="s">
        <v>2192</v>
      </c>
      <c r="F16" s="3524"/>
      <c r="G16" s="3525"/>
      <c r="H16" s="3525"/>
      <c r="I16" s="3526"/>
      <c r="J16" s="2437"/>
      <c r="K16" s="2615"/>
      <c r="L16" s="2449"/>
      <c r="M16" s="2449"/>
      <c r="N16" s="2507"/>
      <c r="O16" s="2449"/>
      <c r="P16" s="2507"/>
      <c r="Q16" s="2437"/>
      <c r="R16" s="2437"/>
    </row>
    <row r="17" spans="1:28">
      <c r="A17" s="313" t="s">
        <v>2193</v>
      </c>
      <c r="B17" s="302" t="s">
        <v>2194</v>
      </c>
      <c r="C17" s="8">
        <f>'数据-汇总表'!E3</f>
        <v>34689.100000000006</v>
      </c>
      <c r="D17" s="2322" t="s">
        <v>2195</v>
      </c>
      <c r="E17" s="3527" t="s">
        <v>2196</v>
      </c>
      <c r="F17" s="3528"/>
      <c r="G17" s="3528"/>
      <c r="H17" s="3528"/>
      <c r="I17" s="3529"/>
      <c r="J17" s="2437"/>
      <c r="K17" s="2616"/>
      <c r="L17" s="2449"/>
      <c r="M17" s="2449"/>
      <c r="N17" s="2507"/>
      <c r="O17" s="2449"/>
      <c r="P17" s="2507"/>
      <c r="Q17" s="2437"/>
      <c r="R17" s="2437"/>
      <c r="S17" s="2437"/>
      <c r="T17" s="2437"/>
      <c r="U17" s="2437"/>
      <c r="V17" s="2437"/>
    </row>
    <row r="18" spans="1:28" ht="24.75" thickBot="1">
      <c r="A18" s="2412" t="s">
        <v>2197</v>
      </c>
      <c r="B18" s="1090" t="s">
        <v>2198</v>
      </c>
      <c r="C18" s="2413">
        <f>'数据-汇总表'!D3</f>
        <v>23254.45</v>
      </c>
      <c r="D18" s="1092" t="s">
        <v>2199</v>
      </c>
      <c r="E18" s="3530" t="s">
        <v>2200</v>
      </c>
      <c r="F18" s="3531"/>
      <c r="G18" s="3531"/>
      <c r="H18" s="3531"/>
      <c r="I18" s="3532"/>
      <c r="J18" s="2437"/>
      <c r="K18" s="2616"/>
      <c r="L18" s="2449"/>
      <c r="M18" s="2449"/>
      <c r="N18" s="2507"/>
      <c r="O18" s="2449"/>
      <c r="P18" s="2507"/>
      <c r="Q18" s="2437"/>
      <c r="R18" s="2437"/>
      <c r="S18" s="2437"/>
      <c r="T18" s="2437"/>
      <c r="U18" s="2437"/>
      <c r="V18" s="2437"/>
    </row>
    <row r="19" spans="1:28" ht="37.5" thickTop="1" thickBot="1">
      <c r="A19" s="327" t="s">
        <v>1055</v>
      </c>
      <c r="B19" s="307" t="s">
        <v>2201</v>
      </c>
      <c r="C19" s="1563"/>
      <c r="D19" s="1564" t="s">
        <v>2202</v>
      </c>
      <c r="E19" s="1565"/>
      <c r="F19" s="1566" t="str">
        <f>IF(AND(C19="是",E19="否"),"是否提供他项权证或相关说明","")</f>
        <v/>
      </c>
      <c r="G19" s="1567"/>
      <c r="H19" s="2662"/>
      <c r="I19" s="2662"/>
      <c r="J19" s="2437"/>
      <c r="K19" s="2614"/>
      <c r="L19" s="2611"/>
      <c r="M19" s="2611"/>
      <c r="N19" s="2507"/>
      <c r="O19" s="2449"/>
      <c r="P19" s="2507"/>
      <c r="Q19" s="2437"/>
      <c r="R19" s="2437"/>
      <c r="S19" s="2437"/>
      <c r="T19" s="2437"/>
      <c r="U19" s="2437"/>
      <c r="V19" s="2437"/>
    </row>
    <row r="20" spans="1:28">
      <c r="A20" s="2630" t="s">
        <v>2203</v>
      </c>
      <c r="B20" s="3517" t="s">
        <v>2204</v>
      </c>
      <c r="C20" s="3518"/>
      <c r="D20" s="3519" t="s">
        <v>2205</v>
      </c>
      <c r="E20" s="3520"/>
      <c r="F20" s="2645" t="s">
        <v>1056</v>
      </c>
      <c r="G20" s="2662"/>
      <c r="H20" s="2662"/>
      <c r="I20" s="2662"/>
      <c r="J20" s="2437"/>
      <c r="K20" s="3516" t="s">
        <v>2206</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0"/>
      <c r="O20" s="2409"/>
      <c r="P20" s="2410"/>
      <c r="Q20" s="2370"/>
      <c r="R20" s="2370"/>
      <c r="S20" s="2370"/>
      <c r="T20" s="2370"/>
      <c r="U20" s="2370"/>
      <c r="V20" s="2370"/>
      <c r="W20" s="1745"/>
      <c r="X20" s="1745"/>
      <c r="Y20" s="1745"/>
      <c r="Z20" s="1745"/>
      <c r="AA20" s="1745"/>
      <c r="AB20" s="1745"/>
    </row>
    <row r="21" spans="1:28" ht="24.75" thickBot="1">
      <c r="A21" s="2630"/>
      <c r="B21" s="2631" t="s">
        <v>2207</v>
      </c>
      <c r="C21" s="2632" t="s">
        <v>1057</v>
      </c>
      <c r="D21" s="1568" t="s">
        <v>2208</v>
      </c>
      <c r="E21" s="2633" t="s">
        <v>1057</v>
      </c>
      <c r="F21" s="2646"/>
      <c r="G21" s="2662"/>
      <c r="H21" s="2662"/>
      <c r="I21" s="2662"/>
      <c r="J21" s="2437"/>
      <c r="K21" s="3516"/>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0"/>
      <c r="O21" s="2409"/>
      <c r="P21" s="2410"/>
      <c r="Q21" s="2370"/>
      <c r="R21" s="2370"/>
      <c r="S21" s="2370"/>
      <c r="T21" s="2370"/>
      <c r="U21" s="2370"/>
      <c r="V21" s="2370"/>
      <c r="W21" s="1745"/>
      <c r="X21" s="1745"/>
      <c r="Y21" s="1745"/>
      <c r="Z21" s="1745"/>
      <c r="AA21" s="1745"/>
      <c r="AB21" s="1745"/>
    </row>
    <row r="22" spans="1:28" ht="24.75" thickBot="1">
      <c r="A22" s="2630"/>
      <c r="B22" s="2634" t="s">
        <v>2209</v>
      </c>
      <c r="C22" s="2632" t="s">
        <v>1058</v>
      </c>
      <c r="D22" s="2661"/>
      <c r="E22" s="2661"/>
      <c r="F22" s="2661"/>
      <c r="G22" s="2662"/>
      <c r="H22" s="2662"/>
      <c r="I22" s="2662"/>
      <c r="J22" s="2437"/>
      <c r="K22" s="3516"/>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0"/>
      <c r="O22" s="2409"/>
      <c r="P22" s="2410"/>
      <c r="Q22" s="2370"/>
      <c r="R22" s="2370"/>
      <c r="S22" s="2370"/>
      <c r="T22" s="2370"/>
      <c r="U22" s="2370"/>
      <c r="V22" s="2370"/>
      <c r="W22" s="1745"/>
      <c r="X22" s="1745"/>
      <c r="Y22" s="1745"/>
      <c r="Z22" s="1745"/>
      <c r="AA22" s="1745"/>
      <c r="AB22" s="1745"/>
    </row>
    <row r="23" spans="1:28">
      <c r="A23" s="2635" t="s">
        <v>2210</v>
      </c>
      <c r="B23" s="2500" t="s">
        <v>2211</v>
      </c>
      <c r="C23" s="2636"/>
      <c r="D23" s="2637" t="s">
        <v>2211</v>
      </c>
      <c r="E23" s="2638"/>
      <c r="F23" s="2661"/>
      <c r="G23" s="2662"/>
      <c r="H23" s="2662"/>
      <c r="I23" s="2662"/>
      <c r="J23" s="2437"/>
      <c r="K23" s="2617"/>
      <c r="L23" s="2473"/>
      <c r="M23" s="2611"/>
      <c r="N23" s="2507"/>
      <c r="O23" s="2449"/>
      <c r="P23" s="2507"/>
      <c r="Q23" s="2437"/>
      <c r="R23" s="2437"/>
      <c r="S23" s="2437"/>
      <c r="T23" s="2437"/>
      <c r="U23" s="2437"/>
      <c r="V23" s="2437"/>
    </row>
    <row r="24" spans="1:28">
      <c r="A24" s="2635"/>
      <c r="B24" s="2500" t="s">
        <v>1059</v>
      </c>
      <c r="C24" s="2639"/>
      <c r="D24" s="2635" t="s">
        <v>1059</v>
      </c>
      <c r="E24" s="2640"/>
      <c r="F24" s="2661"/>
      <c r="G24" s="2662"/>
      <c r="H24" s="2662"/>
      <c r="I24" s="2662"/>
      <c r="J24" s="2437"/>
      <c r="K24" s="2617"/>
      <c r="L24" s="2473"/>
      <c r="M24" s="2611"/>
      <c r="N24" s="2507"/>
      <c r="O24" s="2449"/>
      <c r="P24" s="2507"/>
      <c r="Q24" s="2437"/>
      <c r="R24" s="2437"/>
      <c r="S24" s="2437"/>
      <c r="T24" s="2437"/>
      <c r="U24" s="2437"/>
      <c r="V24" s="2437"/>
    </row>
    <row r="25" spans="1:28">
      <c r="A25" s="2635"/>
      <c r="B25" s="2500" t="s">
        <v>1060</v>
      </c>
      <c r="C25" s="2639"/>
      <c r="D25" s="2635" t="s">
        <v>1060</v>
      </c>
      <c r="E25" s="2640"/>
      <c r="F25" s="2661"/>
      <c r="G25" s="2662"/>
      <c r="H25" s="2662"/>
      <c r="I25" s="2662"/>
      <c r="J25" s="2437"/>
      <c r="K25" s="2614"/>
      <c r="L25" s="2611"/>
      <c r="M25" s="2611"/>
      <c r="N25" s="2507"/>
      <c r="O25" s="2449"/>
      <c r="P25" s="2507"/>
      <c r="Q25" s="2437"/>
      <c r="R25" s="2437"/>
      <c r="S25" s="2437"/>
      <c r="T25" s="2437"/>
      <c r="U25" s="2437"/>
      <c r="V25" s="2437"/>
    </row>
    <row r="26" spans="1:28" ht="13.5" thickBot="1">
      <c r="A26" s="2641"/>
      <c r="B26" s="2642" t="s">
        <v>1061</v>
      </c>
      <c r="C26" s="2643"/>
      <c r="D26" s="2641" t="s">
        <v>1061</v>
      </c>
      <c r="E26" s="2644"/>
      <c r="F26" s="2663"/>
      <c r="G26" s="2663"/>
      <c r="H26" s="2663"/>
      <c r="I26" s="2663"/>
      <c r="J26" s="2437"/>
      <c r="K26" s="2614"/>
      <c r="L26" s="2611"/>
      <c r="M26" s="2611"/>
      <c r="N26" s="2507"/>
      <c r="O26" s="2449"/>
      <c r="P26" s="2507"/>
      <c r="Q26" s="2437"/>
      <c r="R26" s="2437"/>
      <c r="S26" s="2437"/>
      <c r="T26" s="2437"/>
      <c r="U26" s="2437"/>
      <c r="V26" s="2437"/>
    </row>
    <row r="27" spans="1:28" ht="13.5" thickTop="1">
      <c r="A27" s="3504" t="s">
        <v>2212</v>
      </c>
      <c r="B27" s="320" t="s">
        <v>2213</v>
      </c>
      <c r="C27" s="2414"/>
      <c r="D27" s="2415"/>
      <c r="E27" s="2662"/>
      <c r="F27" s="2662"/>
      <c r="G27" s="2662"/>
      <c r="H27" s="2662"/>
      <c r="I27" s="2662"/>
      <c r="J27" s="2437"/>
      <c r="K27" s="2615"/>
      <c r="L27" s="2449"/>
      <c r="M27" s="2449"/>
      <c r="N27" s="2507"/>
      <c r="O27" s="2449"/>
      <c r="P27" s="2507"/>
      <c r="Q27" s="2437"/>
      <c r="R27" s="2437"/>
      <c r="S27" s="2437"/>
      <c r="T27" s="2437"/>
      <c r="U27" s="2437"/>
      <c r="V27" s="2437"/>
    </row>
    <row r="28" spans="1:28">
      <c r="A28" s="3504"/>
      <c r="B28" s="302" t="s">
        <v>2214</v>
      </c>
      <c r="C28" s="2416"/>
      <c r="D28" s="2417"/>
      <c r="E28" s="2662"/>
      <c r="F28" s="2662"/>
      <c r="G28" s="2662"/>
      <c r="H28" s="2662"/>
      <c r="I28" s="2662"/>
      <c r="J28" s="2437"/>
      <c r="K28" s="2614"/>
      <c r="L28" s="2611"/>
      <c r="M28" s="2611"/>
      <c r="N28" s="2437"/>
      <c r="O28" s="2448"/>
      <c r="P28" s="2437"/>
      <c r="Q28" s="2437"/>
      <c r="R28" s="2437"/>
      <c r="S28" s="2437"/>
      <c r="T28" s="2437"/>
      <c r="U28" s="2437"/>
      <c r="V28" s="2437"/>
    </row>
    <row r="29" spans="1:28">
      <c r="A29" s="3504"/>
      <c r="B29" s="302" t="s">
        <v>2215</v>
      </c>
      <c r="C29" s="2418"/>
      <c r="D29" s="2419"/>
      <c r="E29" s="2662"/>
      <c r="F29" s="2662"/>
      <c r="G29" s="2662"/>
      <c r="H29" s="2662"/>
      <c r="I29" s="2662"/>
      <c r="J29" s="2437"/>
      <c r="K29" s="2614"/>
      <c r="L29" s="2611"/>
      <c r="M29" s="2611"/>
      <c r="N29" s="2437"/>
      <c r="O29" s="2448"/>
      <c r="P29" s="2437"/>
      <c r="Q29" s="2437"/>
      <c r="R29" s="2437"/>
      <c r="S29" s="2437"/>
      <c r="T29" s="2437"/>
      <c r="U29" s="2437"/>
      <c r="V29" s="2437"/>
    </row>
    <row r="30" spans="1:28">
      <c r="A30" s="3505"/>
      <c r="B30" s="302" t="s">
        <v>2216</v>
      </c>
      <c r="C30" s="3506"/>
      <c r="D30" s="3507"/>
      <c r="E30" s="2662"/>
      <c r="F30" s="2662"/>
      <c r="G30" s="2662"/>
      <c r="H30" s="2662"/>
      <c r="I30" s="2662"/>
      <c r="J30" s="2437"/>
      <c r="K30" s="2614"/>
      <c r="L30" s="2611"/>
      <c r="M30" s="2611"/>
      <c r="N30" s="2437"/>
      <c r="O30" s="2448"/>
      <c r="P30" s="2437"/>
      <c r="Q30" s="2437"/>
      <c r="R30" s="2437"/>
      <c r="S30" s="2437"/>
      <c r="T30" s="2437"/>
      <c r="U30" s="2437"/>
      <c r="V30" s="2437"/>
    </row>
    <row r="31" spans="1:28">
      <c r="A31" s="3508" t="s">
        <v>2217</v>
      </c>
      <c r="B31" s="2420" t="s">
        <v>3385</v>
      </c>
      <c r="C31" s="2323" t="str">
        <f>IF(B31="现房","成新及维护状况正常否",IF(B31="在建","工程状态是否正常",IF(B31="土地","是否闲置","-")))</f>
        <v>工程状态是否正常</v>
      </c>
      <c r="D31" s="1373"/>
      <c r="E31" s="2421"/>
      <c r="F31" s="2662"/>
      <c r="G31" s="2662"/>
      <c r="H31" s="2662"/>
      <c r="I31" s="2662"/>
      <c r="J31" s="2437"/>
      <c r="K31" s="2613"/>
      <c r="L31" s="2611"/>
      <c r="M31" s="2611"/>
      <c r="N31" s="2437"/>
      <c r="O31" s="2448"/>
      <c r="P31" s="2437"/>
      <c r="Q31" s="2437"/>
      <c r="R31" s="2437"/>
      <c r="S31" s="2437"/>
      <c r="T31" s="2437"/>
      <c r="U31" s="2437"/>
      <c r="V31" s="2437"/>
    </row>
    <row r="32" spans="1:28">
      <c r="A32" s="3509"/>
      <c r="B32" s="2420"/>
      <c r="C32" s="2323" t="str">
        <f>IF(B32="现房","成新及维护状况是否正常",IF(B32="在建","工程状态是否正常",IF(B32="土地","是否闲置","-")))</f>
        <v>-</v>
      </c>
      <c r="D32" s="1373"/>
      <c r="E32" s="2421"/>
      <c r="F32" s="2662"/>
      <c r="G32" s="2662"/>
      <c r="H32" s="2662"/>
      <c r="I32" s="2662"/>
      <c r="J32" s="2437"/>
      <c r="K32" s="2614"/>
      <c r="L32" s="2611"/>
      <c r="M32" s="2611"/>
      <c r="N32" s="2437"/>
      <c r="O32" s="2448"/>
      <c r="P32" s="2437"/>
      <c r="Q32" s="2437"/>
      <c r="R32" s="2437"/>
      <c r="S32" s="2437"/>
      <c r="T32" s="2437"/>
      <c r="U32" s="2437"/>
      <c r="V32" s="2437"/>
    </row>
    <row r="33" spans="1:30">
      <c r="A33" s="3509"/>
      <c r="B33" s="2423"/>
      <c r="C33" s="1590" t="str">
        <f>IF(B33="现房","成新及维护状况是否正常",IF(B33="在建","工程状态是否正常",IF(B33="土地","是否闲置","-")))</f>
        <v>-</v>
      </c>
      <c r="D33" s="1365"/>
      <c r="E33" s="2424"/>
      <c r="F33" s="2662"/>
      <c r="G33" s="2662"/>
      <c r="H33" s="2662"/>
      <c r="I33" s="2662"/>
      <c r="J33" s="2437"/>
      <c r="K33" s="2614"/>
      <c r="L33" s="2611"/>
      <c r="M33" s="2611"/>
      <c r="N33" s="2437"/>
      <c r="O33" s="2448"/>
      <c r="P33" s="2437"/>
      <c r="Q33" s="2437"/>
      <c r="R33" s="2437"/>
      <c r="S33" s="2437"/>
      <c r="T33" s="2437"/>
      <c r="U33" s="2437"/>
      <c r="V33" s="2437"/>
    </row>
    <row r="34" spans="1:30">
      <c r="A34" s="302" t="s">
        <v>2218</v>
      </c>
      <c r="B34" s="2026" t="s">
        <v>3384</v>
      </c>
      <c r="C34" s="2026" t="s">
        <v>3386</v>
      </c>
      <c r="D34" s="2026" t="s">
        <v>3387</v>
      </c>
      <c r="E34" s="2026" t="s">
        <v>3388</v>
      </c>
      <c r="F34" s="2026" t="s">
        <v>3389</v>
      </c>
      <c r="G34" s="2026" t="s">
        <v>3390</v>
      </c>
      <c r="H34" s="2026" t="s">
        <v>3391</v>
      </c>
      <c r="I34" s="2662"/>
      <c r="J34" s="2437"/>
      <c r="K34" s="2425">
        <f>COUNTIF(B34:H34,"——")</f>
        <v>0</v>
      </c>
      <c r="L34" s="323" t="s">
        <v>2219</v>
      </c>
      <c r="M34" s="323" t="s">
        <v>2220</v>
      </c>
      <c r="N34" s="323" t="s">
        <v>2221</v>
      </c>
      <c r="O34" s="323" t="s">
        <v>2222</v>
      </c>
      <c r="P34" s="323" t="s">
        <v>2223</v>
      </c>
      <c r="Q34" s="323" t="s">
        <v>2224</v>
      </c>
      <c r="R34" s="323" t="s">
        <v>2225</v>
      </c>
      <c r="S34" s="3503" t="s">
        <v>2226</v>
      </c>
      <c r="T34" s="2426" t="str">
        <f>NUMBERSTRING(7-K34,1)&amp;"通"</f>
        <v>七通</v>
      </c>
      <c r="U34" s="2437"/>
      <c r="V34" s="2437"/>
    </row>
    <row r="35" spans="1:30">
      <c r="A35" s="2427"/>
      <c r="B35" s="3510" t="s">
        <v>2227</v>
      </c>
      <c r="C35" s="3510"/>
      <c r="D35" s="3510"/>
      <c r="E35" s="3510"/>
      <c r="F35" s="664">
        <f>C10</f>
        <v>0</v>
      </c>
      <c r="G35" s="2662"/>
      <c r="H35" s="2662"/>
      <c r="I35" s="2662"/>
      <c r="J35" s="2437"/>
      <c r="K35" s="323"/>
      <c r="L35" s="323" t="str">
        <f>B34</f>
        <v>通路</v>
      </c>
      <c r="M35" s="329" t="str">
        <f>B34&amp;"、"&amp;C34</f>
        <v>通路、通电</v>
      </c>
      <c r="N35" s="329" t="str">
        <f>B34&amp;"、"&amp;C34&amp;"、"&amp;D34</f>
        <v>通路、通电、通讯</v>
      </c>
      <c r="O35" s="329" t="str">
        <f>B34&amp;"、"&amp;C34&amp;"、"&amp;D34&amp;"、"&amp;E34</f>
        <v>通路、通电、通讯、通上水</v>
      </c>
      <c r="P35" s="329" t="str">
        <f>B34&amp;"、"&amp;C34&amp;"、"&amp;D34&amp;"、"&amp;E34&amp;"、"&amp;F34</f>
        <v>通路、通电、通讯、通上水、通下水</v>
      </c>
      <c r="Q35" s="329" t="str">
        <f>B34&amp;"、"&amp;C34&amp;"、"&amp;D34&amp;"、"&amp;E34&amp;"、"&amp;F34&amp;"、"&amp;G34</f>
        <v>通路、通电、通讯、通上水、通下水、通热</v>
      </c>
      <c r="R35" s="329" t="str">
        <f>B34&amp;"、"&amp;C34&amp;"、"&amp;D34&amp;"、"&amp;E34&amp;"、"&amp;F34&amp;"、"&amp;G34&amp;"、"&amp;H34</f>
        <v>通路、通电、通讯、通上水、通下水、通热、燃气</v>
      </c>
      <c r="S35" s="3503"/>
      <c r="T35" s="329" t="str">
        <f>IF(T34="一通",L35,IF(T34="二通",M35,IF(T34="三通",N35,IF(T34="四通",O35,IF(T34="五通",P35,IF(T34="六通",Q35,R35))))))</f>
        <v>通路、通电、通讯、通上水、通下水、通热、燃气</v>
      </c>
      <c r="U35" s="2437"/>
      <c r="V35" s="2437"/>
    </row>
    <row r="36" spans="1:30">
      <c r="A36" s="2428"/>
      <c r="B36" s="664" t="s">
        <v>2183</v>
      </c>
      <c r="C36" s="664" t="s">
        <v>2184</v>
      </c>
      <c r="D36" s="664" t="s">
        <v>2182</v>
      </c>
      <c r="E36" s="664" t="s">
        <v>2187</v>
      </c>
      <c r="F36" s="3063" t="s">
        <v>2580</v>
      </c>
      <c r="G36" s="2662"/>
      <c r="H36" s="2662"/>
      <c r="I36" s="2662"/>
      <c r="J36" s="2437"/>
      <c r="K36" s="2614"/>
      <c r="L36" s="2611"/>
      <c r="M36" s="2611"/>
      <c r="N36" s="2437"/>
      <c r="O36" s="2448"/>
      <c r="P36" s="2437"/>
      <c r="Q36" s="2437"/>
      <c r="R36" s="2437"/>
      <c r="S36" s="2437"/>
      <c r="T36" s="2437"/>
      <c r="U36" s="2437"/>
      <c r="V36" s="2437"/>
    </row>
    <row r="37" spans="1:30">
      <c r="A37" s="2628" t="s">
        <v>2228</v>
      </c>
      <c r="B37" s="2429"/>
      <c r="C37" s="2429"/>
      <c r="D37" s="2429"/>
      <c r="E37" s="2429" t="s">
        <v>305</v>
      </c>
      <c r="F37" s="2429"/>
      <c r="G37" s="2662"/>
      <c r="H37" s="2662"/>
      <c r="I37" s="2662"/>
      <c r="J37" s="2437"/>
      <c r="K37" s="2614"/>
      <c r="L37" s="2611"/>
      <c r="M37" s="2611"/>
      <c r="N37" s="2437"/>
      <c r="O37" s="2448"/>
      <c r="P37" s="2437"/>
      <c r="Q37" s="2437"/>
      <c r="R37" s="2437"/>
      <c r="S37" s="2437"/>
      <c r="T37" s="2437"/>
      <c r="U37" s="2437"/>
      <c r="V37" s="2437"/>
    </row>
    <row r="38" spans="1:30" ht="13.5" thickBot="1">
      <c r="A38" s="2629" t="s">
        <v>2229</v>
      </c>
      <c r="B38" s="2430"/>
      <c r="C38" s="2430"/>
      <c r="D38" s="2430"/>
      <c r="E38" s="2430" t="s">
        <v>3392</v>
      </c>
      <c r="F38" s="2430"/>
      <c r="G38" s="2663"/>
      <c r="H38" s="2663"/>
      <c r="I38" s="2663"/>
      <c r="J38" s="2437"/>
      <c r="K38" s="2614"/>
      <c r="L38" s="2611"/>
      <c r="M38" s="2611"/>
      <c r="N38" s="2437"/>
      <c r="O38" s="2448"/>
      <c r="P38" s="2437"/>
      <c r="Q38" s="2437"/>
      <c r="R38" s="2437"/>
      <c r="S38" s="2437"/>
      <c r="T38" s="2437"/>
      <c r="U38" s="2437"/>
      <c r="V38" s="2437"/>
    </row>
    <row r="39" spans="1:30" s="2433" customFormat="1" ht="14.25" thickTop="1" thickBot="1">
      <c r="A39" s="2431" t="s">
        <v>2230</v>
      </c>
      <c r="B39" s="2432"/>
      <c r="C39" s="2432"/>
      <c r="D39" s="2432"/>
      <c r="E39" s="2432"/>
      <c r="F39" s="2432"/>
      <c r="G39" s="2432"/>
      <c r="H39" s="2432"/>
      <c r="I39" s="2432"/>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70"/>
      <c r="B40" s="2370"/>
      <c r="C40" s="2370"/>
      <c r="D40" s="2370"/>
      <c r="E40" s="2370"/>
      <c r="F40" s="2370"/>
      <c r="G40" s="2370"/>
      <c r="H40" s="2370"/>
      <c r="I40" s="1578"/>
      <c r="J40" s="2507"/>
      <c r="K40" s="2613"/>
      <c r="L40" s="2449"/>
      <c r="M40" s="2449"/>
      <c r="N40" s="2507"/>
      <c r="O40" s="2449"/>
      <c r="P40" s="2437"/>
      <c r="Q40" s="2437"/>
      <c r="R40" s="2437"/>
      <c r="S40" s="2437"/>
      <c r="T40" s="2437"/>
      <c r="U40" s="2437"/>
      <c r="V40" s="2437"/>
    </row>
    <row r="41" spans="1:30">
      <c r="A41" s="2434" t="s">
        <v>2231</v>
      </c>
      <c r="B41" s="1757"/>
      <c r="C41" s="1373"/>
      <c r="D41" s="2370"/>
      <c r="E41" s="2370"/>
      <c r="F41" s="2370"/>
      <c r="G41" s="2370"/>
      <c r="H41" s="2370"/>
      <c r="I41" s="1576"/>
      <c r="J41" s="2437"/>
      <c r="K41" s="2614"/>
      <c r="L41" s="2611"/>
      <c r="M41" s="2611"/>
      <c r="N41" s="2437"/>
      <c r="O41" s="2448"/>
      <c r="P41" s="2437"/>
      <c r="Q41" s="2437"/>
      <c r="R41" s="2437"/>
      <c r="S41" s="2437"/>
      <c r="T41" s="2437"/>
      <c r="U41" s="2437"/>
      <c r="V41" s="2437"/>
    </row>
    <row r="42" spans="1:30" ht="25.5">
      <c r="A42" s="323" t="s">
        <v>2232</v>
      </c>
      <c r="B42" s="8" t="s">
        <v>2233</v>
      </c>
      <c r="C42" s="8" t="s">
        <v>2234</v>
      </c>
      <c r="D42" s="8" t="s">
        <v>2235</v>
      </c>
      <c r="E42" s="8" t="s">
        <v>2236</v>
      </c>
      <c r="F42" s="8" t="s">
        <v>2237</v>
      </c>
      <c r="G42" s="8" t="s">
        <v>2238</v>
      </c>
      <c r="H42" s="8" t="s">
        <v>2239</v>
      </c>
      <c r="I42" s="8" t="s">
        <v>2240</v>
      </c>
      <c r="J42" s="2624" t="s">
        <v>2241</v>
      </c>
      <c r="K42" s="2625" t="s">
        <v>2242</v>
      </c>
      <c r="L42" s="2625" t="s">
        <v>2243</v>
      </c>
      <c r="M42" s="2625" t="s">
        <v>2244</v>
      </c>
      <c r="N42" s="2618" t="s">
        <v>2245</v>
      </c>
      <c r="O42" s="2618" t="s">
        <v>2246</v>
      </c>
      <c r="P42" s="2618" t="s">
        <v>2247</v>
      </c>
      <c r="Q42" s="2619" t="s">
        <v>2248</v>
      </c>
      <c r="R42" s="2619" t="s">
        <v>2249</v>
      </c>
      <c r="S42" s="2437"/>
      <c r="T42" s="2437"/>
      <c r="U42" s="2437"/>
      <c r="V42" s="2437"/>
    </row>
    <row r="43" spans="1:30" s="1743" customFormat="1">
      <c r="A43" s="1570"/>
      <c r="B43" s="1051"/>
      <c r="C43" s="1051"/>
      <c r="D43" s="1051"/>
      <c r="E43" s="1051"/>
      <c r="F43" s="1051"/>
      <c r="G43" s="1051"/>
      <c r="H43" s="1051"/>
      <c r="I43" s="1051"/>
      <c r="J43" s="2435"/>
      <c r="K43" s="2436"/>
      <c r="L43" s="2436"/>
      <c r="M43" s="1051"/>
      <c r="N43" s="1051"/>
      <c r="O43" s="1051"/>
      <c r="P43" s="1051"/>
      <c r="Q43" s="1051"/>
      <c r="R43" s="1051"/>
      <c r="S43" s="2437"/>
      <c r="T43" s="2437"/>
      <c r="U43" s="2437"/>
      <c r="V43" s="2437"/>
    </row>
    <row r="44" spans="1:30" s="1743" customFormat="1">
      <c r="A44" s="1570"/>
      <c r="B44" s="1570"/>
      <c r="C44" s="1051"/>
      <c r="D44" s="1051"/>
      <c r="E44" s="1051"/>
      <c r="F44" s="1051"/>
      <c r="G44" s="1051"/>
      <c r="H44" s="1051"/>
      <c r="I44" s="1051"/>
      <c r="J44" s="2435"/>
      <c r="K44" s="2436"/>
      <c r="L44" s="2436"/>
      <c r="M44" s="1051"/>
      <c r="N44" s="1051"/>
      <c r="O44" s="1051"/>
      <c r="P44" s="1051"/>
      <c r="Q44" s="1051"/>
      <c r="R44" s="1051"/>
      <c r="S44" s="2437"/>
      <c r="T44" s="2437"/>
      <c r="U44" s="2437"/>
      <c r="V44" s="2437"/>
    </row>
    <row r="45" spans="1:30" s="1743" customFormat="1">
      <c r="A45" s="1570"/>
      <c r="B45" s="1570"/>
      <c r="C45" s="1051"/>
      <c r="D45" s="1051"/>
      <c r="E45" s="1051"/>
      <c r="F45" s="1051"/>
      <c r="G45" s="1051"/>
      <c r="H45" s="1051"/>
      <c r="I45" s="1051"/>
      <c r="J45" s="2435"/>
      <c r="K45" s="2436"/>
      <c r="L45" s="2436"/>
      <c r="M45" s="1051"/>
      <c r="N45" s="1051"/>
      <c r="O45" s="1051"/>
      <c r="P45" s="1051"/>
      <c r="Q45" s="1051"/>
      <c r="R45" s="1051"/>
      <c r="S45" s="2437"/>
      <c r="T45" s="2437"/>
      <c r="U45" s="2437"/>
      <c r="V45" s="2437"/>
    </row>
    <row r="46" spans="1:30" s="1743" customFormat="1">
      <c r="A46" s="1570"/>
      <c r="B46" s="1570"/>
      <c r="C46" s="1051"/>
      <c r="D46" s="1051"/>
      <c r="E46" s="1051"/>
      <c r="F46" s="1051"/>
      <c r="G46" s="1051"/>
      <c r="H46" s="1051"/>
      <c r="I46" s="1051"/>
      <c r="J46" s="2435"/>
      <c r="K46" s="2436"/>
      <c r="L46" s="2436"/>
      <c r="M46" s="1051"/>
      <c r="N46" s="1051"/>
      <c r="O46" s="1051"/>
      <c r="P46" s="1051"/>
      <c r="Q46" s="1051"/>
      <c r="R46" s="1051"/>
      <c r="S46" s="2437"/>
      <c r="T46" s="2437"/>
      <c r="U46" s="2437"/>
      <c r="V46" s="2437"/>
    </row>
    <row r="47" spans="1:30" s="1743" customFormat="1">
      <c r="A47" s="1570"/>
      <c r="B47" s="1570"/>
      <c r="C47" s="1051"/>
      <c r="D47" s="1051"/>
      <c r="E47" s="1051"/>
      <c r="F47" s="1051"/>
      <c r="G47" s="1051"/>
      <c r="H47" s="1051"/>
      <c r="I47" s="1051"/>
      <c r="J47" s="2435"/>
      <c r="K47" s="2436"/>
      <c r="L47" s="2436"/>
      <c r="M47" s="1051"/>
      <c r="N47" s="1051"/>
      <c r="O47" s="1051"/>
      <c r="P47" s="1051"/>
      <c r="Q47" s="1051"/>
      <c r="R47" s="1051"/>
      <c r="S47" s="2437"/>
      <c r="T47" s="2437"/>
      <c r="U47" s="2437"/>
      <c r="V47" s="2437"/>
    </row>
    <row r="48" spans="1:30" s="1743" customFormat="1">
      <c r="A48" s="1570"/>
      <c r="B48" s="1570"/>
      <c r="C48" s="1051"/>
      <c r="D48" s="1051"/>
      <c r="E48" s="1051"/>
      <c r="F48" s="1051"/>
      <c r="G48" s="1051"/>
      <c r="H48" s="1051"/>
      <c r="I48" s="1051"/>
      <c r="J48" s="2435"/>
      <c r="K48" s="2436"/>
      <c r="L48" s="2436"/>
      <c r="M48" s="1051"/>
      <c r="N48" s="1051"/>
      <c r="O48" s="1051"/>
      <c r="P48" s="1051"/>
      <c r="Q48" s="1051"/>
      <c r="R48" s="1051"/>
      <c r="S48" s="2437"/>
      <c r="T48" s="2437"/>
      <c r="U48" s="2437"/>
      <c r="V48" s="2437"/>
    </row>
    <row r="49" spans="1:22" s="1743" customFormat="1">
      <c r="A49" s="1570"/>
      <c r="B49" s="1570"/>
      <c r="C49" s="1051"/>
      <c r="D49" s="1051"/>
      <c r="E49" s="1051"/>
      <c r="F49" s="1051"/>
      <c r="G49" s="1051"/>
      <c r="H49" s="1051"/>
      <c r="I49" s="1051"/>
      <c r="J49" s="2435"/>
      <c r="K49" s="2436"/>
      <c r="L49" s="2436"/>
      <c r="M49" s="1051"/>
      <c r="N49" s="1051"/>
      <c r="O49" s="1051"/>
      <c r="P49" s="1051"/>
      <c r="Q49" s="1051"/>
      <c r="R49" s="1051"/>
      <c r="S49" s="2437"/>
      <c r="T49" s="2437"/>
      <c r="U49" s="2437"/>
      <c r="V49" s="2437"/>
    </row>
    <row r="50" spans="1:22" s="1743" customFormat="1">
      <c r="A50" s="1570"/>
      <c r="B50" s="1570"/>
      <c r="C50" s="1051"/>
      <c r="D50" s="1051"/>
      <c r="E50" s="1051"/>
      <c r="F50" s="1051"/>
      <c r="G50" s="1051"/>
      <c r="H50" s="1051"/>
      <c r="I50" s="1051"/>
      <c r="J50" s="2435"/>
      <c r="K50" s="2436"/>
      <c r="L50" s="2436"/>
      <c r="M50" s="1051"/>
      <c r="N50" s="1051"/>
      <c r="O50" s="1051"/>
      <c r="P50" s="1051"/>
      <c r="Q50" s="1051"/>
      <c r="R50" s="1051"/>
      <c r="S50" s="2437"/>
      <c r="T50" s="2437"/>
      <c r="U50" s="2437"/>
      <c r="V50" s="2437"/>
    </row>
    <row r="51" spans="1:22" s="1743" customFormat="1">
      <c r="A51" s="1570"/>
      <c r="B51" s="1570"/>
      <c r="C51" s="1051"/>
      <c r="D51" s="1051"/>
      <c r="E51" s="1051"/>
      <c r="F51" s="1051"/>
      <c r="G51" s="1051"/>
      <c r="H51" s="1051"/>
      <c r="I51" s="1051"/>
      <c r="J51" s="2435"/>
      <c r="K51" s="2436"/>
      <c r="L51" s="2436"/>
      <c r="M51" s="1051"/>
      <c r="N51" s="1051"/>
      <c r="O51" s="1051"/>
      <c r="P51" s="1051"/>
      <c r="Q51" s="1051"/>
      <c r="R51" s="1051"/>
    </row>
    <row r="52" spans="1:22" s="1743" customFormat="1">
      <c r="A52" s="1570"/>
      <c r="B52" s="1570"/>
      <c r="C52" s="1570"/>
      <c r="D52" s="1570"/>
      <c r="E52" s="1570"/>
      <c r="F52" s="1051"/>
      <c r="G52" s="1570"/>
      <c r="H52" s="1570"/>
      <c r="I52" s="1570"/>
      <c r="J52" s="2438"/>
      <c r="K52" s="2436"/>
      <c r="L52" s="2436"/>
      <c r="M52" s="2436"/>
      <c r="N52" s="1570"/>
      <c r="O52" s="1570"/>
      <c r="P52" s="1570"/>
      <c r="Q52" s="1570"/>
      <c r="R52" s="1570"/>
    </row>
    <row r="53" spans="1:22" s="1743" customFormat="1">
      <c r="A53" s="1570"/>
      <c r="B53" s="1570"/>
      <c r="C53" s="1570"/>
      <c r="D53" s="1570"/>
      <c r="E53" s="1570"/>
      <c r="F53" s="1051"/>
      <c r="G53" s="1570"/>
      <c r="H53" s="1570"/>
      <c r="I53" s="1570"/>
      <c r="J53" s="2438"/>
      <c r="K53" s="2436"/>
      <c r="L53" s="2436"/>
      <c r="M53" s="2436"/>
      <c r="N53" s="1570"/>
      <c r="O53" s="1570"/>
      <c r="P53" s="1570"/>
      <c r="Q53" s="1570"/>
      <c r="R53" s="1570"/>
    </row>
    <row r="54" spans="1:22" s="1743" customFormat="1">
      <c r="A54" s="1570"/>
      <c r="B54" s="1570"/>
      <c r="C54" s="1570"/>
      <c r="D54" s="1570"/>
      <c r="E54" s="1570"/>
      <c r="F54" s="1051"/>
      <c r="G54" s="1570"/>
      <c r="H54" s="1570"/>
      <c r="I54" s="1570"/>
      <c r="J54" s="2438"/>
      <c r="K54" s="2436"/>
      <c r="L54" s="2436"/>
      <c r="M54" s="2436"/>
      <c r="N54" s="1570"/>
      <c r="O54" s="1570"/>
      <c r="P54" s="1570"/>
      <c r="Q54" s="1570"/>
      <c r="R54" s="1570"/>
    </row>
    <row r="55" spans="1:22" s="1743" customFormat="1">
      <c r="A55" s="1570"/>
      <c r="B55" s="1570"/>
      <c r="C55" s="1570"/>
      <c r="D55" s="1570"/>
      <c r="E55" s="1570"/>
      <c r="F55" s="1051"/>
      <c r="G55" s="1570"/>
      <c r="H55" s="1570"/>
      <c r="I55" s="1570"/>
      <c r="J55" s="2438"/>
      <c r="K55" s="2436"/>
      <c r="L55" s="2436"/>
      <c r="M55" s="2436"/>
      <c r="N55" s="1570"/>
      <c r="O55" s="1570"/>
      <c r="P55" s="1570"/>
      <c r="Q55" s="1570"/>
      <c r="R55" s="1570"/>
    </row>
    <row r="56" spans="1:22" s="1743" customFormat="1">
      <c r="A56" s="1570"/>
      <c r="B56" s="1570"/>
      <c r="C56" s="1570"/>
      <c r="D56" s="1570"/>
      <c r="E56" s="1570"/>
      <c r="F56" s="1051"/>
      <c r="G56" s="1570"/>
      <c r="H56" s="1570"/>
      <c r="I56" s="1570"/>
      <c r="J56" s="2438"/>
      <c r="K56" s="2436"/>
      <c r="L56" s="2436"/>
      <c r="M56" s="2436"/>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M5" sqref="M5"/>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hidden="1" customWidth="1"/>
    <col min="18" max="18" width="9.25" style="1573" hidden="1" customWidth="1"/>
    <col min="19" max="19" width="10.875" style="1573" hidden="1" customWidth="1"/>
    <col min="20" max="21" width="10.75" style="1573" hidden="1" customWidth="1"/>
    <col min="22" max="22" width="10.875" style="1573" hidden="1" customWidth="1"/>
    <col min="23" max="27" width="10.75" style="1573" hidden="1" customWidth="1"/>
    <col min="28" max="28" width="10.875" style="1573" hidden="1" customWidth="1"/>
    <col min="29" max="29" width="11" style="1573" bestFit="1" customWidth="1"/>
    <col min="30" max="30" width="10" style="1573" hidden="1" customWidth="1"/>
    <col min="31" max="31" width="9.75" style="1573" hidden="1" customWidth="1"/>
    <col min="32" max="37" width="9.5" style="1573" hidden="1" customWidth="1"/>
    <col min="38"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23652.31</v>
      </c>
      <c r="B3" s="11">
        <f>IF(C3="否",G5-AT5,G5)</f>
        <v>35282.600000000006</v>
      </c>
      <c r="C3" s="1580" t="s">
        <v>3394</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1070</v>
      </c>
      <c r="B5" s="1347"/>
      <c r="C5" s="1347"/>
      <c r="D5" s="1349"/>
      <c r="E5" s="13" t="s">
        <v>0</v>
      </c>
      <c r="F5" s="13">
        <f>SUM(F13:F587)</f>
        <v>0</v>
      </c>
      <c r="G5" s="13">
        <f>SUM(G13:G587)</f>
        <v>35282.600000000006</v>
      </c>
      <c r="H5" s="13">
        <f t="shared" ref="H5:AT5" si="0">SUM(H13:H656)</f>
        <v>29776.6</v>
      </c>
      <c r="I5" s="13">
        <f t="shared" si="0"/>
        <v>13935.5</v>
      </c>
      <c r="J5" s="13">
        <f t="shared" si="0"/>
        <v>0</v>
      </c>
      <c r="K5" s="13">
        <f t="shared" si="0"/>
        <v>1943.8</v>
      </c>
      <c r="L5" s="13">
        <f t="shared" si="0"/>
        <v>0</v>
      </c>
      <c r="M5" s="13">
        <f t="shared" si="0"/>
        <v>6784</v>
      </c>
      <c r="N5" s="13">
        <f t="shared" si="0"/>
        <v>0</v>
      </c>
      <c r="O5" s="13">
        <f t="shared" si="0"/>
        <v>7113.3</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4912.5</v>
      </c>
      <c r="AD5" s="13">
        <f t="shared" si="0"/>
        <v>0</v>
      </c>
      <c r="AE5" s="13">
        <f t="shared" si="0"/>
        <v>0</v>
      </c>
      <c r="AF5" s="13">
        <f t="shared" si="0"/>
        <v>0</v>
      </c>
      <c r="AG5" s="13">
        <f t="shared" si="0"/>
        <v>0</v>
      </c>
      <c r="AH5" s="13">
        <f t="shared" si="0"/>
        <v>0</v>
      </c>
      <c r="AI5" s="13">
        <f t="shared" si="0"/>
        <v>0</v>
      </c>
      <c r="AJ5" s="13">
        <f t="shared" si="0"/>
        <v>0</v>
      </c>
      <c r="AK5" s="13">
        <f t="shared" si="0"/>
        <v>0</v>
      </c>
      <c r="AL5" s="13">
        <f t="shared" si="0"/>
        <v>938.4</v>
      </c>
      <c r="AM5" s="13">
        <f t="shared" si="0"/>
        <v>0</v>
      </c>
      <c r="AN5" s="13">
        <f t="shared" si="0"/>
        <v>3974.1000000000004</v>
      </c>
      <c r="AO5" s="13">
        <f t="shared" si="0"/>
        <v>0</v>
      </c>
      <c r="AP5" s="13">
        <f t="shared" si="0"/>
        <v>0</v>
      </c>
      <c r="AQ5" s="13">
        <f t="shared" si="0"/>
        <v>0</v>
      </c>
      <c r="AR5" s="13">
        <f t="shared" si="0"/>
        <v>0</v>
      </c>
      <c r="AS5" s="13">
        <f t="shared" si="0"/>
        <v>0</v>
      </c>
      <c r="AT5" s="13">
        <f t="shared" si="0"/>
        <v>593.5</v>
      </c>
      <c r="AU5" s="1346"/>
      <c r="AV5" s="12" t="s">
        <v>1070</v>
      </c>
      <c r="AW5" s="1347"/>
      <c r="AX5" s="1347"/>
      <c r="AY5" s="14" t="s">
        <v>2</v>
      </c>
      <c r="AZ5" s="15">
        <f t="shared" ref="AZ5:BT5" si="1">SUM(AZ13:AZ656)</f>
        <v>34689.100000000006</v>
      </c>
      <c r="BA5" s="15">
        <f t="shared" si="1"/>
        <v>29776.6</v>
      </c>
      <c r="BB5" s="15">
        <f t="shared" si="1"/>
        <v>13935.5</v>
      </c>
      <c r="BC5" s="15">
        <f t="shared" si="1"/>
        <v>1943.8</v>
      </c>
      <c r="BD5" s="15">
        <f t="shared" si="1"/>
        <v>6784</v>
      </c>
      <c r="BE5" s="15">
        <f t="shared" si="1"/>
        <v>7113.3</v>
      </c>
      <c r="BF5" s="15">
        <f t="shared" si="1"/>
        <v>0</v>
      </c>
      <c r="BG5" s="15">
        <f t="shared" si="1"/>
        <v>0</v>
      </c>
      <c r="BH5" s="15">
        <f t="shared" si="1"/>
        <v>0</v>
      </c>
      <c r="BI5" s="15">
        <f t="shared" si="1"/>
        <v>0</v>
      </c>
      <c r="BJ5" s="15">
        <f t="shared" si="1"/>
        <v>0</v>
      </c>
      <c r="BK5" s="15">
        <f t="shared" si="1"/>
        <v>0</v>
      </c>
      <c r="BL5" s="15">
        <f t="shared" si="1"/>
        <v>4912.5</v>
      </c>
      <c r="BM5" s="15">
        <f t="shared" si="1"/>
        <v>0</v>
      </c>
      <c r="BN5" s="15">
        <f t="shared" si="1"/>
        <v>0</v>
      </c>
      <c r="BO5" s="15">
        <f t="shared" si="1"/>
        <v>0</v>
      </c>
      <c r="BP5" s="15">
        <f t="shared" si="1"/>
        <v>0</v>
      </c>
      <c r="BQ5" s="15">
        <f t="shared" si="1"/>
        <v>938.4</v>
      </c>
      <c r="BR5" s="15">
        <f t="shared" si="1"/>
        <v>3974.1000000000004</v>
      </c>
      <c r="BS5" s="15">
        <f t="shared" si="1"/>
        <v>0</v>
      </c>
      <c r="BT5" s="16">
        <f t="shared" si="1"/>
        <v>0</v>
      </c>
    </row>
    <row r="6" spans="1:72" s="1589" customFormat="1" ht="12.75">
      <c r="A6" s="12" t="s">
        <v>1071</v>
      </c>
      <c r="B6" s="1586"/>
      <c r="C6" s="1586"/>
      <c r="D6" s="1587"/>
      <c r="E6" s="13">
        <f>H6+AC6+AT6</f>
        <v>23652.31</v>
      </c>
      <c r="F6" s="13" t="s">
        <v>0</v>
      </c>
      <c r="G6" s="13" t="s">
        <v>1</v>
      </c>
      <c r="H6" s="17">
        <f>SUMIF(I$12:AB$12,"总值",I6:AB6)</f>
        <v>19961.27</v>
      </c>
      <c r="I6" s="13">
        <f t="shared" ref="I6:AB6" si="2">ROUND($A$3*I5/$B$3,2)</f>
        <v>9341.91</v>
      </c>
      <c r="J6" s="13">
        <f t="shared" si="2"/>
        <v>0</v>
      </c>
      <c r="K6" s="13">
        <f t="shared" si="2"/>
        <v>1303.06</v>
      </c>
      <c r="L6" s="13">
        <f t="shared" si="2"/>
        <v>0</v>
      </c>
      <c r="M6" s="13">
        <f t="shared" si="2"/>
        <v>4547.7700000000004</v>
      </c>
      <c r="N6" s="13">
        <f t="shared" si="2"/>
        <v>0</v>
      </c>
      <c r="O6" s="13">
        <f t="shared" si="2"/>
        <v>4768.53</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3293.1800000000003</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629.07000000000005</v>
      </c>
      <c r="AM6" s="13">
        <f t="shared" si="3"/>
        <v>0</v>
      </c>
      <c r="AN6" s="13">
        <f t="shared" si="3"/>
        <v>2664.11</v>
      </c>
      <c r="AO6" s="13">
        <f t="shared" si="3"/>
        <v>0</v>
      </c>
      <c r="AP6" s="13">
        <f t="shared" si="3"/>
        <v>0</v>
      </c>
      <c r="AQ6" s="13">
        <f t="shared" si="3"/>
        <v>0</v>
      </c>
      <c r="AR6" s="13">
        <f t="shared" si="3"/>
        <v>0</v>
      </c>
      <c r="AS6" s="13">
        <f t="shared" si="3"/>
        <v>0</v>
      </c>
      <c r="AT6" s="17">
        <f>IF(C3="是",ROUND($A$3*AT5/$B$3,2),0)</f>
        <v>397.86</v>
      </c>
      <c r="AU6" s="1588"/>
      <c r="AV6" s="12" t="s">
        <v>1071</v>
      </c>
      <c r="AW6" s="1586"/>
      <c r="AX6" s="1586"/>
      <c r="AY6" s="18">
        <f>IF(AY3&gt;0,AY3,ROUND($A$3*AZ5/$B$3,2))</f>
        <v>23254.45</v>
      </c>
      <c r="AZ6" s="13" t="s">
        <v>2</v>
      </c>
      <c r="BA6" s="13">
        <f>ROUND($AY$6*BA5/$AZ$5,2)</f>
        <v>19961.27</v>
      </c>
      <c r="BB6" s="13">
        <f>ROUND($AY$6*BB5/$AZ$5,2)</f>
        <v>9341.91</v>
      </c>
      <c r="BC6" s="13">
        <f t="shared" ref="BC6:BH6" si="4">ROUND($AY$6*BC5/$AZ$5,2)</f>
        <v>1303.06</v>
      </c>
      <c r="BD6" s="13">
        <f t="shared" si="4"/>
        <v>4547.7700000000004</v>
      </c>
      <c r="BE6" s="13">
        <f t="shared" si="4"/>
        <v>4768.53</v>
      </c>
      <c r="BF6" s="13">
        <f t="shared" si="4"/>
        <v>0</v>
      </c>
      <c r="BG6" s="13">
        <f t="shared" si="4"/>
        <v>0</v>
      </c>
      <c r="BH6" s="13">
        <f t="shared" si="4"/>
        <v>0</v>
      </c>
      <c r="BI6" s="13">
        <f t="shared" ref="BI6:BT6" si="5">ROUND($AY$6*BI5/$AZ$5,2)</f>
        <v>0</v>
      </c>
      <c r="BJ6" s="13">
        <f t="shared" si="5"/>
        <v>0</v>
      </c>
      <c r="BK6" s="13">
        <f t="shared" si="5"/>
        <v>0</v>
      </c>
      <c r="BL6" s="13">
        <f t="shared" si="5"/>
        <v>3293.18</v>
      </c>
      <c r="BM6" s="13">
        <f t="shared" si="5"/>
        <v>0</v>
      </c>
      <c r="BN6" s="13">
        <f t="shared" si="5"/>
        <v>0</v>
      </c>
      <c r="BO6" s="13">
        <f t="shared" si="5"/>
        <v>0</v>
      </c>
      <c r="BP6" s="13">
        <f t="shared" si="5"/>
        <v>0</v>
      </c>
      <c r="BQ6" s="13">
        <f t="shared" si="5"/>
        <v>629.07000000000005</v>
      </c>
      <c r="BR6" s="13">
        <f t="shared" si="5"/>
        <v>2664.11</v>
      </c>
      <c r="BS6" s="13">
        <f t="shared" si="5"/>
        <v>0</v>
      </c>
      <c r="BT6" s="19">
        <f t="shared" si="5"/>
        <v>0</v>
      </c>
    </row>
    <row r="7" spans="1:72" s="1579" customFormat="1" ht="24.75">
      <c r="A7" s="1569" t="s">
        <v>1072</v>
      </c>
      <c r="B7" s="1569" t="s">
        <v>1073</v>
      </c>
      <c r="C7" s="1569" t="s">
        <v>1074</v>
      </c>
      <c r="D7" s="1569" t="s">
        <v>1075</v>
      </c>
      <c r="E7" s="1569" t="s">
        <v>1076</v>
      </c>
      <c r="F7" s="1569" t="s">
        <v>1077</v>
      </c>
      <c r="G7" s="1590" t="s">
        <v>1078</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1079</v>
      </c>
      <c r="AV7" s="20" t="s">
        <v>1080</v>
      </c>
      <c r="AW7" s="1578" t="s">
        <v>1081</v>
      </c>
      <c r="AX7" s="20" t="s">
        <v>1074</v>
      </c>
      <c r="AY7" s="1347" t="s">
        <v>1082</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1083</v>
      </c>
      <c r="H8" s="1596" t="s">
        <v>1084</v>
      </c>
      <c r="I8" s="1597"/>
      <c r="J8" s="1360"/>
      <c r="K8" s="1360"/>
      <c r="L8" s="1360"/>
      <c r="M8" s="1360"/>
      <c r="N8" s="1360"/>
      <c r="O8" s="1360"/>
      <c r="P8" s="1360"/>
      <c r="Q8" s="1360"/>
      <c r="R8" s="1360"/>
      <c r="S8" s="1360"/>
      <c r="T8" s="1360"/>
      <c r="U8" s="1360"/>
      <c r="V8" s="1598"/>
      <c r="W8" s="1360"/>
      <c r="X8" s="1360"/>
      <c r="Y8" s="1360"/>
      <c r="Z8" s="1360"/>
      <c r="AA8" s="1598"/>
      <c r="AB8" s="1599"/>
      <c r="AC8" s="809" t="s">
        <v>1085</v>
      </c>
      <c r="AD8" s="1600"/>
      <c r="AE8" s="1592"/>
      <c r="AF8" s="1360"/>
      <c r="AG8" s="1360"/>
      <c r="AH8" s="1360"/>
      <c r="AI8" s="1360"/>
      <c r="AJ8" s="1360"/>
      <c r="AK8" s="1360"/>
      <c r="AL8" s="1360"/>
      <c r="AM8" s="1360"/>
      <c r="AN8" s="1360"/>
      <c r="AO8" s="1360"/>
      <c r="AP8" s="1360"/>
      <c r="AQ8" s="1360"/>
      <c r="AR8" s="1360"/>
      <c r="AS8" s="1360"/>
      <c r="AT8" s="1070" t="s">
        <v>1086</v>
      </c>
      <c r="AU8" s="1594" t="s">
        <v>1087</v>
      </c>
      <c r="AV8" s="1070"/>
      <c r="AW8" s="1577"/>
      <c r="AX8" s="1070"/>
      <c r="AY8" s="1578" t="s">
        <v>1088</v>
      </c>
      <c r="AZ8" s="1359" t="s">
        <v>1089</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1090</v>
      </c>
      <c r="I9" s="1603" t="s">
        <v>3395</v>
      </c>
      <c r="J9" s="809"/>
      <c r="K9" s="1603" t="s">
        <v>3395</v>
      </c>
      <c r="L9" s="809"/>
      <c r="M9" s="1603" t="s">
        <v>3395</v>
      </c>
      <c r="N9" s="809"/>
      <c r="O9" s="1603" t="s">
        <v>3404</v>
      </c>
      <c r="P9" s="809"/>
      <c r="Q9" s="1603"/>
      <c r="R9" s="809"/>
      <c r="S9" s="1603"/>
      <c r="T9" s="809"/>
      <c r="U9" s="1603"/>
      <c r="V9" s="809"/>
      <c r="W9" s="1603"/>
      <c r="X9" s="1604"/>
      <c r="Y9" s="1603"/>
      <c r="Z9" s="809"/>
      <c r="AA9" s="1603"/>
      <c r="AB9" s="809"/>
      <c r="AC9" s="1595" t="s">
        <v>1090</v>
      </c>
      <c r="AD9" s="12" t="s">
        <v>1091</v>
      </c>
      <c r="AE9" s="1076"/>
      <c r="AF9" s="12" t="s">
        <v>1092</v>
      </c>
      <c r="AG9" s="1076"/>
      <c r="AH9" s="12" t="s">
        <v>1091</v>
      </c>
      <c r="AI9" s="1076"/>
      <c r="AJ9" s="12" t="s">
        <v>1092</v>
      </c>
      <c r="AK9" s="1076"/>
      <c r="AL9" s="12" t="s">
        <v>1091</v>
      </c>
      <c r="AM9" s="1076"/>
      <c r="AN9" s="12" t="s">
        <v>1092</v>
      </c>
      <c r="AO9" s="1076"/>
      <c r="AP9" s="12" t="s">
        <v>1091</v>
      </c>
      <c r="AQ9" s="1076"/>
      <c r="AR9" s="12" t="s">
        <v>1092</v>
      </c>
      <c r="AS9" s="1605"/>
      <c r="AT9" s="1594"/>
      <c r="AU9" s="1594" t="s">
        <v>1093</v>
      </c>
      <c r="AV9" s="1070"/>
      <c r="AW9" s="1577"/>
      <c r="AX9" s="1070"/>
      <c r="AY9" s="25"/>
      <c r="AZ9" s="25" t="s">
        <v>1083</v>
      </c>
      <c r="BA9" s="1606" t="s">
        <v>1094</v>
      </c>
      <c r="BB9" s="1607"/>
      <c r="BC9" s="1088"/>
      <c r="BD9" s="1088"/>
      <c r="BE9" s="1088"/>
      <c r="BF9" s="1088"/>
      <c r="BG9" s="1088"/>
      <c r="BH9" s="1088"/>
      <c r="BI9" s="1088"/>
      <c r="BJ9" s="1088"/>
      <c r="BK9" s="1608"/>
      <c r="BL9" s="12" t="s">
        <v>1095</v>
      </c>
      <c r="BM9" s="1360"/>
      <c r="BN9" s="1597"/>
      <c r="BO9" s="1360"/>
      <c r="BP9" s="1360"/>
      <c r="BQ9" s="1360"/>
      <c r="BR9" s="1360"/>
      <c r="BS9" s="1360"/>
      <c r="BT9" s="23"/>
    </row>
    <row r="10" spans="1:72" s="1601" customFormat="1" ht="12.75">
      <c r="A10" s="1594"/>
      <c r="B10" s="1594"/>
      <c r="C10" s="1594"/>
      <c r="D10" s="1594"/>
      <c r="E10" s="1594"/>
      <c r="F10" s="1594"/>
      <c r="G10" s="1070"/>
      <c r="H10" s="25"/>
      <c r="I10" s="1603" t="s">
        <v>3</v>
      </c>
      <c r="J10" s="809"/>
      <c r="K10" s="1609" t="s">
        <v>3</v>
      </c>
      <c r="L10" s="809"/>
      <c r="M10" s="1609" t="s">
        <v>3</v>
      </c>
      <c r="N10" s="809"/>
      <c r="O10" s="1609" t="s">
        <v>3336</v>
      </c>
      <c r="P10" s="809"/>
      <c r="Q10" s="1609"/>
      <c r="R10" s="809"/>
      <c r="S10" s="1609"/>
      <c r="T10" s="809"/>
      <c r="U10" s="1609"/>
      <c r="V10" s="809"/>
      <c r="W10" s="1609"/>
      <c r="X10" s="809"/>
      <c r="Y10" s="1609"/>
      <c r="Z10" s="809"/>
      <c r="AA10" s="1609"/>
      <c r="AB10" s="809"/>
      <c r="AC10" s="1070"/>
      <c r="AD10" s="12" t="s">
        <v>1096</v>
      </c>
      <c r="AE10" s="1610"/>
      <c r="AF10" s="12" t="s">
        <v>1096</v>
      </c>
      <c r="AG10" s="1610"/>
      <c r="AH10" s="12" t="s">
        <v>1097</v>
      </c>
      <c r="AI10" s="1610"/>
      <c r="AJ10" s="12" t="s">
        <v>1097</v>
      </c>
      <c r="AK10" s="1610"/>
      <c r="AL10" s="12" t="s">
        <v>1098</v>
      </c>
      <c r="AM10" s="1076"/>
      <c r="AN10" s="12" t="s">
        <v>1098</v>
      </c>
      <c r="AO10" s="1076"/>
      <c r="AP10" s="12" t="s">
        <v>1099</v>
      </c>
      <c r="AQ10" s="1076"/>
      <c r="AR10" s="12" t="s">
        <v>1099</v>
      </c>
      <c r="AS10" s="1076"/>
      <c r="AT10" s="1594"/>
      <c r="AU10" s="1594"/>
      <c r="AV10" s="1070"/>
      <c r="AW10" s="1577"/>
      <c r="AX10" s="1070"/>
      <c r="AY10" s="25"/>
      <c r="AZ10" s="25"/>
      <c r="BA10" s="1611" t="s">
        <v>1090</v>
      </c>
      <c r="BB10" s="1612" t="str">
        <f>I9</f>
        <v>地上</v>
      </c>
      <c r="BC10" s="26" t="str">
        <f>K9</f>
        <v>地上</v>
      </c>
      <c r="BD10" s="26" t="str">
        <f>M9</f>
        <v>地上</v>
      </c>
      <c r="BE10" s="26" t="str">
        <f>O9</f>
        <v>地下</v>
      </c>
      <c r="BF10" s="26">
        <f>Q9</f>
        <v>0</v>
      </c>
      <c r="BG10" s="26">
        <f>S9</f>
        <v>0</v>
      </c>
      <c r="BH10" s="26">
        <f>U9</f>
        <v>0</v>
      </c>
      <c r="BI10" s="26">
        <f>W9</f>
        <v>0</v>
      </c>
      <c r="BJ10" s="26">
        <f>Y9</f>
        <v>0</v>
      </c>
      <c r="BK10" s="26">
        <f>AA9</f>
        <v>0</v>
      </c>
      <c r="BL10" s="22" t="s">
        <v>1090</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3396</v>
      </c>
      <c r="J11" s="1615"/>
      <c r="K11" s="1614" t="s">
        <v>3397</v>
      </c>
      <c r="L11" s="1615"/>
      <c r="M11" s="1614" t="s">
        <v>3400</v>
      </c>
      <c r="N11" s="1615"/>
      <c r="O11" s="1614" t="s">
        <v>3336</v>
      </c>
      <c r="P11" s="1615"/>
      <c r="Q11" s="1614"/>
      <c r="R11" s="1615"/>
      <c r="S11" s="1614"/>
      <c r="T11" s="1615"/>
      <c r="U11" s="1614"/>
      <c r="V11" s="1615"/>
      <c r="W11" s="1614"/>
      <c r="X11" s="1615"/>
      <c r="Y11" s="1614"/>
      <c r="Z11" s="1615"/>
      <c r="AA11" s="1614"/>
      <c r="AB11" s="1615"/>
      <c r="AC11" s="1070"/>
      <c r="AD11" s="1616" t="s">
        <v>1100</v>
      </c>
      <c r="AE11" s="1361"/>
      <c r="AF11" s="1616" t="s">
        <v>1100</v>
      </c>
      <c r="AG11" s="1361"/>
      <c r="AH11" s="1616" t="s">
        <v>1101</v>
      </c>
      <c r="AI11" s="1617"/>
      <c r="AJ11" s="1616" t="s">
        <v>1101</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t="str">
        <f>K10</f>
        <v>工业</v>
      </c>
      <c r="BD11" s="1599" t="str">
        <f>M10</f>
        <v>工业</v>
      </c>
      <c r="BE11" s="1599" t="str">
        <f>O10</f>
        <v>车库</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1102</v>
      </c>
      <c r="J12" s="8" t="s">
        <v>1103</v>
      </c>
      <c r="K12" s="8" t="s">
        <v>1102</v>
      </c>
      <c r="L12" s="8" t="s">
        <v>1103</v>
      </c>
      <c r="M12" s="8" t="s">
        <v>1102</v>
      </c>
      <c r="N12" s="8" t="s">
        <v>1103</v>
      </c>
      <c r="O12" s="8" t="s">
        <v>1102</v>
      </c>
      <c r="P12" s="8" t="s">
        <v>1103</v>
      </c>
      <c r="Q12" s="8" t="s">
        <v>1102</v>
      </c>
      <c r="R12" s="8" t="s">
        <v>1103</v>
      </c>
      <c r="S12" s="8" t="s">
        <v>1102</v>
      </c>
      <c r="T12" s="8" t="s">
        <v>1103</v>
      </c>
      <c r="U12" s="8" t="s">
        <v>1102</v>
      </c>
      <c r="V12" s="1346" t="s">
        <v>1103</v>
      </c>
      <c r="W12" s="8" t="s">
        <v>1102</v>
      </c>
      <c r="X12" s="8" t="s">
        <v>1103</v>
      </c>
      <c r="Y12" s="8" t="s">
        <v>1102</v>
      </c>
      <c r="Z12" s="8" t="s">
        <v>1103</v>
      </c>
      <c r="AA12" s="8" t="s">
        <v>1102</v>
      </c>
      <c r="AB12" s="8" t="s">
        <v>1103</v>
      </c>
      <c r="AC12" s="1621"/>
      <c r="AD12" s="1349" t="s">
        <v>1102</v>
      </c>
      <c r="AE12" s="8" t="s">
        <v>1103</v>
      </c>
      <c r="AF12" s="8" t="s">
        <v>1102</v>
      </c>
      <c r="AG12" s="8" t="s">
        <v>1103</v>
      </c>
      <c r="AH12" s="8" t="s">
        <v>1102</v>
      </c>
      <c r="AI12" s="8" t="s">
        <v>1103</v>
      </c>
      <c r="AJ12" s="8" t="s">
        <v>1102</v>
      </c>
      <c r="AK12" s="8" t="s">
        <v>1103</v>
      </c>
      <c r="AL12" s="8" t="s">
        <v>1102</v>
      </c>
      <c r="AM12" s="8" t="s">
        <v>1103</v>
      </c>
      <c r="AN12" s="8" t="s">
        <v>1102</v>
      </c>
      <c r="AO12" s="8" t="s">
        <v>1103</v>
      </c>
      <c r="AP12" s="8" t="s">
        <v>1102</v>
      </c>
      <c r="AQ12" s="8" t="s">
        <v>1103</v>
      </c>
      <c r="AR12" s="27" t="s">
        <v>1102</v>
      </c>
      <c r="AS12" s="1619" t="s">
        <v>1103</v>
      </c>
      <c r="AT12" s="1622"/>
      <c r="AU12" s="1619"/>
      <c r="AV12" s="28"/>
      <c r="AW12" s="1578"/>
      <c r="AX12" s="28"/>
      <c r="AY12" s="1623"/>
      <c r="AZ12" s="25"/>
      <c r="BA12" s="1611"/>
      <c r="BB12" s="21" t="str">
        <f>I11</f>
        <v>标准厂房</v>
      </c>
      <c r="BC12" s="1624" t="str">
        <f>K11</f>
        <v>办公楼</v>
      </c>
      <c r="BD12" s="1624" t="str">
        <f>M11</f>
        <v>戊类库房</v>
      </c>
      <c r="BE12" s="1599" t="str">
        <f>O11</f>
        <v>车库</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t="s">
        <v>3393</v>
      </c>
      <c r="D13" s="1625" t="s">
        <v>3394</v>
      </c>
      <c r="E13" s="13">
        <f>IF($C$3="是",ROUND($A$3*G13/$B$3,2),ROUND($A$3*(G13-AT13)/$B$3,2))</f>
        <v>3487.52</v>
      </c>
      <c r="F13" s="29"/>
      <c r="G13" s="30">
        <f>H13+AC13+AT13</f>
        <v>5202.4000000000005</v>
      </c>
      <c r="H13" s="17">
        <f>SUMIF(I$12:AB$12,"总值",I13:AB13)</f>
        <v>5041.6000000000004</v>
      </c>
      <c r="I13" s="1626">
        <v>3797.8</v>
      </c>
      <c r="J13" s="1626"/>
      <c r="K13" s="1626">
        <v>1243.8</v>
      </c>
      <c r="L13" s="1626"/>
      <c r="M13" s="1626"/>
      <c r="N13" s="1626"/>
      <c r="O13" s="1626"/>
      <c r="P13" s="1626"/>
      <c r="Q13" s="1626"/>
      <c r="R13" s="1626"/>
      <c r="S13" s="1626"/>
      <c r="T13" s="1626"/>
      <c r="U13" s="1626"/>
      <c r="V13" s="1626"/>
      <c r="W13" s="1626"/>
      <c r="X13" s="1626"/>
      <c r="Y13" s="1626"/>
      <c r="Z13" s="1626"/>
      <c r="AA13" s="1626"/>
      <c r="AB13" s="1626"/>
      <c r="AC13" s="13">
        <f>SUMIF(AD$12:AS$12,"总值",AD13:AS13)</f>
        <v>160.80000000000001</v>
      </c>
      <c r="AD13" s="1627"/>
      <c r="AE13" s="1627"/>
      <c r="AF13" s="1627"/>
      <c r="AG13" s="1627"/>
      <c r="AH13" s="1627"/>
      <c r="AI13" s="1627"/>
      <c r="AJ13" s="1627"/>
      <c r="AK13" s="1627"/>
      <c r="AL13" s="1627">
        <v>160.80000000000001</v>
      </c>
      <c r="AM13" s="1627"/>
      <c r="AN13" s="1627"/>
      <c r="AO13" s="1627"/>
      <c r="AP13" s="1627"/>
      <c r="AQ13" s="1627"/>
      <c r="AR13" s="1627"/>
      <c r="AS13" s="1627"/>
      <c r="AT13" s="1628"/>
      <c r="AU13" s="1629"/>
      <c r="AV13" s="8">
        <f t="shared" ref="AV13:AX17" si="6">A13</f>
        <v>0</v>
      </c>
      <c r="AW13" s="8">
        <f t="shared" si="6"/>
        <v>0</v>
      </c>
      <c r="AX13" s="8" t="str">
        <f t="shared" si="6"/>
        <v>1#厂房</v>
      </c>
      <c r="AY13" s="1349">
        <f>ROUND($AY$6*AZ13/$AZ$5,2)</f>
        <v>3487.52</v>
      </c>
      <c r="AZ13" s="13">
        <f>BA13+BL13</f>
        <v>5202.4000000000005</v>
      </c>
      <c r="BA13" s="13">
        <f>SUM(BB13:BK13)</f>
        <v>5041.6000000000004</v>
      </c>
      <c r="BB13" s="13">
        <f>IF($D13="是",I13-J13,0)</f>
        <v>3797.8</v>
      </c>
      <c r="BC13" s="13">
        <f>IF($D13="是",K13-L13,0)</f>
        <v>1243.8</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160.80000000000001</v>
      </c>
      <c r="BM13" s="13">
        <f>IF($D13="是",AD13-AE13,0)</f>
        <v>0</v>
      </c>
      <c r="BN13" s="13">
        <f>IF($D13="是",AF13-AG13,0)</f>
        <v>0</v>
      </c>
      <c r="BO13" s="13">
        <f>IF($D13="是",AH13-AI13,0)</f>
        <v>0</v>
      </c>
      <c r="BP13" s="13">
        <f>IF($D13="是",AJ13-AK13,0)</f>
        <v>0</v>
      </c>
      <c r="BQ13" s="13">
        <f>IF($D13="是",AL13-AM13,0)</f>
        <v>160.80000000000001</v>
      </c>
      <c r="BR13" s="13">
        <f>IF($D13="是",AN13-AO13,0)</f>
        <v>0</v>
      </c>
      <c r="BS13" s="13">
        <f>IF($D13="是",AP13-AQ13,0)</f>
        <v>0</v>
      </c>
      <c r="BT13" s="19">
        <f>IF($D13="是",AR13-AS13,0)</f>
        <v>0</v>
      </c>
    </row>
    <row r="14" spans="1:72" s="1579" customFormat="1" ht="12.75">
      <c r="A14" s="1051"/>
      <c r="B14" s="1051"/>
      <c r="C14" s="1570" t="s">
        <v>3398</v>
      </c>
      <c r="D14" s="1625" t="s">
        <v>3394</v>
      </c>
      <c r="E14" s="13">
        <f>IF($C$3="是",ROUND($A$3*G14/$B$3,2),ROUND($A$3*(G14-AT14)/$B$3,2))</f>
        <v>2900.28</v>
      </c>
      <c r="F14" s="29"/>
      <c r="G14" s="30">
        <f>H14+AC14+AT14</f>
        <v>4326.4000000000005</v>
      </c>
      <c r="H14" s="17">
        <f>SUMIF(I$12:AB$12,"总值",I14:AB14)</f>
        <v>4053.7</v>
      </c>
      <c r="I14" s="1626">
        <v>4053.7</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222.6</v>
      </c>
      <c r="AD14" s="1627"/>
      <c r="AE14" s="1627"/>
      <c r="AF14" s="1627"/>
      <c r="AG14" s="1627"/>
      <c r="AH14" s="1627"/>
      <c r="AI14" s="1627"/>
      <c r="AJ14" s="1627"/>
      <c r="AK14" s="1627"/>
      <c r="AL14" s="1627">
        <v>222.6</v>
      </c>
      <c r="AM14" s="1627"/>
      <c r="AN14" s="1627"/>
      <c r="AO14" s="1627"/>
      <c r="AP14" s="1627"/>
      <c r="AQ14" s="1627"/>
      <c r="AR14" s="1627"/>
      <c r="AS14" s="1627"/>
      <c r="AT14" s="1628">
        <v>50.1</v>
      </c>
      <c r="AU14" s="1629"/>
      <c r="AV14" s="8">
        <f t="shared" si="6"/>
        <v>0</v>
      </c>
      <c r="AW14" s="8">
        <f t="shared" si="6"/>
        <v>0</v>
      </c>
      <c r="AX14" s="8" t="str">
        <f t="shared" si="6"/>
        <v>2#厂房</v>
      </c>
      <c r="AY14" s="1349">
        <f>ROUND($AY$6*AZ14/$AZ$5,2)</f>
        <v>2866.69</v>
      </c>
      <c r="AZ14" s="13">
        <f>BA14+BL14</f>
        <v>4276.3</v>
      </c>
      <c r="BA14" s="13">
        <f>SUM(BB14:BK14)</f>
        <v>4053.7</v>
      </c>
      <c r="BB14" s="13">
        <f>IF($D14="是",I14-J14,0)</f>
        <v>4053.7</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222.6</v>
      </c>
      <c r="BM14" s="13">
        <f>IF($D14="是",AD14-AE14,0)</f>
        <v>0</v>
      </c>
      <c r="BN14" s="13">
        <f>IF($D14="是",AF14-AG14,0)</f>
        <v>0</v>
      </c>
      <c r="BO14" s="13">
        <f>IF($D14="是",AH14-AI14,0)</f>
        <v>0</v>
      </c>
      <c r="BP14" s="13">
        <f>IF($D14="是",AJ14-AK14,0)</f>
        <v>0</v>
      </c>
      <c r="BQ14" s="13">
        <f>IF($D14="是",AL14-AM14,0)</f>
        <v>222.6</v>
      </c>
      <c r="BR14" s="13">
        <f>IF($D14="是",AN14-AO14,0)</f>
        <v>0</v>
      </c>
      <c r="BS14" s="13">
        <f>IF($D14="是",AP14-AQ14,0)</f>
        <v>0</v>
      </c>
      <c r="BT14" s="19">
        <f>IF($D14="是",AR14-AS14,0)</f>
        <v>0</v>
      </c>
    </row>
    <row r="15" spans="1:72" s="1579" customFormat="1" ht="12.75">
      <c r="A15" s="1051"/>
      <c r="B15" s="1051"/>
      <c r="C15" s="1570" t="s">
        <v>3399</v>
      </c>
      <c r="D15" s="1625" t="s">
        <v>3394</v>
      </c>
      <c r="E15" s="13">
        <f>IF($C$3="是",ROUND($A$3*G15/$B$3,2),ROUND($A$3*(G15-AT15)/$B$3,2))</f>
        <v>9447.49</v>
      </c>
      <c r="F15" s="29"/>
      <c r="G15" s="30">
        <f>H15+AC15+AT15</f>
        <v>14093</v>
      </c>
      <c r="H15" s="17">
        <f>SUMIF(I$12:AB$12,"总值",I15:AB15)</f>
        <v>13568</v>
      </c>
      <c r="I15" s="1626">
        <v>6084</v>
      </c>
      <c r="J15" s="1626"/>
      <c r="K15" s="1626">
        <v>700</v>
      </c>
      <c r="L15" s="1626"/>
      <c r="M15" s="1626">
        <v>6784</v>
      </c>
      <c r="N15" s="1626"/>
      <c r="O15" s="1626"/>
      <c r="P15" s="1626"/>
      <c r="Q15" s="1626"/>
      <c r="R15" s="1626"/>
      <c r="S15" s="1626"/>
      <c r="T15" s="1626"/>
      <c r="U15" s="1626"/>
      <c r="V15" s="1626"/>
      <c r="W15" s="1626"/>
      <c r="X15" s="1626"/>
      <c r="Y15" s="1626"/>
      <c r="Z15" s="1626"/>
      <c r="AA15" s="1626"/>
      <c r="AB15" s="1626"/>
      <c r="AC15" s="13">
        <f>SUMIF(AD$12:AS$12,"总值",AD15:AS15)</f>
        <v>525</v>
      </c>
      <c r="AD15" s="1627"/>
      <c r="AE15" s="1627"/>
      <c r="AF15" s="1627"/>
      <c r="AG15" s="1627"/>
      <c r="AH15" s="1627"/>
      <c r="AI15" s="1627"/>
      <c r="AJ15" s="1627"/>
      <c r="AK15" s="1627"/>
      <c r="AL15" s="1627">
        <f>30+265+230</f>
        <v>525</v>
      </c>
      <c r="AM15" s="1627"/>
      <c r="AN15" s="1627"/>
      <c r="AO15" s="1627"/>
      <c r="AP15" s="1627"/>
      <c r="AQ15" s="1627"/>
      <c r="AR15" s="1627"/>
      <c r="AS15" s="1627"/>
      <c r="AT15" s="1628"/>
      <c r="AU15" s="1629"/>
      <c r="AV15" s="8">
        <f t="shared" si="6"/>
        <v>0</v>
      </c>
      <c r="AW15" s="8">
        <f t="shared" si="6"/>
        <v>0</v>
      </c>
      <c r="AX15" s="8" t="str">
        <f t="shared" si="6"/>
        <v>3#厂房</v>
      </c>
      <c r="AY15" s="1349">
        <f>ROUND($AY$6*AZ15/$AZ$5,2)</f>
        <v>9447.49</v>
      </c>
      <c r="AZ15" s="13">
        <f>BA15+BL15</f>
        <v>14093</v>
      </c>
      <c r="BA15" s="13">
        <f>SUM(BB15:BK15)</f>
        <v>13568</v>
      </c>
      <c r="BB15" s="13">
        <f>IF($D15="是",I15-J15,0)</f>
        <v>6084</v>
      </c>
      <c r="BC15" s="13">
        <f>IF($D15="是",K15-L15,0)</f>
        <v>700</v>
      </c>
      <c r="BD15" s="13">
        <f>IF($D15="是",M15-N15,0)</f>
        <v>6784</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525</v>
      </c>
      <c r="BM15" s="13">
        <f>IF($D15="是",AD15-AE15,0)</f>
        <v>0</v>
      </c>
      <c r="BN15" s="13">
        <f>IF($D15="是",AF15-AG15,0)</f>
        <v>0</v>
      </c>
      <c r="BO15" s="13">
        <f>IF($D15="是",AH15-AI15,0)</f>
        <v>0</v>
      </c>
      <c r="BP15" s="13">
        <f>IF($D15="是",AJ15-AK15,0)</f>
        <v>0</v>
      </c>
      <c r="BQ15" s="13">
        <f>IF($D15="是",AL15-AM15,0)</f>
        <v>525</v>
      </c>
      <c r="BR15" s="13">
        <f>IF($D15="是",AN15-AO15,0)</f>
        <v>0</v>
      </c>
      <c r="BS15" s="13">
        <f>IF($D15="是",AP15-AQ15,0)</f>
        <v>0</v>
      </c>
      <c r="BT15" s="19">
        <f>IF($D15="是",AR15-AS15,0)</f>
        <v>0</v>
      </c>
    </row>
    <row r="16" spans="1:72" s="1579" customFormat="1" ht="12.75">
      <c r="A16" s="1051"/>
      <c r="B16" s="1051"/>
      <c r="C16" s="3450" t="s">
        <v>3401</v>
      </c>
      <c r="D16" s="1625" t="s">
        <v>3394</v>
      </c>
      <c r="E16" s="13">
        <f>IF($C$3="是",ROUND($A$3*G16/$B$3,2),ROUND($A$3*(G16-AT16)/$B$3,2))</f>
        <v>20.11</v>
      </c>
      <c r="F16" s="29"/>
      <c r="G16" s="30">
        <f>H16+AC16+AT16</f>
        <v>30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30</v>
      </c>
      <c r="AD16" s="1627"/>
      <c r="AE16" s="1627"/>
      <c r="AF16" s="1627"/>
      <c r="AG16" s="1627"/>
      <c r="AH16" s="1627"/>
      <c r="AI16" s="1627"/>
      <c r="AJ16" s="1627"/>
      <c r="AK16" s="1627"/>
      <c r="AL16" s="1627">
        <v>30</v>
      </c>
      <c r="AM16" s="1627"/>
      <c r="AN16" s="1627"/>
      <c r="AO16" s="1627"/>
      <c r="AP16" s="1627"/>
      <c r="AQ16" s="1627"/>
      <c r="AR16" s="1627"/>
      <c r="AS16" s="1627"/>
      <c r="AT16" s="1628"/>
      <c r="AU16" s="1629"/>
      <c r="AV16" s="8">
        <f t="shared" si="6"/>
        <v>0</v>
      </c>
      <c r="AW16" s="8">
        <f t="shared" si="6"/>
        <v>0</v>
      </c>
      <c r="AX16" s="8" t="str">
        <f t="shared" si="6"/>
        <v>门卫</v>
      </c>
      <c r="AY16" s="1349">
        <f>ROUND($AY$6*AZ16/$AZ$5,2)</f>
        <v>20.11</v>
      </c>
      <c r="AZ16" s="13">
        <f>BA16+BL16</f>
        <v>30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30</v>
      </c>
      <c r="BM16" s="13">
        <f>IF($D16="是",AD16-AE16,0)</f>
        <v>0</v>
      </c>
      <c r="BN16" s="13">
        <f>IF($D16="是",AF16-AG16,0)</f>
        <v>0</v>
      </c>
      <c r="BO16" s="13">
        <f>IF($D16="是",AH16-AI16,0)</f>
        <v>0</v>
      </c>
      <c r="BP16" s="13">
        <f>IF($D16="是",AJ16-AK16,0)</f>
        <v>0</v>
      </c>
      <c r="BQ16" s="13">
        <f>IF($D16="是",AL16-AM16,0)</f>
        <v>30</v>
      </c>
      <c r="BR16" s="13">
        <f>IF($D16="是",AN16-AO16,0)</f>
        <v>0</v>
      </c>
      <c r="BS16" s="13">
        <f>IF($D16="是",AP16-AQ16,0)</f>
        <v>0</v>
      </c>
      <c r="BT16" s="19">
        <f>IF($D16="是",AR16-AS16,0)</f>
        <v>0</v>
      </c>
    </row>
    <row r="17" spans="1:72" s="1579" customFormat="1" ht="12.75">
      <c r="A17" s="1051"/>
      <c r="B17" s="1051"/>
      <c r="C17" s="3450" t="s">
        <v>3403</v>
      </c>
      <c r="D17" s="1625" t="s">
        <v>3394</v>
      </c>
      <c r="E17" s="13">
        <f>IF($C$3="是",ROUND($A$3*G17/$B$3,2),ROUND($A$3*(G17-AT17)/$B$3,2))</f>
        <v>7796.91</v>
      </c>
      <c r="F17" s="29"/>
      <c r="G17" s="30">
        <f>H17+AC17+AT17</f>
        <v>11630.800000000001</v>
      </c>
      <c r="H17" s="17">
        <f>SUMIF(I$12:AB$12,"总值",I17:AB17)</f>
        <v>7113.3</v>
      </c>
      <c r="I17" s="1626"/>
      <c r="J17" s="1626"/>
      <c r="K17" s="1626"/>
      <c r="L17" s="1626"/>
      <c r="M17" s="1626"/>
      <c r="N17" s="1626"/>
      <c r="O17" s="1626">
        <v>7113.3</v>
      </c>
      <c r="P17" s="1626"/>
      <c r="Q17" s="1626"/>
      <c r="R17" s="1626"/>
      <c r="S17" s="1626"/>
      <c r="T17" s="1626"/>
      <c r="U17" s="1626"/>
      <c r="V17" s="1626"/>
      <c r="W17" s="1626"/>
      <c r="X17" s="1626"/>
      <c r="Y17" s="1626"/>
      <c r="Z17" s="1626"/>
      <c r="AA17" s="1626"/>
      <c r="AB17" s="1626"/>
      <c r="AC17" s="13">
        <f>SUMIF(AD$12:AS$12,"总值",AD17:AS17)</f>
        <v>3974.1000000000004</v>
      </c>
      <c r="AD17" s="1627"/>
      <c r="AE17" s="1627"/>
      <c r="AF17" s="1627"/>
      <c r="AG17" s="1627"/>
      <c r="AH17" s="1627"/>
      <c r="AI17" s="1627"/>
      <c r="AJ17" s="1627"/>
      <c r="AK17" s="1627"/>
      <c r="AL17" s="1627"/>
      <c r="AM17" s="1627"/>
      <c r="AN17" s="1627">
        <f>410.3+3563.8</f>
        <v>3974.1000000000004</v>
      </c>
      <c r="AO17" s="1627"/>
      <c r="AP17" s="1627"/>
      <c r="AQ17" s="1627"/>
      <c r="AR17" s="1627"/>
      <c r="AS17" s="1627"/>
      <c r="AT17" s="1628">
        <v>543.4</v>
      </c>
      <c r="AU17" s="1629"/>
      <c r="AV17" s="8">
        <f t="shared" si="6"/>
        <v>0</v>
      </c>
      <c r="AW17" s="8">
        <f t="shared" si="6"/>
        <v>0</v>
      </c>
      <c r="AX17" s="8" t="str">
        <f t="shared" si="6"/>
        <v>地下车库</v>
      </c>
      <c r="AY17" s="1349">
        <f>ROUND($AY$6*AZ17/$AZ$5,2)</f>
        <v>7432.63</v>
      </c>
      <c r="AZ17" s="13">
        <f>BA17+BL17</f>
        <v>11087.400000000001</v>
      </c>
      <c r="BA17" s="13">
        <f>SUM(BB17:BK17)</f>
        <v>7113.3</v>
      </c>
      <c r="BB17" s="13">
        <f>IF($D17="是",I17-J17,0)</f>
        <v>0</v>
      </c>
      <c r="BC17" s="13">
        <f>IF($D17="是",K17-L17,0)</f>
        <v>0</v>
      </c>
      <c r="BD17" s="13">
        <f>IF($D17="是",M17-N17,0)</f>
        <v>0</v>
      </c>
      <c r="BE17" s="13">
        <f>IF($D17="是",O17-P17,0)</f>
        <v>7113.3</v>
      </c>
      <c r="BF17" s="13">
        <f>IF($D17="是",Q17-R17,0)</f>
        <v>0</v>
      </c>
      <c r="BG17" s="13">
        <f>IF($D17="是",S17-T17,0)</f>
        <v>0</v>
      </c>
      <c r="BH17" s="13">
        <f>IF($D17="是",U17-V17,0)</f>
        <v>0</v>
      </c>
      <c r="BI17" s="13">
        <f>IF($D17="是",W17-X17,0)</f>
        <v>0</v>
      </c>
      <c r="BJ17" s="13">
        <f>IF($D17="是",Y17-Z17,0)</f>
        <v>0</v>
      </c>
      <c r="BK17" s="13">
        <f>IF($D17="是",AA17-AB17,0)</f>
        <v>0</v>
      </c>
      <c r="BL17" s="13">
        <f>SUM(BM17:BT17)</f>
        <v>3974.1000000000004</v>
      </c>
      <c r="BM17" s="13">
        <f>IF($D17="是",AD17-AE17,0)</f>
        <v>0</v>
      </c>
      <c r="BN17" s="13">
        <f>IF($D17="是",AF17-AG17,0)</f>
        <v>0</v>
      </c>
      <c r="BO17" s="13">
        <f>IF($D17="是",AH17-AI17,0)</f>
        <v>0</v>
      </c>
      <c r="BP17" s="13">
        <f>IF($D17="是",AJ17-AK17,0)</f>
        <v>0</v>
      </c>
      <c r="BQ17" s="13">
        <f>IF($D17="是",AL17-AM17,0)</f>
        <v>0</v>
      </c>
      <c r="BR17" s="13">
        <f>IF($D17="是",AN17-AO17,0)</f>
        <v>3974.1000000000004</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6"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E30" sqref="E30"/>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7"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1129</v>
      </c>
      <c r="B1" s="1139"/>
      <c r="C1" s="1139"/>
      <c r="D1" s="1139"/>
      <c r="E1" s="1139"/>
      <c r="F1" s="1139"/>
      <c r="G1" s="1139"/>
      <c r="H1" s="1139"/>
      <c r="I1" s="1139"/>
      <c r="J1" s="1139"/>
      <c r="K1" s="1139"/>
      <c r="L1" s="1139"/>
      <c r="M1" s="1139"/>
      <c r="N1" s="1139"/>
      <c r="O1" s="1139"/>
      <c r="P1" s="1139"/>
    </row>
    <row r="2" spans="1:16" ht="15">
      <c r="A2" s="3542" t="s">
        <v>1130</v>
      </c>
      <c r="B2" s="3542"/>
      <c r="C2" s="3542"/>
      <c r="D2" s="796" t="s">
        <v>1106</v>
      </c>
      <c r="E2" s="1639" t="s">
        <v>1107</v>
      </c>
      <c r="F2" s="2657"/>
      <c r="G2" s="2648"/>
      <c r="H2" s="2649"/>
      <c r="I2" s="2325" t="s">
        <v>1131</v>
      </c>
      <c r="J2" s="2657"/>
      <c r="K2" s="2657"/>
      <c r="L2" s="2657"/>
      <c r="M2" s="2657"/>
      <c r="N2" s="2659"/>
      <c r="O2" s="2657"/>
      <c r="P2" s="2657"/>
    </row>
    <row r="3" spans="1:16" ht="15.75" thickBot="1">
      <c r="A3" s="3543" t="s">
        <v>1104</v>
      </c>
      <c r="B3" s="3543"/>
      <c r="C3" s="3543"/>
      <c r="D3" s="43">
        <f>'数据-基础表'!AY6</f>
        <v>23254.45</v>
      </c>
      <c r="E3" s="43">
        <f>'数据-基础表'!AZ5</f>
        <v>34689.100000000006</v>
      </c>
      <c r="F3" s="2657"/>
      <c r="G3" s="1145"/>
      <c r="H3" s="1026" t="s">
        <v>1105</v>
      </c>
      <c r="I3" s="855">
        <f>ROUND('数据-基础表'!B3/'数据-基础表'!A3,2)</f>
        <v>1.49</v>
      </c>
      <c r="J3" s="2657"/>
      <c r="K3" s="2657"/>
      <c r="L3" s="2657"/>
      <c r="M3" s="2657"/>
      <c r="N3" s="2659"/>
      <c r="O3" s="2657"/>
      <c r="P3" s="2657"/>
    </row>
    <row r="4" spans="1:16" ht="15">
      <c r="A4" s="3544"/>
      <c r="B4" s="3545"/>
      <c r="C4" s="3546"/>
      <c r="D4" s="1641" t="s">
        <v>1106</v>
      </c>
      <c r="E4" s="1642" t="s">
        <v>1107</v>
      </c>
      <c r="F4" s="2657"/>
      <c r="G4" s="2650" t="s">
        <v>1132</v>
      </c>
      <c r="H4" s="1026" t="s">
        <v>1112</v>
      </c>
      <c r="I4" s="855">
        <f>ROUND(SUMIF('数据-基础表'!I9:AS9,"地上",'数据-基础表'!I5:AS5)/'数据-基础表'!A3,2)</f>
        <v>1</v>
      </c>
      <c r="J4" s="2657"/>
      <c r="K4" s="2657"/>
      <c r="L4" s="2657"/>
      <c r="M4" s="2657"/>
      <c r="N4" s="2659"/>
      <c r="O4" s="2657"/>
      <c r="P4" s="2657"/>
    </row>
    <row r="5" spans="1:16">
      <c r="A5" s="44" t="s">
        <v>1108</v>
      </c>
      <c r="B5" s="3547" t="s">
        <v>1109</v>
      </c>
      <c r="C5" s="3547"/>
      <c r="D5" s="45">
        <f>ROUND($D$3*E5/$E$3,2)</f>
        <v>0</v>
      </c>
      <c r="E5" s="46">
        <f>SUMIF('数据-基础表'!$11:$11,"住宅",'数据-基础表'!$5:$5)</f>
        <v>0</v>
      </c>
      <c r="F5" s="2657"/>
      <c r="G5" s="1145"/>
      <c r="H5" s="1026" t="s">
        <v>1105</v>
      </c>
      <c r="I5" s="855">
        <f>ROUND(E31/D31,2)</f>
        <v>1.49</v>
      </c>
      <c r="J5" s="2657"/>
      <c r="K5" s="2657"/>
      <c r="L5" s="2657"/>
      <c r="M5" s="2657"/>
      <c r="N5" s="2657"/>
      <c r="O5" s="2657"/>
      <c r="P5" s="2657"/>
    </row>
    <row r="6" spans="1:16" ht="15" thickBot="1">
      <c r="A6" s="1644"/>
      <c r="B6" s="3547" t="s">
        <v>1110</v>
      </c>
      <c r="C6" s="3547"/>
      <c r="D6" s="45">
        <f>ROUND($D$3*E6/$E$3,2)</f>
        <v>23254.45</v>
      </c>
      <c r="E6" s="46">
        <f>E3-E5</f>
        <v>34689.100000000006</v>
      </c>
      <c r="F6" s="2657"/>
      <c r="G6" s="2651" t="s">
        <v>1111</v>
      </c>
      <c r="H6" s="1146" t="s">
        <v>1112</v>
      </c>
      <c r="I6" s="2652">
        <f>ROUND(F31/D31,2)</f>
        <v>1.01</v>
      </c>
      <c r="J6" s="2657"/>
      <c r="K6" s="2657"/>
      <c r="L6" s="2657"/>
      <c r="M6" s="2657"/>
      <c r="N6" s="2657"/>
      <c r="O6" s="2657"/>
      <c r="P6" s="2657"/>
    </row>
    <row r="7" spans="1:16" ht="15.75" thickBot="1">
      <c r="A7" s="3539"/>
      <c r="B7" s="3540"/>
      <c r="C7" s="3541"/>
      <c r="D7" s="1641" t="s">
        <v>1106</v>
      </c>
      <c r="E7" s="1645" t="s">
        <v>1113</v>
      </c>
      <c r="F7" s="2657"/>
      <c r="G7" s="2653" t="s">
        <v>1114</v>
      </c>
      <c r="H7" s="2654"/>
      <c r="I7" s="2655"/>
      <c r="J7" s="2657"/>
      <c r="K7" s="2657"/>
      <c r="L7" s="2657"/>
      <c r="M7" s="2657"/>
      <c r="N7" s="2657"/>
      <c r="O7" s="2657"/>
      <c r="P7" s="2657"/>
    </row>
    <row r="8" spans="1:16">
      <c r="A8" s="44" t="s">
        <v>1115</v>
      </c>
      <c r="B8" s="47" t="s">
        <v>1116</v>
      </c>
      <c r="C8" s="45" t="s">
        <v>1117</v>
      </c>
      <c r="D8" s="45">
        <f t="shared" ref="D8:D15" si="0">ROUND($D$3*E8/$E$3,2)</f>
        <v>15192.74</v>
      </c>
      <c r="E8" s="48">
        <f>SUMIF('数据-基础表'!BB10:BK10,"地上",'数据-基础表'!BB5:BK5)</f>
        <v>22663.3</v>
      </c>
      <c r="F8" s="2657"/>
      <c r="G8" s="2658"/>
      <c r="H8" s="2658"/>
      <c r="I8" s="2657"/>
      <c r="J8" s="2657"/>
      <c r="K8" s="2657"/>
      <c r="L8" s="2657"/>
      <c r="M8" s="2657"/>
      <c r="N8" s="2657"/>
      <c r="O8" s="2657"/>
      <c r="P8" s="2657"/>
    </row>
    <row r="9" spans="1:16">
      <c r="A9" s="1646"/>
      <c r="B9" s="1647"/>
      <c r="C9" s="45" t="s">
        <v>1118</v>
      </c>
      <c r="D9" s="45">
        <f t="shared" si="0"/>
        <v>0</v>
      </c>
      <c r="E9" s="49">
        <v>0</v>
      </c>
      <c r="F9" s="2657"/>
      <c r="G9" s="2658"/>
      <c r="H9" s="2658"/>
      <c r="I9" s="2657"/>
      <c r="J9" s="2657"/>
      <c r="K9" s="2657"/>
      <c r="L9" s="2657"/>
      <c r="M9" s="2657"/>
      <c r="N9" s="2657"/>
      <c r="O9" s="2657"/>
      <c r="P9" s="2657"/>
    </row>
    <row r="10" spans="1:16">
      <c r="A10" s="1646"/>
      <c r="B10" s="1647"/>
      <c r="C10" s="45" t="s">
        <v>1127</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6"/>
      <c r="B11" s="1647"/>
      <c r="C11" s="45" t="s">
        <v>1119</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6"/>
      <c r="B12" s="1647"/>
      <c r="C12" s="45" t="s">
        <v>1120</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6"/>
      <c r="B13" s="1647"/>
      <c r="C13" s="45" t="s">
        <v>1121</v>
      </c>
      <c r="D13" s="45">
        <f t="shared" si="0"/>
        <v>4768.53</v>
      </c>
      <c r="E13" s="48">
        <f>SUMPRODUCT(('数据-基础表'!BB10:BK10="地下")*('数据-基础表'!BB11:BK11="车库")*('数据-基础表'!BB5:BK5))</f>
        <v>7113.3</v>
      </c>
      <c r="F13" s="2657"/>
      <c r="G13" s="2658"/>
      <c r="H13" s="2658"/>
      <c r="I13" s="2657"/>
      <c r="J13" s="2657"/>
      <c r="K13" s="2657"/>
      <c r="L13" s="2657"/>
      <c r="M13" s="2657"/>
      <c r="N13" s="2657"/>
      <c r="O13" s="2657"/>
      <c r="P13" s="2657"/>
    </row>
    <row r="14" spans="1:16">
      <c r="A14" s="1646"/>
      <c r="B14" s="1647"/>
      <c r="C14" s="45" t="s">
        <v>1133</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6"/>
      <c r="B15" s="1647"/>
      <c r="C15" s="45" t="s">
        <v>1128</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4"/>
      <c r="B16" s="1647"/>
      <c r="C16" s="47" t="s">
        <v>1122</v>
      </c>
      <c r="D16" s="47">
        <f>SUM(D8:D15)</f>
        <v>19961.27</v>
      </c>
      <c r="E16" s="50">
        <f>SUM(E8:E15)</f>
        <v>29776.6</v>
      </c>
      <c r="F16" s="2657"/>
      <c r="G16" s="2658"/>
      <c r="H16" s="1648" t="s">
        <v>1134</v>
      </c>
      <c r="I16" s="1649"/>
      <c r="J16" s="1139"/>
      <c r="K16" s="3536" t="s">
        <v>1134</v>
      </c>
      <c r="L16" s="3537"/>
      <c r="M16" s="3537"/>
      <c r="N16" s="3537"/>
      <c r="O16" s="3537"/>
      <c r="P16" s="3538"/>
    </row>
    <row r="17" spans="1:19" ht="15">
      <c r="A17" s="1650" t="s">
        <v>1135</v>
      </c>
      <c r="B17" s="1651" t="s">
        <v>1136</v>
      </c>
      <c r="C17" s="1652" t="s">
        <v>1137</v>
      </c>
      <c r="D17" s="1653" t="s">
        <v>1125</v>
      </c>
      <c r="E17" s="1654" t="s">
        <v>1126</v>
      </c>
      <c r="F17" s="1655"/>
      <c r="G17" s="1656"/>
      <c r="H17" s="1657" t="s">
        <v>1138</v>
      </c>
      <c r="I17" s="1658" t="s">
        <v>1123</v>
      </c>
      <c r="J17" s="1139"/>
      <c r="K17" s="3533" t="s">
        <v>1139</v>
      </c>
      <c r="L17" s="3534"/>
      <c r="M17" s="3535"/>
      <c r="N17" s="3533" t="s">
        <v>1140</v>
      </c>
      <c r="O17" s="3534"/>
      <c r="P17" s="3535"/>
      <c r="R17" s="1640" t="s">
        <v>1141</v>
      </c>
      <c r="S17" s="56"/>
    </row>
    <row r="18" spans="1:19" ht="15">
      <c r="A18" s="1646"/>
      <c r="B18" s="1659"/>
      <c r="C18" s="1660"/>
      <c r="D18" s="1661"/>
      <c r="E18" s="1662" t="s">
        <v>1142</v>
      </c>
      <c r="F18" s="1663" t="s">
        <v>1143</v>
      </c>
      <c r="G18" s="1664" t="s">
        <v>1144</v>
      </c>
      <c r="H18" s="1041" t="s">
        <v>1145</v>
      </c>
      <c r="I18" s="1665" t="s">
        <v>1146</v>
      </c>
      <c r="J18" s="1139"/>
      <c r="K18" s="1041" t="s">
        <v>1147</v>
      </c>
      <c r="L18" s="1666" t="s">
        <v>1148</v>
      </c>
      <c r="M18" s="855" t="s">
        <v>1149</v>
      </c>
      <c r="N18" s="1041" t="s">
        <v>1147</v>
      </c>
      <c r="O18" s="1666" t="s">
        <v>1148</v>
      </c>
      <c r="P18" s="855" t="s">
        <v>1149</v>
      </c>
      <c r="R18" s="1026" t="s">
        <v>1150</v>
      </c>
      <c r="S18" s="1026" t="s">
        <v>1151</v>
      </c>
    </row>
    <row r="19" spans="1:19">
      <c r="A19" s="1667"/>
      <c r="B19" s="47" t="s">
        <v>1124</v>
      </c>
      <c r="C19" s="3415" t="s">
        <v>3405</v>
      </c>
      <c r="D19" s="45">
        <f>ROUND($D$3*E19/$E$3,2)</f>
        <v>15192.74</v>
      </c>
      <c r="E19" s="53">
        <f t="shared" ref="E19:E26" si="1">SUM(F19:G19)</f>
        <v>22663.3</v>
      </c>
      <c r="F19" s="2793">
        <f>'数据-基础表'!I5+'数据-基础表'!K5+'数据-基础表'!M5</f>
        <v>22663.3</v>
      </c>
      <c r="G19" s="2794"/>
      <c r="H19" s="670">
        <f>ROUND($D$3*I19/$E$3,2)</f>
        <v>2506.48</v>
      </c>
      <c r="I19" s="48">
        <f t="shared" ref="I19:I26" si="2">IF($I$17="自定义",P19,M19)</f>
        <v>3738.96</v>
      </c>
      <c r="J19" s="1139"/>
      <c r="K19" s="1138">
        <f t="shared" ref="K19:K26" si="3">ROUND(E$28*E19/E$27,2)</f>
        <v>3738.96</v>
      </c>
      <c r="L19" s="1026">
        <f t="shared" ref="L19:L26" si="4">ROUND(IF(COUNTIF(C19,"*住宅*")&gt;0,E$29*E19/E$32,0),2)</f>
        <v>0</v>
      </c>
      <c r="M19" s="1150">
        <f>K19+L19</f>
        <v>3738.96</v>
      </c>
      <c r="N19" s="1668"/>
      <c r="O19" s="1669"/>
      <c r="P19" s="1150">
        <f>N19+O19</f>
        <v>0</v>
      </c>
      <c r="R19" s="1026">
        <f t="shared" ref="R19:S26" si="5">D19+H19</f>
        <v>17699.22</v>
      </c>
      <c r="S19" s="1027">
        <f t="shared" si="5"/>
        <v>26402.26</v>
      </c>
    </row>
    <row r="20" spans="1:19">
      <c r="A20" s="1670"/>
      <c r="B20" s="47" t="s">
        <v>1152</v>
      </c>
      <c r="C20" s="3415" t="s">
        <v>3406</v>
      </c>
      <c r="D20" s="45">
        <f t="shared" ref="D20:D26" si="6">ROUND($D$3*E20/$E$3,2)</f>
        <v>4768.53</v>
      </c>
      <c r="E20" s="53">
        <f t="shared" si="1"/>
        <v>7113.3</v>
      </c>
      <c r="F20" s="2793"/>
      <c r="G20" s="2794">
        <f>'数据-基础表'!O5</f>
        <v>7113.3</v>
      </c>
      <c r="H20" s="670">
        <f t="shared" ref="H20:H26" si="7">ROUND($D$3*I20/$E$3,2)</f>
        <v>786.7</v>
      </c>
      <c r="I20" s="48">
        <f t="shared" si="2"/>
        <v>1173.54</v>
      </c>
      <c r="J20" s="1139"/>
      <c r="K20" s="1138">
        <f t="shared" si="3"/>
        <v>1173.54</v>
      </c>
      <c r="L20" s="1026">
        <f t="shared" si="4"/>
        <v>0</v>
      </c>
      <c r="M20" s="1150">
        <f t="shared" ref="M20:M26" si="8">K20+L20</f>
        <v>1173.54</v>
      </c>
      <c r="N20" s="1668"/>
      <c r="O20" s="1669"/>
      <c r="P20" s="1150">
        <f t="shared" ref="P20:P26" si="9">N20+O20</f>
        <v>0</v>
      </c>
      <c r="R20" s="1026">
        <f t="shared" si="5"/>
        <v>5555.23</v>
      </c>
      <c r="S20" s="1027">
        <f t="shared" si="5"/>
        <v>8286.84</v>
      </c>
    </row>
    <row r="21" spans="1:19">
      <c r="A21" s="1670"/>
      <c r="B21" s="47" t="s">
        <v>1152</v>
      </c>
      <c r="C21" s="3415"/>
      <c r="D21" s="45">
        <f t="shared" si="6"/>
        <v>0</v>
      </c>
      <c r="E21" s="53">
        <f t="shared" si="1"/>
        <v>0</v>
      </c>
      <c r="F21" s="2793"/>
      <c r="G21" s="2794"/>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1152</v>
      </c>
      <c r="C22" s="3416"/>
      <c r="D22" s="45">
        <f t="shared" si="6"/>
        <v>0</v>
      </c>
      <c r="E22" s="53">
        <f t="shared" si="1"/>
        <v>0</v>
      </c>
      <c r="F22" s="2795"/>
      <c r="G22" s="2796"/>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1152</v>
      </c>
      <c r="C23" s="3416"/>
      <c r="D23" s="45">
        <f>ROUND($D$3*E23/$E$3,2)</f>
        <v>0</v>
      </c>
      <c r="E23" s="53">
        <f>SUM(F23:G23)</f>
        <v>0</v>
      </c>
      <c r="F23" s="2795"/>
      <c r="G23" s="2796"/>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1152</v>
      </c>
      <c r="C24" s="3416"/>
      <c r="D24" s="45">
        <f>ROUND($D$3*E24/$E$3,2)</f>
        <v>0</v>
      </c>
      <c r="E24" s="53">
        <f>SUM(F24:G24)</f>
        <v>0</v>
      </c>
      <c r="F24" s="2795"/>
      <c r="G24" s="2796"/>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1152</v>
      </c>
      <c r="C25" s="3416"/>
      <c r="D25" s="45">
        <f t="shared" si="6"/>
        <v>0</v>
      </c>
      <c r="E25" s="53">
        <f t="shared" si="1"/>
        <v>0</v>
      </c>
      <c r="F25" s="2795"/>
      <c r="G25" s="2796"/>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1152</v>
      </c>
      <c r="C26" s="55"/>
      <c r="D26" s="45">
        <f t="shared" si="6"/>
        <v>0</v>
      </c>
      <c r="E26" s="53">
        <f t="shared" si="1"/>
        <v>0</v>
      </c>
      <c r="F26" s="2795"/>
      <c r="G26" s="2796"/>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1153</v>
      </c>
      <c r="D27" s="1140">
        <f>SUM(D19:D26)</f>
        <v>19961.27</v>
      </c>
      <c r="E27" s="1141">
        <f>IF(SUM(E19:E26)='数据-基础表'!BA5,SUM(E19:E26),IF(F27="地上面积有误","面积有误","地下面积有误"))</f>
        <v>29776.6</v>
      </c>
      <c r="F27" s="1140">
        <f>IF(SUM(F19:F26)=E8,SUM(F19:F26),"地上面积有误")</f>
        <v>22663.3</v>
      </c>
      <c r="G27" s="1142">
        <f>SUM(G19:G26)</f>
        <v>7113.3</v>
      </c>
      <c r="H27" s="1143">
        <f>SUM(H19:H26)</f>
        <v>3293.1800000000003</v>
      </c>
      <c r="I27" s="1144">
        <f>SUM(I19:I26)</f>
        <v>4912.5</v>
      </c>
      <c r="J27" s="1139"/>
      <c r="K27" s="1147">
        <f>SUM(K19:K26)</f>
        <v>4912.5</v>
      </c>
      <c r="L27" s="1148">
        <f>SUM(L19:L26)</f>
        <v>0</v>
      </c>
      <c r="M27" s="1151">
        <f>SUM(M19:M26)</f>
        <v>4912.5</v>
      </c>
      <c r="N27" s="1147">
        <f t="shared" ref="N27:O27" si="10">SUM(N19:N26)</f>
        <v>0</v>
      </c>
      <c r="O27" s="1148">
        <f t="shared" si="10"/>
        <v>0</v>
      </c>
      <c r="P27" s="1149">
        <f>SUM(P19:P26)</f>
        <v>0</v>
      </c>
      <c r="R27" s="1028">
        <f>IF(SUM(R19:R26)=$D$3,SUM(R19:R26),SUM(R19:R26)&amp;"误差"&amp;ROUND(SUM(R19:R26)-$D$3,2))</f>
        <v>23254.45</v>
      </c>
      <c r="S27" s="1026">
        <f>IF(SUM(S19:S26)=$E$3,SUM(S19:S26),SUM(S19:S26)&amp;"误差"&amp;ROUND(SUM(S19:S26)-E3,2))</f>
        <v>34689.1</v>
      </c>
    </row>
    <row r="28" spans="1:19">
      <c r="A28" s="1670"/>
      <c r="B28" s="47" t="s">
        <v>1154</v>
      </c>
      <c r="C28" s="1038" t="s">
        <v>1155</v>
      </c>
      <c r="D28" s="45">
        <f>ROUND($D$3*E28/$E$3,2)</f>
        <v>3293.18</v>
      </c>
      <c r="E28" s="53">
        <f>SUM(F28:G28)</f>
        <v>4912.5</v>
      </c>
      <c r="F28" s="56">
        <f>'数据-基础表'!BQ5+'数据-基础表'!BS5</f>
        <v>938.4</v>
      </c>
      <c r="G28" s="57">
        <f>'数据-基础表'!BR5+'数据-基础表'!BT5</f>
        <v>3974.1000000000004</v>
      </c>
      <c r="H28" s="2657"/>
      <c r="I28" s="2657"/>
      <c r="J28" s="2657"/>
      <c r="K28" s="2657"/>
      <c r="L28" s="2657"/>
      <c r="M28" s="2657"/>
      <c r="N28" s="2657"/>
      <c r="O28" s="2657"/>
      <c r="P28" s="2657"/>
    </row>
    <row r="29" spans="1:19">
      <c r="A29" s="1670"/>
      <c r="B29" s="47" t="s">
        <v>1154</v>
      </c>
      <c r="C29" s="1674" t="s">
        <v>1156</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70"/>
      <c r="B30" s="47"/>
      <c r="C30" s="1675" t="s">
        <v>1153</v>
      </c>
      <c r="D30" s="1140">
        <f>SUM(D28:D29)</f>
        <v>3293.18</v>
      </c>
      <c r="E30" s="1140">
        <f>SUM(E28:E29)</f>
        <v>4912.5</v>
      </c>
      <c r="F30" s="1140">
        <f>SUM(F28:F29)</f>
        <v>938.4</v>
      </c>
      <c r="G30" s="1142">
        <f>SUM(G28:G29)</f>
        <v>3974.1000000000004</v>
      </c>
      <c r="H30" s="2657"/>
      <c r="I30" s="2657"/>
      <c r="J30" s="2657"/>
      <c r="K30" s="2657"/>
      <c r="L30" s="2657"/>
      <c r="M30" s="2657"/>
      <c r="N30" s="2657"/>
      <c r="O30" s="2657"/>
      <c r="P30" s="2657"/>
    </row>
    <row r="31" spans="1:19" ht="15.75" thickBot="1">
      <c r="A31" s="1676"/>
      <c r="B31" s="1677"/>
      <c r="C31" s="835" t="s">
        <v>1157</v>
      </c>
      <c r="D31" s="676">
        <f>D27+D30</f>
        <v>23254.45</v>
      </c>
      <c r="E31" s="676">
        <f>E27+E30</f>
        <v>34689.1</v>
      </c>
      <c r="F31" s="677">
        <f>F27+F30</f>
        <v>23601.7</v>
      </c>
      <c r="G31" s="678">
        <f>G27+G30</f>
        <v>11087.400000000001</v>
      </c>
      <c r="H31" s="2657"/>
      <c r="I31" s="2657"/>
      <c r="J31" s="2657"/>
      <c r="K31" s="2657"/>
      <c r="L31" s="2657"/>
      <c r="M31" s="2657"/>
      <c r="N31" s="2657"/>
      <c r="O31" s="2657"/>
      <c r="P31" s="2657"/>
    </row>
    <row r="32" spans="1:19">
      <c r="A32" s="1643"/>
      <c r="B32" s="1643" t="s">
        <v>1158</v>
      </c>
      <c r="C32" s="1643"/>
      <c r="D32" s="1643"/>
      <c r="E32" s="1053">
        <f>SUMIF(C19:C26,"*住宅*",E19:E26)</f>
        <v>0</v>
      </c>
      <c r="F32" s="1643"/>
      <c r="G32" s="1643"/>
      <c r="H32" s="2657"/>
      <c r="I32" s="2657"/>
      <c r="J32" s="2657"/>
      <c r="K32" s="2657"/>
      <c r="L32" s="2657"/>
      <c r="M32" s="2657"/>
      <c r="N32" s="2657"/>
      <c r="O32" s="2657"/>
      <c r="P32" s="2657"/>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J6" activePane="bottomRight" state="frozen"/>
      <selection activeCell="C50" sqref="C50"/>
      <selection pane="topRight" activeCell="C50" sqref="C50"/>
      <selection pane="bottomLeft" activeCell="C50" sqref="C50"/>
      <selection pane="bottomRight" activeCell="O26" sqref="O26"/>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24" width="6.75" style="1682" customWidth="1"/>
    <col min="25" max="25" width="8.5" style="1682" customWidth="1"/>
    <col min="26"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1159</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69"/>
      <c r="AO1" s="2669"/>
      <c r="AP1" s="2669"/>
      <c r="AQ1" s="2669"/>
      <c r="AR1" s="2669"/>
    </row>
    <row r="2" spans="1:67" s="1559" customFormat="1" ht="15.75" thickBot="1">
      <c r="A2" s="1683" t="s">
        <v>1160</v>
      </c>
      <c r="B2" s="1045">
        <f>项目基本情况!D3</f>
        <v>45044</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1"/>
      <c r="AO2" s="2671"/>
      <c r="AP2" s="2671"/>
      <c r="AQ2" s="2671"/>
      <c r="AR2" s="2671"/>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1"/>
      <c r="AO3" s="2671"/>
      <c r="AP3" s="2671"/>
      <c r="AQ3" s="2671"/>
      <c r="AR3" s="2671"/>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1161</v>
      </c>
      <c r="B4" s="1688"/>
      <c r="C4" s="1689"/>
      <c r="D4" s="1690"/>
      <c r="E4" s="1689" t="s">
        <v>1162</v>
      </c>
      <c r="F4" s="1689"/>
      <c r="G4" s="1689"/>
      <c r="H4" s="1689"/>
      <c r="I4" s="1689"/>
      <c r="J4" s="1691"/>
      <c r="K4" s="1692"/>
      <c r="L4" s="1693"/>
      <c r="M4" s="1689"/>
      <c r="N4" s="1689" t="s">
        <v>1163</v>
      </c>
      <c r="O4" s="1689"/>
      <c r="P4" s="1689"/>
      <c r="Q4" s="1689"/>
      <c r="R4" s="1689"/>
      <c r="S4" s="1691"/>
      <c r="T4" s="2656" t="str">
        <f>'数据-汇总表'!I17</f>
        <v>按面积比例</v>
      </c>
      <c r="U4" s="1688" t="s">
        <v>1164</v>
      </c>
      <c r="V4" s="1689"/>
      <c r="W4" s="1689"/>
      <c r="X4" s="1689"/>
      <c r="Y4" s="1691"/>
      <c r="Z4" s="1652" t="s">
        <v>1165</v>
      </c>
      <c r="AA4" s="1652"/>
      <c r="AB4" s="1652"/>
      <c r="AC4" s="1652"/>
      <c r="AD4" s="1652"/>
      <c r="AE4" s="1650" t="s">
        <v>1166</v>
      </c>
      <c r="AF4" s="1652"/>
      <c r="AG4" s="1694"/>
      <c r="AH4" s="1688"/>
      <c r="AI4" s="1689"/>
      <c r="AJ4" s="1689"/>
      <c r="AK4" s="1689"/>
      <c r="AL4" s="1689"/>
      <c r="AM4" s="1691"/>
      <c r="AN4" s="2671"/>
      <c r="AO4" s="2671"/>
      <c r="AP4" s="2671"/>
      <c r="AQ4" s="2671"/>
      <c r="AR4" s="2671"/>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1167</v>
      </c>
      <c r="B5" s="1696" t="s">
        <v>1168</v>
      </c>
      <c r="C5" s="1697" t="s">
        <v>1169</v>
      </c>
      <c r="D5" s="1698" t="s">
        <v>1170</v>
      </c>
      <c r="E5" s="1047" t="s">
        <v>1171</v>
      </c>
      <c r="F5" s="1699" t="s">
        <v>1172</v>
      </c>
      <c r="G5" s="1047" t="s">
        <v>1173</v>
      </c>
      <c r="H5" s="1047" t="s">
        <v>1174</v>
      </c>
      <c r="I5" s="1047" t="s">
        <v>1175</v>
      </c>
      <c r="J5" s="1700" t="s">
        <v>1176</v>
      </c>
      <c r="K5" s="1701" t="s">
        <v>1177</v>
      </c>
      <c r="L5" s="1702" t="s">
        <v>1178</v>
      </c>
      <c r="M5" s="1703" t="s">
        <v>1179</v>
      </c>
      <c r="N5" s="1704" t="s">
        <v>3408</v>
      </c>
      <c r="O5" s="1702" t="s">
        <v>1180</v>
      </c>
      <c r="P5" s="1705" t="s">
        <v>1181</v>
      </c>
      <c r="Q5" s="61" t="s">
        <v>1182</v>
      </c>
      <c r="R5" s="1706" t="s">
        <v>1183</v>
      </c>
      <c r="S5" s="1707" t="s">
        <v>1184</v>
      </c>
      <c r="T5" s="1708" t="s">
        <v>1185</v>
      </c>
      <c r="U5" s="1046" t="s">
        <v>1186</v>
      </c>
      <c r="V5" s="1047" t="s">
        <v>1187</v>
      </c>
      <c r="W5" s="1047" t="s">
        <v>1188</v>
      </c>
      <c r="X5" s="63"/>
      <c r="Y5" s="62" t="s">
        <v>1189</v>
      </c>
      <c r="Z5" s="1709" t="s">
        <v>1186</v>
      </c>
      <c r="AA5" s="1047" t="s">
        <v>1187</v>
      </c>
      <c r="AB5" s="1047" t="s">
        <v>1188</v>
      </c>
      <c r="AC5" s="63"/>
      <c r="AD5" s="63" t="s">
        <v>1189</v>
      </c>
      <c r="AE5" s="1046" t="s">
        <v>1190</v>
      </c>
      <c r="AF5" s="1047" t="s">
        <v>1191</v>
      </c>
      <c r="AG5" s="62" t="s">
        <v>1192</v>
      </c>
      <c r="AH5" s="1046" t="s">
        <v>1193</v>
      </c>
      <c r="AI5" s="1709" t="s">
        <v>1194</v>
      </c>
      <c r="AJ5" s="1709" t="s">
        <v>1195</v>
      </c>
      <c r="AK5" s="1047" t="s">
        <v>1196</v>
      </c>
      <c r="AL5" s="1047" t="s">
        <v>1197</v>
      </c>
      <c r="AM5" s="62" t="s">
        <v>1198</v>
      </c>
      <c r="AN5" s="1710" t="s">
        <v>1199</v>
      </c>
      <c r="AO5" s="1562" t="s">
        <v>1200</v>
      </c>
      <c r="AP5" s="1028" t="s">
        <v>1201</v>
      </c>
      <c r="AQ5" s="1711" t="s">
        <v>1202</v>
      </c>
      <c r="AR5" s="1711" t="s">
        <v>1203</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工业</v>
      </c>
      <c r="B6" s="1713" t="str">
        <f>IF(A6=0,"","经营性")</f>
        <v>经营性</v>
      </c>
      <c r="C6" s="1714" t="s">
        <v>3</v>
      </c>
      <c r="D6" s="858">
        <f>SUMIF(项目基本情况!C$12:I$12,C6,项目基本情况!C$14:I$14)</f>
        <v>20</v>
      </c>
      <c r="E6" s="857">
        <f>IF(B6="","",SUMIF(项目基本情况!C$12:I$12,C6,项目基本情况!C$13:I$13))</f>
        <v>51806</v>
      </c>
      <c r="F6" s="64">
        <f>SUMIF(项目基本情况!C$12:I$12,C6,项目基本情况!C$15:I$15)</f>
        <v>18.52</v>
      </c>
      <c r="G6" s="65">
        <f>IF(ISERROR(ROUND(POWER(1+H6,D6-F6)*(POWER(1+H6,F6)-1)/(POWER(1+H6,D6)-1),3)),0,ROUND(POWER(1+H6,D6-F6)*(POWER(1+H6,F6)-1)/(POWER(1+H6,D6)-1),3))</f>
        <v>0.95499999999999996</v>
      </c>
      <c r="H6" s="732">
        <v>0.05</v>
      </c>
      <c r="I6" s="732">
        <v>5.5E-2</v>
      </c>
      <c r="J6" s="66">
        <v>7.4999999999999997E-2</v>
      </c>
      <c r="K6" s="1030">
        <f>SUMIF('数据-汇总表'!C$19:C$33,A6,'数据-汇总表'!E$19:E$33)</f>
        <v>22663.3</v>
      </c>
      <c r="L6" s="733">
        <v>4000</v>
      </c>
      <c r="M6" s="67">
        <f t="shared" ref="M6:M14" si="0">ROUND(K6*L6/10000,0)</f>
        <v>9065</v>
      </c>
      <c r="N6" s="731">
        <v>0.55000000000000004</v>
      </c>
      <c r="O6" s="67">
        <f>IF($N$5="成新度","——",ROUND(M6*N6,0))</f>
        <v>4986</v>
      </c>
      <c r="P6" s="68">
        <f>IF($N$5="成新度","——",M6-O6)</f>
        <v>4079</v>
      </c>
      <c r="Q6" s="734">
        <v>0.15</v>
      </c>
      <c r="R6" s="69">
        <f ca="1">SUMIF('数据-汇总表'!C$19:C$33,A6,'数据-汇总表'!R$19:R$27)</f>
        <v>17699.22</v>
      </c>
      <c r="S6" s="51">
        <f>IF('数据-汇总表'!$I$17="按面积比例",SUMIF('数据-汇总表'!C$19:C$33,A6,'数据-汇总表'!K$19:K$33),SUMIF('数据-汇总表'!C$19:C$33,A6,'数据-汇总表'!N$19:N$33))</f>
        <v>3738.96</v>
      </c>
      <c r="T6" s="1172">
        <f>ROUND($L$14*S6/10000,0)</f>
        <v>1496</v>
      </c>
      <c r="U6" s="3426">
        <v>2.5</v>
      </c>
      <c r="V6" s="70">
        <v>0.02</v>
      </c>
      <c r="W6" s="70">
        <v>0.1</v>
      </c>
      <c r="X6" s="1040"/>
      <c r="Y6" s="71">
        <v>1</v>
      </c>
      <c r="Z6" s="72"/>
      <c r="AA6" s="66"/>
      <c r="AB6" s="66"/>
      <c r="AC6" s="1040"/>
      <c r="AD6" s="73"/>
      <c r="AE6" s="1041">
        <f ca="1">IF(AN6="",0,SUMIF(INDIRECT("'"&amp;AN6&amp;"'"&amp;"!E:E"),$AE$5,INDIRECT("'"&amp;AN6&amp;"'"&amp;"!F:F")))</f>
        <v>17.62</v>
      </c>
      <c r="AF6" s="1348"/>
      <c r="AG6" s="138">
        <f>IF(AF6="",0,AE6-AF6)</f>
        <v>0</v>
      </c>
      <c r="AH6" s="74"/>
      <c r="AI6" s="76">
        <v>365</v>
      </c>
      <c r="AJ6" s="77"/>
      <c r="AK6" s="78">
        <v>5.0000000000000001E-3</v>
      </c>
      <c r="AL6" s="79">
        <v>1E-3</v>
      </c>
      <c r="AM6" s="80">
        <v>0.01</v>
      </c>
      <c r="AN6" s="1715" t="s">
        <v>3412</v>
      </c>
      <c r="AO6" s="52">
        <f ca="1">SUMIF(INDIRECT("'"&amp;AN6&amp;"'"&amp;"!A:A"),"总价",INDIRECT("'"&amp;AN6&amp;"'"&amp;"!B:B"))</f>
        <v>21468</v>
      </c>
      <c r="AP6" s="1716">
        <f>IF(C6="住宅",K6*L6,0)</f>
        <v>0</v>
      </c>
      <c r="AQ6" s="52">
        <f>ROUND($L$14*$N$14*S6/10000,0)</f>
        <v>823</v>
      </c>
      <c r="AR6" s="52">
        <f>ROUND($L$14*(1-$N$14)*S6/10000,0)</f>
        <v>673</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t="str">
        <f>'数据-汇总表'!C20</f>
        <v>地下车库</v>
      </c>
      <c r="B7" s="1713" t="str">
        <f t="shared" ref="B7:B13" si="1">IF(A7=0,"","经营性")</f>
        <v>经营性</v>
      </c>
      <c r="C7" s="1714" t="s">
        <v>3336</v>
      </c>
      <c r="D7" s="858">
        <f>SUMIF(项目基本情况!C$12:I$12,C7,项目基本情况!C$14:I$14)</f>
        <v>20</v>
      </c>
      <c r="E7" s="857">
        <f>IF(B7="","",SUMIF(项目基本情况!C$12:I$12,C7,项目基本情况!C$13:I$13))</f>
        <v>51806</v>
      </c>
      <c r="F7" s="64">
        <f>SUMIF(项目基本情况!C$12:I$12,C7,项目基本情况!C$15:I$15)</f>
        <v>18.52</v>
      </c>
      <c r="G7" s="65">
        <f t="shared" ref="G7:G11" si="2">IF(ISERROR(ROUND(POWER(1+H7,D7-F7)*(POWER(1+H7,F7)-1)/(POWER(1+H7,D7)-1),3)),0,ROUND(POWER(1+H7,D7-F7)*(POWER(1+H7,F7)-1)/(POWER(1+H7,D7)-1),3))</f>
        <v>0.95199999999999996</v>
      </c>
      <c r="H7" s="732">
        <v>4.4999999999999998E-2</v>
      </c>
      <c r="I7" s="732">
        <v>0.05</v>
      </c>
      <c r="J7" s="66">
        <v>7.4999999999999997E-2</v>
      </c>
      <c r="K7" s="1030">
        <f>SUMIF('数据-汇总表'!C$19:C$33,A7,'数据-汇总表'!E$19:E$33)</f>
        <v>7113.3</v>
      </c>
      <c r="L7" s="733">
        <f>L6</f>
        <v>4000</v>
      </c>
      <c r="M7" s="67">
        <f t="shared" si="0"/>
        <v>2845</v>
      </c>
      <c r="N7" s="731">
        <f>N6</f>
        <v>0.55000000000000004</v>
      </c>
      <c r="O7" s="67">
        <f t="shared" ref="O7:O14" si="3">IF($N$5="成新度","——",ROUND(M7*N7,0))</f>
        <v>1565</v>
      </c>
      <c r="P7" s="68">
        <f t="shared" ref="P7:P14" si="4">IF($N$5="成新度","——",M7-O7)</f>
        <v>1280</v>
      </c>
      <c r="Q7" s="734">
        <f>Q6</f>
        <v>0.15</v>
      </c>
      <c r="R7" s="69">
        <f ca="1">SUMIF('数据-汇总表'!C$19:C$33,A7,'数据-汇总表'!R$19:R$27)</f>
        <v>5555.23</v>
      </c>
      <c r="S7" s="51">
        <f>IF('数据-汇总表'!$I$17="按面积比例",SUMIF('数据-汇总表'!C$19:C$33,A7,'数据-汇总表'!K$19:K$33),SUMIF('数据-汇总表'!C$19:C$33,A7,'数据-汇总表'!N$19:N$33))</f>
        <v>1173.54</v>
      </c>
      <c r="T7" s="1172">
        <f t="shared" ref="T7:T13" si="5">ROUND($L$14*S7/10000,0)</f>
        <v>469</v>
      </c>
      <c r="U7" s="3426"/>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258</v>
      </c>
      <c r="AR7" s="52">
        <f t="shared" ref="AR7:AR13" si="11">ROUND($L$14*(1-$N$14)*S7/10000,0)</f>
        <v>211</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f t="shared" si="3"/>
        <v>0</v>
      </c>
      <c r="P8" s="68">
        <f t="shared" si="4"/>
        <v>0</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7"/>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f t="shared" si="3"/>
        <v>0</v>
      </c>
      <c r="P9" s="68">
        <f t="shared" si="4"/>
        <v>0</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6"/>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f t="shared" si="3"/>
        <v>0</v>
      </c>
      <c r="P10" s="68">
        <f t="shared" si="4"/>
        <v>0</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6"/>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f t="shared" si="3"/>
        <v>0</v>
      </c>
      <c r="P11" s="68">
        <f t="shared" si="4"/>
        <v>0</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6"/>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f t="shared" si="3"/>
        <v>0</v>
      </c>
      <c r="P12" s="68">
        <f t="shared" si="4"/>
        <v>0</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6"/>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f t="shared" si="3"/>
        <v>0</v>
      </c>
      <c r="P13" s="68">
        <f t="shared" si="4"/>
        <v>0</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8"/>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1204</v>
      </c>
      <c r="B14" s="1713" t="s">
        <v>1205</v>
      </c>
      <c r="C14" s="1718" t="s">
        <v>1204</v>
      </c>
      <c r="D14" s="858"/>
      <c r="E14" s="857"/>
      <c r="F14" s="64"/>
      <c r="G14" s="65"/>
      <c r="H14" s="1029"/>
      <c r="I14" s="1029"/>
      <c r="J14" s="1029"/>
      <c r="K14" s="1030">
        <f>SUMIF('数据-汇总表'!C$19:C$33,A14,'数据-汇总表'!E$19:E$33)</f>
        <v>4912.5</v>
      </c>
      <c r="L14" s="82">
        <f>L6</f>
        <v>4000</v>
      </c>
      <c r="M14" s="67">
        <f t="shared" si="0"/>
        <v>1965</v>
      </c>
      <c r="N14" s="83">
        <f>N6</f>
        <v>0.55000000000000004</v>
      </c>
      <c r="O14" s="67">
        <f t="shared" si="3"/>
        <v>1081</v>
      </c>
      <c r="P14" s="68">
        <f t="shared" si="4"/>
        <v>884</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69"/>
      <c r="AO14" s="2671"/>
      <c r="AP14" s="2671"/>
      <c r="AQ14" s="2671"/>
      <c r="AR14" s="2671"/>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1206</v>
      </c>
      <c r="B15" s="1713" t="s">
        <v>1205</v>
      </c>
      <c r="C15" s="1718" t="s">
        <v>1207</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69"/>
      <c r="AO15" s="2671"/>
      <c r="AP15" s="2671"/>
      <c r="AQ15" s="2671"/>
      <c r="AR15" s="2671"/>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1208</v>
      </c>
      <c r="B16" s="88"/>
      <c r="C16" s="833"/>
      <c r="D16" s="1720"/>
      <c r="E16" s="88"/>
      <c r="F16" s="88"/>
      <c r="G16" s="89">
        <f>ROUND(SUMPRODUCT(G6:G13,K6:K13)/SUMPRODUCT((G6:G13&gt;0)*(K6:K13)),3)</f>
        <v>0.95399999999999996</v>
      </c>
      <c r="H16" s="90">
        <f>ROUND(SUMPRODUCT(H6:H13,K6:K13)/SUMPRODUCT((H6:H13&gt;0)*(K6:K13)),3)</f>
        <v>4.9000000000000002E-2</v>
      </c>
      <c r="I16" s="91"/>
      <c r="J16" s="91"/>
      <c r="K16" s="92">
        <f>SUM(K6:K15)</f>
        <v>34689.1</v>
      </c>
      <c r="L16" s="93">
        <f>ROUND(M16*10000/SUM(K6:K14),0)</f>
        <v>4000</v>
      </c>
      <c r="M16" s="93">
        <f>SUM(M6:M14)</f>
        <v>13875</v>
      </c>
      <c r="N16" s="94">
        <f>ROUND(SUMPRODUCT(M6:M14,N6:N14)/M16,3)</f>
        <v>0.55000000000000004</v>
      </c>
      <c r="O16" s="93">
        <f>SUM(O6:O14)</f>
        <v>7632</v>
      </c>
      <c r="P16" s="93">
        <f>SUM(P6:P14)</f>
        <v>6243</v>
      </c>
      <c r="Q16" s="95">
        <f>ROUND(SUMPRODUCT(Q6:Q13,K6:K13)/SUMPRODUCT((Q6:Q13&gt;0)*(K6:K13)),2)</f>
        <v>0.15</v>
      </c>
      <c r="R16" s="1034">
        <f ca="1">SUM(R6:R13)</f>
        <v>23254.45</v>
      </c>
      <c r="S16" s="96">
        <f>SUM(S6:S13)</f>
        <v>4912.5</v>
      </c>
      <c r="T16" s="97">
        <f>IF(SUMIF(T6:T13,"&lt;9E307")=M14,SUMIF(T6:T13,"&lt;9E307"),"有误，请检查")</f>
        <v>1965</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0"/>
      <c r="C17" s="2669"/>
      <c r="D17" s="2673"/>
      <c r="E17" s="2673"/>
      <c r="F17" s="2669"/>
      <c r="G17" s="2669"/>
      <c r="H17" s="2669"/>
      <c r="I17" s="2669"/>
      <c r="J17" s="2669"/>
      <c r="K17" s="2670"/>
      <c r="L17" s="2670"/>
      <c r="M17" s="2669"/>
      <c r="N17" s="2669"/>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1209</v>
      </c>
      <c r="B18" s="2683"/>
      <c r="C18" s="2671"/>
      <c r="D18" s="2674"/>
      <c r="E18" s="2671"/>
      <c r="F18" s="2671"/>
      <c r="G18" s="2671"/>
      <c r="H18" s="2671"/>
      <c r="I18" s="2671"/>
      <c r="J18" s="2671"/>
      <c r="K18" s="2670"/>
      <c r="L18" s="2670"/>
      <c r="M18" s="2669"/>
      <c r="N18" s="2669"/>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2" t="s">
        <v>1210</v>
      </c>
      <c r="B19" s="103">
        <v>0</v>
      </c>
      <c r="C19" s="2797" t="s">
        <v>2303</v>
      </c>
      <c r="D19" s="2674"/>
      <c r="E19" s="2671"/>
      <c r="F19" s="2671"/>
      <c r="G19" s="2671"/>
      <c r="H19" s="2671"/>
      <c r="I19" s="2671"/>
      <c r="J19" s="2671"/>
      <c r="K19" s="2670"/>
      <c r="L19" s="2670"/>
      <c r="M19" s="2669"/>
      <c r="N19" s="2669"/>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3" t="s">
        <v>1211</v>
      </c>
      <c r="B20" s="104">
        <v>2</v>
      </c>
      <c r="C20" s="2798" t="s">
        <v>2301</v>
      </c>
      <c r="D20" s="2674"/>
      <c r="E20" s="2671"/>
      <c r="F20" s="2671"/>
      <c r="G20" s="2671"/>
      <c r="H20" s="2671"/>
      <c r="I20" s="2671"/>
      <c r="J20" s="2671"/>
      <c r="K20" s="2670"/>
      <c r="L20" s="2670"/>
      <c r="M20" s="2669"/>
      <c r="N20" s="2669"/>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4" t="s">
        <v>1212</v>
      </c>
      <c r="B21" s="104">
        <f>B20*N16</f>
        <v>1.1000000000000001</v>
      </c>
      <c r="C21" s="2671"/>
      <c r="D21" s="2674"/>
      <c r="E21" s="2671"/>
      <c r="F21" s="2671"/>
      <c r="G21" s="2671"/>
      <c r="H21" s="2671"/>
      <c r="I21" s="2671"/>
      <c r="J21" s="2671"/>
      <c r="K21" s="2670"/>
      <c r="L21" s="2670"/>
      <c r="M21" s="2669"/>
      <c r="N21" s="2669"/>
      <c r="O21" s="2669"/>
      <c r="P21" s="2669"/>
      <c r="Q21" s="2669"/>
      <c r="R21" s="3451" t="s">
        <v>3409</v>
      </c>
      <c r="S21" s="2669">
        <f>'数据-基础表'!I5</f>
        <v>13935.5</v>
      </c>
      <c r="T21" s="2669">
        <v>2.5</v>
      </c>
      <c r="U21" s="2669">
        <f>T21*S21</f>
        <v>34838.75</v>
      </c>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3" t="s">
        <v>1213</v>
      </c>
      <c r="B22" s="105">
        <f>B19+B20</f>
        <v>2</v>
      </c>
      <c r="C22" s="2671"/>
      <c r="D22" s="2674"/>
      <c r="E22" s="2671"/>
      <c r="F22" s="2671"/>
      <c r="G22" s="2671"/>
      <c r="H22" s="2671"/>
      <c r="I22" s="2671"/>
      <c r="J22" s="2671"/>
      <c r="K22" s="2670"/>
      <c r="L22" s="2670"/>
      <c r="M22" s="2669"/>
      <c r="N22" s="2669"/>
      <c r="O22" s="2669"/>
      <c r="P22" s="2669"/>
      <c r="Q22" s="2669"/>
      <c r="R22" s="3451" t="s">
        <v>3410</v>
      </c>
      <c r="S22" s="2669">
        <f>'数据-基础表'!K5</f>
        <v>1943.8</v>
      </c>
      <c r="T22" s="2669">
        <v>2.5</v>
      </c>
      <c r="U22" s="2669">
        <f t="shared" ref="U22:U23" si="12">T22*S22</f>
        <v>4859.5</v>
      </c>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4" t="s">
        <v>1214</v>
      </c>
      <c r="B23" s="105">
        <f>B19+B21</f>
        <v>1.1000000000000001</v>
      </c>
      <c r="C23" s="2671"/>
      <c r="D23" s="2674"/>
      <c r="E23" s="2671"/>
      <c r="F23" s="2671"/>
      <c r="G23" s="2671"/>
      <c r="H23" s="2671"/>
      <c r="I23" s="2671"/>
      <c r="J23" s="2671"/>
      <c r="K23" s="2670"/>
      <c r="L23" s="2670"/>
      <c r="M23" s="2669"/>
      <c r="N23" s="2669"/>
      <c r="O23" s="2669"/>
      <c r="P23" s="2669"/>
      <c r="Q23" s="2669"/>
      <c r="R23" s="3451" t="s">
        <v>3411</v>
      </c>
      <c r="S23" s="2669">
        <f>'数据-基础表'!M5</f>
        <v>6784</v>
      </c>
      <c r="T23" s="2669">
        <v>2</v>
      </c>
      <c r="U23" s="2669">
        <f t="shared" si="12"/>
        <v>13568</v>
      </c>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5" t="s">
        <v>1215</v>
      </c>
      <c r="B24" s="106">
        <f>B20-B21</f>
        <v>0.89999999999999991</v>
      </c>
      <c r="C24" s="2671"/>
      <c r="D24" s="2674"/>
      <c r="E24" s="2671"/>
      <c r="F24" s="2671"/>
      <c r="G24" s="2671"/>
      <c r="H24" s="2671"/>
      <c r="I24" s="2671"/>
      <c r="J24" s="2671"/>
      <c r="K24" s="2670"/>
      <c r="L24" s="2670"/>
      <c r="M24" s="2669"/>
      <c r="N24" s="2669"/>
      <c r="O24" s="2669"/>
      <c r="P24" s="2669"/>
      <c r="Q24" s="2669"/>
      <c r="R24" s="2669"/>
      <c r="S24" s="2669">
        <f>SUM(S21:S23)</f>
        <v>22663.3</v>
      </c>
      <c r="T24" s="2669">
        <f>ROUND(U24/S24,2)</f>
        <v>2.35</v>
      </c>
      <c r="U24" s="2669">
        <f>SUM(U21:U23)</f>
        <v>53266.25</v>
      </c>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7"/>
      <c r="B25" s="1687"/>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3" t="s">
        <v>1216</v>
      </c>
      <c r="B26" s="1726" t="s">
        <v>1217</v>
      </c>
      <c r="C26" s="2675" t="s">
        <v>1218</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8" customFormat="1" ht="27.75">
      <c r="A27" s="1727" t="s">
        <v>1219</v>
      </c>
      <c r="B27" s="107">
        <v>160</v>
      </c>
      <c r="C27" s="2799" t="s">
        <v>2305</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1220</v>
      </c>
      <c r="B28" s="110">
        <v>200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1221</v>
      </c>
      <c r="B29" s="112">
        <f ca="1">成本法!C10</f>
        <v>694</v>
      </c>
      <c r="C29" s="2800" t="s">
        <v>2292</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1222</v>
      </c>
      <c r="B30" s="671">
        <v>200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1223</v>
      </c>
      <c r="B31" s="111">
        <f>B30-B32</f>
        <v>200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1224</v>
      </c>
      <c r="B32" s="672">
        <v>0</v>
      </c>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1225</v>
      </c>
      <c r="B33" s="673">
        <v>0.03</v>
      </c>
      <c r="C33" s="2801" t="s">
        <v>2293</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1226</v>
      </c>
      <c r="B34" s="113">
        <v>0</v>
      </c>
      <c r="C34" s="2801" t="s">
        <v>2294</v>
      </c>
      <c r="D34" s="2682" t="s">
        <v>2302</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1227</v>
      </c>
      <c r="B35" s="110">
        <v>200</v>
      </c>
      <c r="C35" s="2801" t="s">
        <v>2295</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1228</v>
      </c>
      <c r="B36" s="114">
        <v>1.4999999999999999E-2</v>
      </c>
      <c r="C36" s="2801" t="s">
        <v>2296</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31" t="s">
        <v>1229</v>
      </c>
      <c r="B37" s="115">
        <v>0.02</v>
      </c>
      <c r="C37" s="2801" t="s">
        <v>2297</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9" t="s">
        <v>1230</v>
      </c>
      <c r="B38" s="113">
        <v>0.02</v>
      </c>
      <c r="C38" s="2801" t="s">
        <v>2297</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2" t="s">
        <v>1231</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29.25" thickBot="1">
      <c r="A40" s="2813" t="s">
        <v>3407</v>
      </c>
      <c r="B40" s="1078">
        <f ca="1">IF(A40="利息：取LPR",存贷款利率!G1,存贷款利率!G1+C40)</f>
        <v>4.1499999999999995E-2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7" t="s">
        <v>1232</v>
      </c>
      <c r="B41" s="116">
        <f>B42+B43</f>
        <v>5.5000000000000007E-2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3" t="s">
        <v>1233</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3" t="s">
        <v>1234</v>
      </c>
      <c r="B43" s="118">
        <f>B42*(B44+B45+B46)+B47</f>
        <v>5.000000000000001E-3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4" t="s">
        <v>1235</v>
      </c>
      <c r="B44" s="119">
        <v>0.05</v>
      </c>
      <c r="C44" s="2801" t="s">
        <v>2306</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4" t="s">
        <v>1236</v>
      </c>
      <c r="B45" s="117">
        <v>0.03</v>
      </c>
      <c r="C45" s="2800" t="s">
        <v>2298</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4" t="s">
        <v>1237</v>
      </c>
      <c r="B46" s="117">
        <v>0.02</v>
      </c>
      <c r="C46" s="2800" t="s">
        <v>2299</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5" t="s">
        <v>1238</v>
      </c>
      <c r="B47" s="120">
        <v>0</v>
      </c>
      <c r="C47" s="2803" t="s">
        <v>2307</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6" t="s">
        <v>1239</v>
      </c>
      <c r="B48" s="121">
        <v>0.03</v>
      </c>
      <c r="C48" s="2800" t="s">
        <v>2298</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2" t="s">
        <v>1240</v>
      </c>
      <c r="B49" s="117">
        <v>5.0000000000000001E-4</v>
      </c>
      <c r="C49" s="2800" t="s">
        <v>2300</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7" t="s">
        <v>1241</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30" t="s">
        <v>1242</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7" t="s">
        <v>1243</v>
      </c>
      <c r="B52" s="124">
        <f>SUMIF(A54:A63,B53,B54:B63)</f>
        <v>1.5</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9" t="s">
        <v>1244</v>
      </c>
      <c r="B53" s="1738" t="s">
        <v>29</v>
      </c>
      <c r="C53" s="2659" t="s">
        <v>1245</v>
      </c>
      <c r="D53" s="2802" t="s">
        <v>2304</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9" t="s">
        <v>1246</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9" t="s">
        <v>1247</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9" t="s">
        <v>1248</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9" t="s">
        <v>1249</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9" t="s">
        <v>1250</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9" t="s">
        <v>1251</v>
      </c>
      <c r="B59" s="75">
        <f>C59</f>
        <v>1.5</v>
      </c>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9" t="s">
        <v>1252</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9" t="s">
        <v>1253</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9" t="s">
        <v>1254</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40" t="s">
        <v>1255</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3"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3"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3"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3"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3"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08" customWidth="1"/>
    <col min="4" max="4" width="2.625" style="2508" customWidth="1"/>
    <col min="5" max="5" width="5.875" style="2508" customWidth="1"/>
    <col min="6" max="6" width="27" style="1572"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9"/>
    <col min="30" max="16384" width="9" style="1686"/>
  </cols>
  <sheetData>
    <row r="1" spans="1:29" s="2455" customFormat="1" ht="18.75" thickBot="1">
      <c r="A1" s="3548" t="s">
        <v>2284</v>
      </c>
      <c r="B1" s="3549"/>
      <c r="C1" s="3549"/>
      <c r="D1" s="3549"/>
      <c r="E1" s="3549"/>
      <c r="F1" s="3549"/>
      <c r="G1" s="3549"/>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2279</v>
      </c>
      <c r="D2" s="2459"/>
      <c r="E2" s="2456"/>
      <c r="F2" s="2460"/>
      <c r="G2" s="2458" t="s">
        <v>2280</v>
      </c>
      <c r="H2" s="799"/>
      <c r="I2" s="799"/>
      <c r="J2" s="799"/>
      <c r="K2" s="799"/>
      <c r="L2" s="799"/>
      <c r="M2" s="799"/>
      <c r="N2" s="799"/>
      <c r="O2" s="799"/>
      <c r="P2" s="799"/>
      <c r="Q2" s="799"/>
      <c r="R2" s="799"/>
    </row>
    <row r="3" spans="1:29" ht="48">
      <c r="A3" s="2439" t="s">
        <v>2281</v>
      </c>
      <c r="B3" s="2461" t="s">
        <v>2250</v>
      </c>
      <c r="C3" s="2462" t="s">
        <v>2282</v>
      </c>
      <c r="D3" s="2463"/>
      <c r="E3" s="2440" t="s">
        <v>2281</v>
      </c>
      <c r="F3" s="2464" t="s">
        <v>2251</v>
      </c>
      <c r="G3" s="2465" t="s">
        <v>2283</v>
      </c>
      <c r="H3" s="799"/>
      <c r="I3" s="799"/>
      <c r="J3" s="799"/>
      <c r="K3" s="799"/>
      <c r="L3" s="799"/>
      <c r="M3" s="799"/>
      <c r="N3" s="799"/>
      <c r="O3" s="799"/>
      <c r="P3" s="799"/>
      <c r="Q3" s="799"/>
      <c r="R3" s="799"/>
    </row>
    <row r="4" spans="1:29" ht="36.75">
      <c r="A4" s="2440"/>
      <c r="B4" s="323" t="s">
        <v>2252</v>
      </c>
      <c r="C4" s="2466" t="s">
        <v>2253</v>
      </c>
      <c r="D4" s="2463"/>
      <c r="E4" s="2467"/>
      <c r="F4" s="1373" t="s">
        <v>2254</v>
      </c>
      <c r="G4" s="2468" t="s">
        <v>2255</v>
      </c>
      <c r="H4" s="799"/>
      <c r="I4" s="799"/>
      <c r="J4" s="799"/>
      <c r="K4" s="799"/>
      <c r="L4" s="799"/>
      <c r="M4" s="799"/>
      <c r="N4" s="799"/>
      <c r="O4" s="799"/>
      <c r="P4" s="799"/>
      <c r="Q4" s="799"/>
      <c r="R4" s="799"/>
    </row>
    <row r="5" spans="1:29" ht="36.75">
      <c r="A5" s="2440"/>
      <c r="B5" s="323" t="s">
        <v>2256</v>
      </c>
      <c r="C5" s="2466" t="s">
        <v>2257</v>
      </c>
      <c r="D5" s="2463"/>
      <c r="E5" s="2467"/>
      <c r="F5" s="323" t="s">
        <v>2258</v>
      </c>
      <c r="G5" s="2468" t="s">
        <v>2259</v>
      </c>
      <c r="H5" s="799"/>
      <c r="I5" s="799"/>
      <c r="J5" s="799"/>
      <c r="K5" s="799"/>
      <c r="L5" s="799"/>
      <c r="M5" s="799"/>
      <c r="N5" s="799"/>
      <c r="O5" s="799"/>
      <c r="P5" s="799"/>
      <c r="Q5" s="799"/>
      <c r="R5" s="799"/>
    </row>
    <row r="6" spans="1:29" ht="36">
      <c r="A6" s="2440"/>
      <c r="B6" s="323" t="s">
        <v>2260</v>
      </c>
      <c r="C6" s="2468" t="s">
        <v>2255</v>
      </c>
      <c r="D6" s="2463"/>
      <c r="E6" s="2467"/>
      <c r="F6" s="323" t="s">
        <v>2261</v>
      </c>
      <c r="G6" s="2468" t="s">
        <v>2262</v>
      </c>
      <c r="H6" s="799"/>
      <c r="I6" s="799"/>
      <c r="J6" s="799"/>
      <c r="K6" s="799"/>
      <c r="L6" s="799"/>
      <c r="M6" s="799"/>
      <c r="N6" s="799"/>
      <c r="O6" s="799"/>
      <c r="P6" s="799"/>
      <c r="Q6" s="799"/>
      <c r="R6" s="799"/>
    </row>
    <row r="7" spans="1:29" ht="24.75" thickBot="1">
      <c r="A7" s="2440"/>
      <c r="B7" s="323" t="s">
        <v>2258</v>
      </c>
      <c r="C7" s="2468" t="s">
        <v>2259</v>
      </c>
      <c r="D7" s="2469"/>
      <c r="E7" s="2470"/>
      <c r="F7" s="2471" t="s">
        <v>2263</v>
      </c>
      <c r="G7" s="2472" t="s">
        <v>2264</v>
      </c>
      <c r="H7" s="799"/>
      <c r="I7" s="799"/>
      <c r="J7" s="799"/>
      <c r="K7" s="799"/>
      <c r="L7" s="799"/>
      <c r="M7" s="799"/>
      <c r="N7" s="799"/>
      <c r="O7" s="799"/>
      <c r="P7" s="799"/>
      <c r="Q7" s="799"/>
      <c r="R7" s="799"/>
    </row>
    <row r="8" spans="1:29">
      <c r="A8" s="2440"/>
      <c r="B8" s="323" t="s">
        <v>2261</v>
      </c>
      <c r="C8" s="2468" t="s">
        <v>2262</v>
      </c>
      <c r="D8" s="2469"/>
      <c r="E8" s="2469"/>
      <c r="F8" s="2473"/>
      <c r="G8" s="2473"/>
      <c r="H8" s="799"/>
      <c r="I8" s="799"/>
      <c r="J8" s="799"/>
      <c r="K8" s="799"/>
      <c r="L8" s="799"/>
      <c r="M8" s="799"/>
      <c r="N8" s="799"/>
      <c r="O8" s="799"/>
      <c r="P8" s="799"/>
      <c r="Q8" s="799"/>
      <c r="R8" s="799"/>
    </row>
    <row r="9" spans="1:29" ht="24">
      <c r="A9" s="2440"/>
      <c r="B9" s="323" t="s">
        <v>2265</v>
      </c>
      <c r="C9" s="2466" t="s">
        <v>2266</v>
      </c>
      <c r="D9" s="2463"/>
      <c r="E9" s="2469"/>
      <c r="F9" s="2473"/>
      <c r="G9" s="2473"/>
      <c r="H9" s="799"/>
      <c r="I9" s="799"/>
      <c r="J9" s="799"/>
      <c r="K9" s="799"/>
      <c r="L9" s="799"/>
      <c r="M9" s="799"/>
      <c r="N9" s="799"/>
      <c r="O9" s="799"/>
      <c r="P9" s="799"/>
      <c r="Q9" s="799"/>
      <c r="R9" s="799"/>
    </row>
    <row r="10" spans="1:29" s="2479" customFormat="1" ht="15" thickBot="1">
      <c r="A10" s="2441"/>
      <c r="B10" s="2474" t="s">
        <v>2267</v>
      </c>
      <c r="C10" s="2475"/>
      <c r="D10" s="2463"/>
      <c r="E10" s="2463"/>
      <c r="F10" s="2473"/>
      <c r="G10" s="2473"/>
      <c r="H10" s="2476"/>
      <c r="I10" s="2477"/>
      <c r="J10" s="2478"/>
      <c r="K10" s="2476"/>
      <c r="L10" s="2477"/>
      <c r="M10" s="2478"/>
      <c r="N10" s="2476"/>
      <c r="O10" s="2477"/>
      <c r="P10" s="2478"/>
      <c r="Q10" s="2476"/>
      <c r="R10" s="2477"/>
      <c r="S10" s="799"/>
      <c r="T10" s="799"/>
      <c r="U10" s="799"/>
      <c r="V10" s="799"/>
      <c r="W10" s="799"/>
      <c r="X10" s="799"/>
      <c r="Y10" s="799"/>
      <c r="Z10" s="799"/>
      <c r="AA10" s="799"/>
      <c r="AB10" s="799"/>
      <c r="AC10" s="799"/>
    </row>
    <row r="11" spans="1:29" s="2479" customFormat="1">
      <c r="A11" s="2480"/>
      <c r="B11" s="2469"/>
      <c r="C11" s="2463"/>
      <c r="D11" s="2463"/>
      <c r="E11" s="2463"/>
      <c r="F11" s="2469"/>
      <c r="G11" s="2481"/>
      <c r="H11" s="2476"/>
      <c r="I11" s="2477"/>
      <c r="J11" s="2478"/>
      <c r="K11" s="2476"/>
      <c r="L11" s="2477"/>
      <c r="M11" s="2478"/>
      <c r="N11" s="2476"/>
      <c r="O11" s="2477"/>
      <c r="P11" s="2478"/>
      <c r="Q11" s="2476"/>
      <c r="R11" s="2477"/>
      <c r="S11" s="799"/>
      <c r="T11" s="799"/>
      <c r="U11" s="799"/>
      <c r="V11" s="799"/>
      <c r="W11" s="799"/>
      <c r="X11" s="799"/>
      <c r="Y11" s="799"/>
      <c r="Z11" s="799"/>
      <c r="AA11" s="799"/>
      <c r="AB11" s="799"/>
      <c r="AC11" s="799"/>
    </row>
    <row r="12" spans="1:29" s="2455" customFormat="1" ht="18">
      <c r="A12" s="2480"/>
      <c r="B12" s="2469"/>
      <c r="C12" s="2463"/>
      <c r="D12" s="2482"/>
      <c r="E12" s="2463"/>
      <c r="F12" s="2469"/>
      <c r="G12" s="2481"/>
      <c r="H12" s="2483"/>
      <c r="I12" s="2484"/>
      <c r="J12" s="2483"/>
      <c r="K12" s="2483"/>
      <c r="L12" s="2485"/>
      <c r="M12" s="2483"/>
      <c r="N12" s="2486"/>
      <c r="O12" s="2487"/>
      <c r="P12" s="2486"/>
      <c r="Q12" s="2486"/>
      <c r="R12" s="2453"/>
      <c r="S12" s="2454"/>
      <c r="T12" s="2454"/>
      <c r="U12" s="2454"/>
      <c r="V12" s="2454"/>
      <c r="W12" s="2454"/>
      <c r="X12" s="2454"/>
      <c r="Y12" s="2454"/>
      <c r="Z12" s="2454"/>
      <c r="AA12" s="2454"/>
      <c r="AB12" s="2454"/>
      <c r="AC12" s="2454"/>
    </row>
    <row r="13" spans="1:29" ht="15.75" thickBot="1">
      <c r="A13" s="2488" t="s">
        <v>2285</v>
      </c>
      <c r="B13" s="2482"/>
      <c r="C13" s="2482"/>
      <c r="D13" s="2480"/>
      <c r="E13" s="2482"/>
      <c r="F13" s="2482"/>
      <c r="G13" s="2482"/>
    </row>
    <row r="14" spans="1:29" ht="15" thickBot="1">
      <c r="A14" s="2492"/>
      <c r="B14" s="2492"/>
      <c r="C14" s="2493" t="s">
        <v>2268</v>
      </c>
      <c r="D14" s="2463"/>
      <c r="E14" s="2494"/>
      <c r="F14" s="2494"/>
      <c r="G14" s="2458" t="s">
        <v>2269</v>
      </c>
    </row>
    <row r="15" spans="1:29" ht="51">
      <c r="A15" s="2442" t="s">
        <v>2270</v>
      </c>
      <c r="B15" s="2495" t="s">
        <v>2250</v>
      </c>
      <c r="C15" s="2496" t="str">
        <f>C3</f>
        <v>估价对象周边居住用地比例、居住小区规模和社区发展完善程度，综合评价居住社区成熟度一般</v>
      </c>
      <c r="D15" s="2463"/>
      <c r="E15" s="2443" t="s">
        <v>2271</v>
      </c>
      <c r="F15" s="2495" t="s">
        <v>2272</v>
      </c>
      <c r="G15" s="2497" t="str">
        <f>G3</f>
        <v>估价对象位于XX开发区，园区建设成熟度XX，产业集聚程度XX</v>
      </c>
    </row>
    <row r="16" spans="1:29" ht="38.25">
      <c r="A16" s="2444"/>
      <c r="B16" s="2498" t="s">
        <v>2252</v>
      </c>
      <c r="C16" s="2499" t="str">
        <f>C4</f>
        <v>估价对象位于XX商圈，周边商业氛围成熟，人流量大，商业繁华度好</v>
      </c>
      <c r="D16" s="2463"/>
      <c r="E16" s="2445"/>
      <c r="F16" s="2500" t="s">
        <v>2254</v>
      </c>
      <c r="G16" s="2501" t="str">
        <f>G4</f>
        <v>估价对象周边道路状况、公共交通通达情况、停车便捷程度，综合评价交通便捷度较好</v>
      </c>
    </row>
    <row r="17" spans="1:18" ht="38.25">
      <c r="A17" s="2444"/>
      <c r="B17" s="2498" t="s">
        <v>2256</v>
      </c>
      <c r="C17" s="2499" t="str">
        <f>C5</f>
        <v>估价对象位于XX商圈，周边办公楼项目较多，入驻率高，办公集聚程度较好</v>
      </c>
      <c r="D17" s="2469"/>
      <c r="E17" s="2445"/>
      <c r="F17" s="2500" t="s">
        <v>2273</v>
      </c>
      <c r="G17" s="2502"/>
    </row>
    <row r="18" spans="1:18" ht="38.25">
      <c r="A18" s="2444"/>
      <c r="B18" s="2500" t="s">
        <v>2260</v>
      </c>
      <c r="C18" s="2501" t="str">
        <f>C6</f>
        <v>估价对象周边道路状况、公共交通通达情况、停车便捷程度，综合评价交通便捷度较好</v>
      </c>
      <c r="D18" s="2469"/>
      <c r="E18" s="2445"/>
      <c r="F18" s="2500" t="s">
        <v>2263</v>
      </c>
      <c r="G18" s="2501" t="str">
        <f>G7</f>
        <v>该园区内是否有污染型企业，绿化情况，卫生条件，整体环境状况判断</v>
      </c>
    </row>
    <row r="19" spans="1:18" ht="25.5">
      <c r="A19" s="2444"/>
      <c r="B19" s="2500" t="s">
        <v>2274</v>
      </c>
      <c r="C19" s="2502"/>
      <c r="D19" s="2463"/>
      <c r="E19" s="2445"/>
      <c r="F19" s="323" t="s">
        <v>2258</v>
      </c>
      <c r="G19" s="2501" t="str">
        <f>G5</f>
        <v>估价对象所在区域公共配套设施齐备情况</v>
      </c>
    </row>
    <row r="20" spans="1:18" ht="25.5">
      <c r="A20" s="2444"/>
      <c r="B20" s="2500" t="s">
        <v>2275</v>
      </c>
      <c r="C20" s="2499" t="str">
        <f>C9</f>
        <v>区域自然环境：；人文环境；综合评价环境状况一般</v>
      </c>
      <c r="D20" s="2469"/>
      <c r="E20" s="2445"/>
      <c r="F20" s="323" t="s">
        <v>2261</v>
      </c>
      <c r="G20" s="2501" t="str">
        <f>G6</f>
        <v>估价对象所在区域基础设施水平</v>
      </c>
    </row>
    <row r="21" spans="1:18" ht="25.5">
      <c r="A21" s="2444"/>
      <c r="B21" s="323" t="s">
        <v>2258</v>
      </c>
      <c r="C21" s="2501" t="str">
        <f>C7</f>
        <v>估价对象所在区域公共配套设施齐备情况</v>
      </c>
      <c r="D21" s="2463"/>
      <c r="E21" s="2445"/>
      <c r="F21" s="2500" t="s">
        <v>2276</v>
      </c>
      <c r="G21" s="2503"/>
    </row>
    <row r="22" spans="1:18" ht="13.5" customHeight="1">
      <c r="A22" s="2444"/>
      <c r="B22" s="323" t="s">
        <v>2261</v>
      </c>
      <c r="C22" s="2501" t="str">
        <f>C8</f>
        <v>估价对象所在区域基础设施水平</v>
      </c>
      <c r="D22" s="2463"/>
      <c r="E22" s="2445"/>
      <c r="F22" s="2500" t="s">
        <v>2267</v>
      </c>
      <c r="G22" s="2502"/>
    </row>
    <row r="23" spans="1:18" s="799" customFormat="1" ht="15" thickBot="1">
      <c r="A23" s="2444"/>
      <c r="B23" s="2500" t="s">
        <v>2276</v>
      </c>
      <c r="C23" s="2503"/>
      <c r="D23" s="1741"/>
      <c r="E23" s="2446"/>
      <c r="F23" s="2504" t="s">
        <v>2277</v>
      </c>
      <c r="G23" s="2505"/>
      <c r="H23" s="2489"/>
      <c r="I23" s="2490"/>
      <c r="J23" s="2489"/>
      <c r="K23" s="2489"/>
      <c r="L23" s="2490"/>
      <c r="M23" s="2489"/>
      <c r="N23" s="2489"/>
      <c r="O23" s="2490"/>
      <c r="P23" s="2489"/>
      <c r="Q23" s="2489"/>
      <c r="R23" s="2491"/>
    </row>
    <row r="24" spans="1:18" s="799" customFormat="1" ht="15" thickBot="1">
      <c r="A24" s="2447"/>
      <c r="B24" s="2504" t="s">
        <v>2278</v>
      </c>
      <c r="C24" s="2506">
        <f>C10</f>
        <v>0</v>
      </c>
      <c r="D24" s="1741"/>
      <c r="E24" s="2437"/>
      <c r="F24" s="2437"/>
      <c r="G24" s="2507"/>
      <c r="H24" s="2489"/>
      <c r="I24" s="2490"/>
      <c r="J24" s="2489"/>
      <c r="K24" s="2489"/>
      <c r="L24" s="2490"/>
      <c r="M24" s="2489"/>
      <c r="N24" s="2489"/>
      <c r="O24" s="2490"/>
      <c r="P24" s="2489"/>
      <c r="Q24" s="2489"/>
      <c r="R24" s="2491"/>
    </row>
    <row r="25" spans="1:18" s="799" customFormat="1">
      <c r="B25" s="2489"/>
      <c r="C25" s="2489"/>
      <c r="D25" s="2489"/>
      <c r="H25" s="2489"/>
      <c r="I25" s="2490"/>
      <c r="J25" s="2489"/>
      <c r="K25" s="2489"/>
      <c r="L25" s="2490"/>
      <c r="M25" s="2489"/>
      <c r="N25" s="2489"/>
      <c r="O25" s="2490"/>
      <c r="P25" s="2489"/>
      <c r="Q25" s="2489"/>
      <c r="R25" s="2491"/>
    </row>
    <row r="26" spans="1:18" s="799" customFormat="1">
      <c r="B26" s="2489"/>
      <c r="C26" s="2489"/>
      <c r="D26" s="2489"/>
      <c r="H26" s="2489"/>
      <c r="I26" s="2490"/>
      <c r="J26" s="2489"/>
      <c r="K26" s="2489"/>
      <c r="L26" s="2490"/>
      <c r="M26" s="2489"/>
      <c r="N26" s="2489"/>
      <c r="O26" s="2490"/>
      <c r="P26" s="2489"/>
      <c r="Q26" s="2489"/>
      <c r="R26" s="2491"/>
    </row>
    <row r="27" spans="1:18" s="799" customFormat="1">
      <c r="B27" s="2489"/>
      <c r="C27" s="2489"/>
      <c r="D27" s="2489"/>
      <c r="H27" s="2489"/>
      <c r="I27" s="2490"/>
      <c r="J27" s="2489"/>
      <c r="K27" s="2489"/>
      <c r="L27" s="2490"/>
      <c r="M27" s="2489"/>
      <c r="N27" s="2489"/>
      <c r="O27" s="2490"/>
      <c r="P27" s="2489"/>
      <c r="Q27" s="2489"/>
      <c r="R27" s="2491"/>
    </row>
    <row r="28" spans="1:18" s="799" customFormat="1">
      <c r="B28" s="2489"/>
      <c r="C28" s="2489"/>
      <c r="D28" s="2489"/>
      <c r="H28" s="2489"/>
      <c r="I28" s="2490"/>
      <c r="J28" s="2489"/>
      <c r="K28" s="2489"/>
      <c r="L28" s="2490"/>
      <c r="M28" s="2489"/>
      <c r="N28" s="2489"/>
      <c r="O28" s="2490"/>
      <c r="P28" s="2489"/>
      <c r="Q28" s="2489"/>
      <c r="R28" s="2491"/>
    </row>
    <row r="29" spans="1:18" s="799" customFormat="1">
      <c r="B29" s="2489"/>
      <c r="C29" s="2489"/>
      <c r="D29" s="2489"/>
      <c r="H29" s="2489"/>
      <c r="I29" s="2490"/>
      <c r="J29" s="2489"/>
      <c r="K29" s="2489"/>
      <c r="L29" s="2490"/>
      <c r="M29" s="2489"/>
      <c r="N29" s="2489"/>
      <c r="O29" s="2490"/>
      <c r="P29" s="2489"/>
      <c r="Q29" s="2489"/>
      <c r="R29" s="2491"/>
    </row>
    <row r="30" spans="1:18" s="799" customFormat="1">
      <c r="B30" s="2489"/>
      <c r="C30" s="2489"/>
      <c r="D30" s="2489"/>
      <c r="H30" s="2489"/>
      <c r="I30" s="2490"/>
      <c r="J30" s="2489"/>
      <c r="K30" s="2489"/>
      <c r="L30" s="2490"/>
      <c r="M30" s="2489"/>
      <c r="N30" s="2489"/>
      <c r="O30" s="2490"/>
      <c r="P30" s="2489"/>
      <c r="Q30" s="2489"/>
      <c r="R30" s="2491"/>
    </row>
    <row r="31" spans="1:18" s="799" customFormat="1">
      <c r="B31" s="2489"/>
      <c r="C31" s="2489"/>
      <c r="D31" s="2489"/>
      <c r="H31" s="2489"/>
      <c r="I31" s="2490"/>
      <c r="J31" s="2489"/>
      <c r="K31" s="2489"/>
      <c r="L31" s="2490"/>
      <c r="M31" s="2489"/>
      <c r="N31" s="2489"/>
      <c r="O31" s="2490"/>
      <c r="P31" s="2489"/>
      <c r="Q31" s="2489"/>
      <c r="R31" s="2491"/>
    </row>
    <row r="32" spans="1:18" s="799" customFormat="1">
      <c r="B32" s="2489"/>
      <c r="C32" s="2489"/>
      <c r="D32" s="2489"/>
      <c r="H32" s="2489"/>
      <c r="I32" s="2490"/>
      <c r="J32" s="2489"/>
      <c r="K32" s="2489"/>
      <c r="L32" s="2490"/>
      <c r="M32" s="2489"/>
      <c r="N32" s="2489"/>
      <c r="O32" s="2490"/>
      <c r="P32" s="2489"/>
      <c r="Q32" s="2489"/>
      <c r="R32" s="2491"/>
    </row>
    <row r="33" spans="2:18" s="799" customFormat="1">
      <c r="B33" s="2489"/>
      <c r="C33" s="2489"/>
      <c r="D33" s="2489"/>
      <c r="H33" s="2489"/>
      <c r="I33" s="2490"/>
      <c r="J33" s="2489"/>
      <c r="K33" s="2489"/>
      <c r="L33" s="2490"/>
      <c r="M33" s="2489"/>
      <c r="N33" s="2489"/>
      <c r="O33" s="2490"/>
      <c r="P33" s="2489"/>
      <c r="Q33" s="2489"/>
      <c r="R33" s="2491"/>
    </row>
    <row r="34" spans="2:18" s="799" customFormat="1">
      <c r="B34" s="2489"/>
      <c r="C34" s="2489"/>
      <c r="D34" s="2489"/>
      <c r="H34" s="2489"/>
      <c r="I34" s="2490"/>
      <c r="J34" s="2489"/>
      <c r="K34" s="2489"/>
      <c r="L34" s="2490"/>
      <c r="M34" s="2489"/>
      <c r="N34" s="2489"/>
      <c r="O34" s="2490"/>
      <c r="P34" s="2489"/>
      <c r="Q34" s="2489"/>
      <c r="R34" s="2491"/>
    </row>
    <row r="35" spans="2:18" s="799" customFormat="1">
      <c r="B35" s="2489"/>
      <c r="C35" s="2489"/>
      <c r="D35" s="2489"/>
      <c r="H35" s="2489"/>
      <c r="I35" s="2490"/>
      <c r="J35" s="2489"/>
      <c r="K35" s="2489"/>
      <c r="L35" s="2490"/>
      <c r="M35" s="2489"/>
      <c r="N35" s="2489"/>
      <c r="O35" s="2490"/>
      <c r="P35" s="2489"/>
      <c r="Q35" s="2489"/>
      <c r="R35" s="2491"/>
    </row>
    <row r="36" spans="2:18" s="799" customFormat="1">
      <c r="B36" s="2489"/>
      <c r="C36" s="2489"/>
      <c r="D36" s="2489"/>
      <c r="H36" s="2489"/>
      <c r="I36" s="2490"/>
      <c r="J36" s="2489"/>
      <c r="K36" s="2489"/>
      <c r="L36" s="2490"/>
      <c r="M36" s="2489"/>
      <c r="N36" s="2489"/>
      <c r="O36" s="2490"/>
      <c r="P36" s="2489"/>
      <c r="Q36" s="2489"/>
      <c r="R36" s="2491"/>
    </row>
    <row r="37" spans="2:18" s="799" customFormat="1">
      <c r="B37" s="2489"/>
      <c r="C37" s="2489"/>
      <c r="D37" s="2489"/>
      <c r="H37" s="2489"/>
      <c r="I37" s="2490"/>
      <c r="J37" s="2489"/>
      <c r="K37" s="2489"/>
      <c r="L37" s="2490"/>
      <c r="M37" s="2489"/>
      <c r="N37" s="2489"/>
      <c r="O37" s="2490"/>
      <c r="P37" s="2489"/>
      <c r="Q37" s="2489"/>
      <c r="R37" s="2491"/>
    </row>
    <row r="38" spans="2:18" s="799" customFormat="1">
      <c r="B38" s="2489"/>
      <c r="C38" s="2489"/>
      <c r="D38" s="2489"/>
      <c r="E38" s="2489"/>
      <c r="F38" s="2489"/>
      <c r="G38" s="2490"/>
      <c r="H38" s="2489"/>
      <c r="I38" s="2490"/>
      <c r="J38" s="2489"/>
      <c r="K38" s="2489"/>
      <c r="L38" s="2490"/>
      <c r="M38" s="2489"/>
      <c r="N38" s="2489"/>
      <c r="O38" s="2490"/>
      <c r="P38" s="2489"/>
      <c r="Q38" s="2489"/>
      <c r="R38" s="2491"/>
    </row>
    <row r="39" spans="2:18" s="799" customFormat="1">
      <c r="B39" s="2489"/>
      <c r="C39" s="2489"/>
      <c r="D39" s="2489"/>
      <c r="E39" s="2489"/>
      <c r="F39" s="2489"/>
      <c r="G39" s="2490"/>
      <c r="H39" s="2489"/>
      <c r="I39" s="2490"/>
      <c r="J39" s="2489"/>
      <c r="K39" s="2489"/>
      <c r="L39" s="2490"/>
      <c r="M39" s="2489"/>
      <c r="N39" s="2489"/>
      <c r="O39" s="2490"/>
      <c r="P39" s="2489"/>
      <c r="Q39" s="2489"/>
      <c r="R39" s="2491"/>
    </row>
    <row r="40" spans="2:18" s="799" customFormat="1">
      <c r="B40" s="2489"/>
      <c r="C40" s="2489"/>
      <c r="D40" s="2489"/>
      <c r="E40" s="2489"/>
      <c r="F40" s="2489"/>
      <c r="G40" s="2490"/>
      <c r="H40" s="2489"/>
      <c r="I40" s="2490"/>
      <c r="J40" s="2489"/>
      <c r="K40" s="2489"/>
      <c r="L40" s="2490"/>
      <c r="M40" s="2489"/>
      <c r="N40" s="2489"/>
      <c r="O40" s="2490"/>
      <c r="P40" s="2489"/>
      <c r="Q40" s="2489"/>
      <c r="R40" s="2491"/>
    </row>
    <row r="41" spans="2:18" s="799" customFormat="1">
      <c r="B41" s="2489"/>
      <c r="C41" s="2489"/>
      <c r="D41" s="2489"/>
      <c r="E41" s="2489"/>
      <c r="F41" s="2489"/>
      <c r="G41" s="2490"/>
      <c r="H41" s="2489"/>
      <c r="I41" s="2490"/>
      <c r="J41" s="2489"/>
      <c r="K41" s="2489"/>
      <c r="L41" s="2490"/>
      <c r="M41" s="2489"/>
      <c r="N41" s="2489"/>
      <c r="O41" s="2490"/>
      <c r="P41" s="2489"/>
      <c r="Q41" s="2489"/>
      <c r="R41" s="2491"/>
    </row>
    <row r="42" spans="2:18" s="799" customFormat="1">
      <c r="B42" s="2489"/>
      <c r="C42" s="2489"/>
      <c r="D42" s="2489"/>
      <c r="E42" s="2489"/>
      <c r="F42" s="2489"/>
      <c r="G42" s="2490"/>
      <c r="H42" s="2489"/>
      <c r="I42" s="2490"/>
      <c r="J42" s="2489"/>
      <c r="K42" s="2489"/>
      <c r="L42" s="2490"/>
      <c r="M42" s="2489"/>
      <c r="N42" s="2489"/>
      <c r="O42" s="2490"/>
      <c r="P42" s="2489"/>
      <c r="Q42" s="2489"/>
      <c r="R42" s="2491"/>
    </row>
    <row r="43" spans="2:18" s="799" customFormat="1">
      <c r="B43" s="2489"/>
      <c r="C43" s="2489"/>
      <c r="D43" s="2489"/>
      <c r="E43" s="2489"/>
      <c r="F43" s="2489"/>
      <c r="G43" s="2490"/>
      <c r="H43" s="2489"/>
      <c r="I43" s="2490"/>
      <c r="J43" s="2489"/>
      <c r="K43" s="2489"/>
      <c r="L43" s="2490"/>
      <c r="M43" s="2489"/>
      <c r="N43" s="2489"/>
      <c r="O43" s="2490"/>
      <c r="P43" s="2489"/>
      <c r="Q43" s="2489"/>
      <c r="R43" s="2491"/>
    </row>
    <row r="44" spans="2:18" s="799" customFormat="1">
      <c r="B44" s="2489"/>
      <c r="C44" s="2489"/>
      <c r="D44" s="2489"/>
      <c r="E44" s="2489"/>
      <c r="F44" s="2489"/>
      <c r="G44" s="2490"/>
      <c r="H44" s="2489"/>
      <c r="I44" s="2490"/>
      <c r="J44" s="2489"/>
      <c r="K44" s="2489"/>
      <c r="L44" s="2490"/>
      <c r="M44" s="2489"/>
      <c r="N44" s="2489"/>
      <c r="O44" s="2490"/>
      <c r="P44" s="2489"/>
      <c r="Q44" s="2489"/>
      <c r="R44" s="2491"/>
    </row>
    <row r="45" spans="2:18" s="799" customFormat="1">
      <c r="B45" s="2489"/>
      <c r="C45" s="2489"/>
      <c r="D45" s="2489"/>
      <c r="E45" s="2489"/>
      <c r="F45" s="2489"/>
      <c r="G45" s="2490"/>
      <c r="H45" s="2489"/>
      <c r="I45" s="2490"/>
      <c r="J45" s="2489"/>
      <c r="K45" s="2489"/>
      <c r="L45" s="2490"/>
      <c r="M45" s="2489"/>
      <c r="N45" s="2489"/>
      <c r="O45" s="2490"/>
      <c r="P45" s="2489"/>
      <c r="Q45" s="2489"/>
      <c r="R45" s="2491"/>
    </row>
    <row r="46" spans="2:18" s="799" customFormat="1">
      <c r="B46" s="2489"/>
      <c r="C46" s="2489"/>
      <c r="D46" s="2489"/>
      <c r="E46" s="2489"/>
      <c r="F46" s="2489"/>
      <c r="G46" s="2490"/>
      <c r="H46" s="2489"/>
      <c r="I46" s="2490"/>
      <c r="J46" s="2489"/>
      <c r="K46" s="2489"/>
      <c r="L46" s="2490"/>
      <c r="M46" s="2489"/>
      <c r="N46" s="2489"/>
      <c r="O46" s="2490"/>
      <c r="P46" s="2489"/>
      <c r="Q46" s="2489"/>
      <c r="R46" s="2491"/>
    </row>
    <row r="47" spans="2:18" s="799" customFormat="1">
      <c r="B47" s="2489"/>
      <c r="C47" s="2489"/>
      <c r="D47" s="2489"/>
      <c r="E47" s="2489"/>
      <c r="F47" s="2489"/>
      <c r="G47" s="2490"/>
      <c r="H47" s="2489"/>
      <c r="I47" s="2490"/>
      <c r="J47" s="2489"/>
      <c r="K47" s="2489"/>
      <c r="L47" s="2490"/>
      <c r="M47" s="2489"/>
      <c r="N47" s="2489"/>
      <c r="O47" s="2490"/>
      <c r="P47" s="2489"/>
      <c r="Q47" s="2489"/>
      <c r="R47" s="2491"/>
    </row>
    <row r="48" spans="2:18" s="799" customFormat="1">
      <c r="B48" s="2489"/>
      <c r="C48" s="2489"/>
      <c r="D48" s="2489"/>
      <c r="E48" s="2489"/>
      <c r="F48" s="2489"/>
      <c r="G48" s="2490"/>
      <c r="H48" s="2489"/>
      <c r="I48" s="2490"/>
      <c r="J48" s="2489"/>
      <c r="K48" s="2489"/>
      <c r="L48" s="2490"/>
      <c r="M48" s="2489"/>
      <c r="N48" s="2489"/>
      <c r="O48" s="2490"/>
      <c r="P48" s="2489"/>
      <c r="Q48" s="2489"/>
      <c r="R48" s="2491"/>
    </row>
    <row r="49" spans="2:18" s="799" customFormat="1">
      <c r="B49" s="2489"/>
      <c r="C49" s="2489"/>
      <c r="D49" s="2489"/>
      <c r="E49" s="2489"/>
      <c r="F49" s="2489"/>
      <c r="G49" s="2490"/>
      <c r="H49" s="2489"/>
      <c r="I49" s="2490"/>
      <c r="J49" s="2489"/>
      <c r="K49" s="2489"/>
      <c r="L49" s="2490"/>
      <c r="M49" s="2489"/>
      <c r="N49" s="2489"/>
      <c r="O49" s="2490"/>
      <c r="P49" s="2489"/>
      <c r="Q49" s="2489"/>
      <c r="R49" s="2491"/>
    </row>
    <row r="50" spans="2:18" s="799" customFormat="1">
      <c r="B50" s="2489"/>
      <c r="C50" s="2489"/>
      <c r="D50" s="2489"/>
      <c r="E50" s="2489"/>
      <c r="F50" s="2489"/>
      <c r="G50" s="2490"/>
      <c r="H50" s="2489"/>
      <c r="I50" s="2490"/>
      <c r="J50" s="2489"/>
      <c r="K50" s="2489"/>
      <c r="L50" s="2490"/>
      <c r="M50" s="2489"/>
      <c r="N50" s="2489"/>
      <c r="O50" s="2490"/>
      <c r="P50" s="2489"/>
      <c r="Q50" s="2489"/>
      <c r="R50" s="2491"/>
    </row>
    <row r="51" spans="2:18" s="799" customFormat="1">
      <c r="B51" s="2489"/>
      <c r="C51" s="2489"/>
      <c r="D51" s="2489"/>
      <c r="E51" s="2489"/>
      <c r="F51" s="2489"/>
      <c r="G51" s="2490"/>
      <c r="H51" s="2489"/>
      <c r="I51" s="2490"/>
      <c r="J51" s="2489"/>
      <c r="K51" s="2489"/>
      <c r="L51" s="2490"/>
      <c r="M51" s="2489"/>
      <c r="N51" s="2489"/>
      <c r="O51" s="2490"/>
      <c r="P51" s="2489"/>
      <c r="Q51" s="2489"/>
      <c r="R51" s="2491"/>
    </row>
    <row r="52" spans="2:18" s="799" customFormat="1">
      <c r="B52" s="2489"/>
      <c r="C52" s="2489"/>
      <c r="D52" s="2489"/>
      <c r="E52" s="2489"/>
      <c r="F52" s="2489"/>
      <c r="G52" s="2490"/>
      <c r="H52" s="2489"/>
      <c r="I52" s="2490"/>
      <c r="J52" s="2489"/>
      <c r="K52" s="2489"/>
      <c r="L52" s="2490"/>
      <c r="M52" s="2489"/>
      <c r="N52" s="2489"/>
      <c r="O52" s="2490"/>
      <c r="P52" s="2489"/>
      <c r="Q52" s="2489"/>
      <c r="R52" s="2491"/>
    </row>
    <row r="53" spans="2:18" s="799" customFormat="1">
      <c r="B53" s="2489"/>
      <c r="C53" s="2489"/>
      <c r="D53" s="2489"/>
      <c r="E53" s="2489"/>
      <c r="F53" s="2489"/>
      <c r="G53" s="2490"/>
      <c r="H53" s="2489"/>
      <c r="I53" s="2490"/>
      <c r="J53" s="2489"/>
      <c r="K53" s="2489"/>
      <c r="L53" s="2490"/>
      <c r="M53" s="2489"/>
      <c r="N53" s="2489"/>
      <c r="O53" s="2490"/>
      <c r="P53" s="2489"/>
      <c r="Q53" s="2489"/>
      <c r="R53" s="2491"/>
    </row>
    <row r="54" spans="2:18" s="799" customFormat="1">
      <c r="B54" s="2489"/>
      <c r="C54" s="2489"/>
      <c r="D54" s="2489"/>
      <c r="E54" s="2489"/>
      <c r="F54" s="2489"/>
      <c r="G54" s="2490"/>
      <c r="H54" s="2489"/>
      <c r="I54" s="2490"/>
      <c r="J54" s="2489"/>
      <c r="K54" s="2489"/>
      <c r="L54" s="2490"/>
      <c r="M54" s="2489"/>
      <c r="N54" s="2489"/>
      <c r="O54" s="2490"/>
      <c r="P54" s="2489"/>
      <c r="Q54" s="2489"/>
      <c r="R54" s="2491"/>
    </row>
    <row r="55" spans="2:18" s="799" customFormat="1">
      <c r="B55" s="2489"/>
      <c r="C55" s="2489"/>
      <c r="D55" s="2489"/>
      <c r="E55" s="2489"/>
      <c r="F55" s="2489"/>
      <c r="G55" s="2490"/>
      <c r="H55" s="2489"/>
      <c r="I55" s="2490"/>
      <c r="J55" s="2489"/>
      <c r="K55" s="2489"/>
      <c r="L55" s="2490"/>
      <c r="M55" s="2489"/>
      <c r="N55" s="2489"/>
      <c r="O55" s="2490"/>
      <c r="P55" s="2489"/>
      <c r="Q55" s="2489"/>
      <c r="R55" s="2491"/>
    </row>
    <row r="56" spans="2:18" s="799" customFormat="1">
      <c r="B56" s="2489"/>
      <c r="C56" s="2489"/>
      <c r="D56" s="2489"/>
      <c r="E56" s="2489"/>
      <c r="F56" s="2489"/>
      <c r="G56" s="2490"/>
      <c r="H56" s="2489"/>
      <c r="I56" s="2490"/>
      <c r="J56" s="2489"/>
      <c r="K56" s="2489"/>
      <c r="L56" s="2490"/>
      <c r="M56" s="2489"/>
      <c r="N56" s="2489"/>
      <c r="O56" s="2490"/>
      <c r="P56" s="2489"/>
      <c r="Q56" s="2489"/>
      <c r="R56" s="2491"/>
    </row>
    <row r="57" spans="2:18" s="799" customFormat="1">
      <c r="B57" s="2489"/>
      <c r="C57" s="2489"/>
      <c r="D57" s="2489"/>
      <c r="E57" s="2489"/>
      <c r="F57" s="2489"/>
      <c r="G57" s="2490"/>
      <c r="H57" s="2489"/>
      <c r="I57" s="2490"/>
      <c r="J57" s="2489"/>
      <c r="K57" s="2489"/>
      <c r="L57" s="2490"/>
      <c r="M57" s="2489"/>
      <c r="N57" s="2489"/>
      <c r="O57" s="2490"/>
      <c r="P57" s="2489"/>
      <c r="Q57" s="2489"/>
      <c r="R57" s="2491"/>
    </row>
    <row r="58" spans="2:18" s="799" customFormat="1">
      <c r="B58" s="2489"/>
      <c r="C58" s="2489"/>
      <c r="D58" s="2489"/>
      <c r="E58" s="2489"/>
      <c r="F58" s="2489"/>
      <c r="G58" s="2490"/>
      <c r="H58" s="2489"/>
      <c r="I58" s="2490"/>
      <c r="J58" s="2489"/>
      <c r="K58" s="2489"/>
      <c r="L58" s="2490"/>
      <c r="M58" s="2489"/>
      <c r="N58" s="2489"/>
      <c r="O58" s="2490"/>
      <c r="P58" s="2489"/>
      <c r="Q58" s="2489"/>
      <c r="R58" s="2491"/>
    </row>
    <row r="59" spans="2:18" s="799" customFormat="1">
      <c r="B59" s="2489"/>
      <c r="C59" s="2489"/>
      <c r="D59" s="2489"/>
      <c r="E59" s="2489"/>
      <c r="F59" s="2489"/>
      <c r="G59" s="2490"/>
      <c r="H59" s="2489"/>
      <c r="I59" s="2490"/>
      <c r="J59" s="2489"/>
      <c r="K59" s="2489"/>
      <c r="L59" s="2490"/>
      <c r="M59" s="2489"/>
      <c r="N59" s="2489"/>
      <c r="O59" s="2490"/>
      <c r="P59" s="2489"/>
      <c r="Q59" s="2489"/>
      <c r="R59" s="2491"/>
    </row>
    <row r="60" spans="2:18" s="799" customFormat="1">
      <c r="B60" s="2489"/>
      <c r="C60" s="2489"/>
      <c r="D60" s="2489"/>
      <c r="E60" s="2489"/>
      <c r="F60" s="2489"/>
      <c r="G60" s="2490"/>
      <c r="H60" s="2489"/>
      <c r="I60" s="2490"/>
      <c r="J60" s="2489"/>
      <c r="K60" s="2489"/>
      <c r="L60" s="2490"/>
      <c r="M60" s="2489"/>
      <c r="N60" s="2489"/>
      <c r="O60" s="2490"/>
      <c r="P60" s="2489"/>
      <c r="Q60" s="2489"/>
      <c r="R60" s="2491"/>
    </row>
    <row r="61" spans="2:18" s="799" customFormat="1">
      <c r="B61" s="2489"/>
      <c r="C61" s="2489"/>
      <c r="D61" s="2489"/>
      <c r="E61" s="2489"/>
      <c r="F61" s="2489"/>
      <c r="G61" s="2490"/>
      <c r="H61" s="2489"/>
      <c r="I61" s="2490"/>
      <c r="J61" s="2489"/>
      <c r="K61" s="2489"/>
      <c r="L61" s="2490"/>
      <c r="M61" s="2489"/>
      <c r="N61" s="2489"/>
      <c r="O61" s="2490"/>
      <c r="P61" s="2489"/>
      <c r="Q61" s="2489"/>
      <c r="R61" s="2491"/>
    </row>
    <row r="62" spans="2:18" s="799" customFormat="1">
      <c r="B62" s="2489"/>
      <c r="C62" s="2489"/>
      <c r="D62" s="2489"/>
      <c r="E62" s="2489"/>
      <c r="F62" s="2489"/>
      <c r="G62" s="2490"/>
      <c r="H62" s="2489"/>
      <c r="I62" s="2490"/>
      <c r="J62" s="2489"/>
      <c r="K62" s="2489"/>
      <c r="L62" s="2490"/>
      <c r="M62" s="2489"/>
      <c r="N62" s="2489"/>
      <c r="O62" s="2490"/>
      <c r="P62" s="2489"/>
      <c r="Q62" s="2489"/>
      <c r="R62" s="2491"/>
    </row>
    <row r="63" spans="2:18" s="799" customFormat="1">
      <c r="B63" s="2489"/>
      <c r="C63" s="2489"/>
      <c r="D63" s="2489"/>
      <c r="E63" s="2489"/>
      <c r="F63" s="2489"/>
      <c r="G63" s="2490"/>
      <c r="H63" s="2489"/>
      <c r="I63" s="2490"/>
      <c r="J63" s="2489"/>
      <c r="K63" s="2489"/>
      <c r="L63" s="2490"/>
      <c r="M63" s="2489"/>
      <c r="N63" s="2489"/>
      <c r="O63" s="2490"/>
      <c r="P63" s="2489"/>
      <c r="Q63" s="2489"/>
      <c r="R63" s="2491"/>
    </row>
    <row r="64" spans="2:18" s="799" customFormat="1">
      <c r="B64" s="2489"/>
      <c r="C64" s="2489"/>
      <c r="D64" s="2489"/>
      <c r="E64" s="2489"/>
      <c r="F64" s="2489"/>
      <c r="G64" s="2490"/>
      <c r="H64" s="2489"/>
      <c r="I64" s="2490"/>
      <c r="J64" s="2489"/>
      <c r="K64" s="2489"/>
      <c r="L64" s="2490"/>
      <c r="M64" s="2489"/>
      <c r="N64" s="2489"/>
      <c r="O64" s="2490"/>
      <c r="P64" s="2489"/>
      <c r="Q64" s="2489"/>
      <c r="R64" s="2491"/>
    </row>
    <row r="65" spans="2:18" s="799" customFormat="1">
      <c r="B65" s="2489"/>
      <c r="C65" s="2489"/>
      <c r="D65" s="2489"/>
      <c r="E65" s="2489"/>
      <c r="F65" s="2489"/>
      <c r="G65" s="2490"/>
      <c r="H65" s="2489"/>
      <c r="I65" s="2490"/>
      <c r="J65" s="2489"/>
      <c r="K65" s="2489"/>
      <c r="L65" s="2490"/>
      <c r="M65" s="2489"/>
      <c r="N65" s="2489"/>
      <c r="O65" s="2490"/>
      <c r="P65" s="2489"/>
      <c r="Q65" s="2489"/>
      <c r="R65" s="2491"/>
    </row>
    <row r="66" spans="2:18" s="799" customFormat="1">
      <c r="B66" s="2489"/>
      <c r="C66" s="2489"/>
      <c r="D66" s="2489"/>
      <c r="E66" s="2489"/>
      <c r="F66" s="2489"/>
      <c r="G66" s="2490"/>
      <c r="H66" s="2489"/>
      <c r="I66" s="2490"/>
      <c r="J66" s="2489"/>
      <c r="K66" s="2489"/>
      <c r="L66" s="2490"/>
      <c r="M66" s="2489"/>
      <c r="N66" s="2489"/>
      <c r="O66" s="2490"/>
      <c r="P66" s="2489"/>
      <c r="Q66" s="2489"/>
      <c r="R66" s="2491"/>
    </row>
    <row r="67" spans="2:18" s="799" customFormat="1">
      <c r="B67" s="2489"/>
      <c r="C67" s="2489"/>
      <c r="D67" s="2489"/>
      <c r="E67" s="2489"/>
      <c r="F67" s="2489"/>
      <c r="G67" s="2490"/>
      <c r="H67" s="2489"/>
      <c r="I67" s="2490"/>
      <c r="J67" s="2489"/>
      <c r="K67" s="2489"/>
      <c r="L67" s="2490"/>
      <c r="M67" s="2489"/>
      <c r="N67" s="2489"/>
      <c r="O67" s="2490"/>
      <c r="P67" s="2489"/>
      <c r="Q67" s="2489"/>
      <c r="R67" s="2491"/>
    </row>
    <row r="68" spans="2:18" s="799" customFormat="1">
      <c r="B68" s="2489"/>
      <c r="C68" s="2489"/>
      <c r="D68" s="2489"/>
      <c r="E68" s="2489"/>
      <c r="F68" s="2489"/>
      <c r="G68" s="2490"/>
      <c r="H68" s="2489"/>
      <c r="I68" s="2490"/>
      <c r="J68" s="2489"/>
      <c r="K68" s="2489"/>
      <c r="L68" s="2490"/>
      <c r="M68" s="2489"/>
      <c r="N68" s="2489"/>
      <c r="O68" s="2490"/>
      <c r="P68" s="2489"/>
      <c r="Q68" s="2489"/>
      <c r="R68" s="2491"/>
    </row>
    <row r="69" spans="2:18" s="799" customFormat="1">
      <c r="B69" s="2489"/>
      <c r="C69" s="2489"/>
      <c r="D69" s="2489"/>
      <c r="E69" s="2489"/>
      <c r="F69" s="2489"/>
      <c r="G69" s="2490"/>
      <c r="H69" s="2489"/>
      <c r="I69" s="2490"/>
      <c r="J69" s="2489"/>
      <c r="K69" s="2489"/>
      <c r="L69" s="2490"/>
      <c r="M69" s="2489"/>
      <c r="N69" s="2489"/>
      <c r="O69" s="2490"/>
      <c r="P69" s="2489"/>
      <c r="Q69" s="2489"/>
      <c r="R69" s="2491"/>
    </row>
    <row r="70" spans="2:18" s="799" customFormat="1">
      <c r="B70" s="2489"/>
      <c r="C70" s="2489"/>
      <c r="D70" s="2489"/>
      <c r="E70" s="2489"/>
      <c r="F70" s="2489"/>
      <c r="G70" s="2490"/>
      <c r="H70" s="2489"/>
      <c r="I70" s="2490"/>
      <c r="J70" s="2489"/>
      <c r="K70" s="2489"/>
      <c r="L70" s="2490"/>
      <c r="M70" s="2489"/>
      <c r="N70" s="2489"/>
      <c r="O70" s="2490"/>
      <c r="P70" s="2489"/>
      <c r="Q70" s="2489"/>
      <c r="R70" s="2491"/>
    </row>
    <row r="71" spans="2:18" s="799" customFormat="1">
      <c r="B71" s="2489"/>
      <c r="C71" s="2489"/>
      <c r="D71" s="2489"/>
      <c r="E71" s="2489"/>
      <c r="F71" s="2489"/>
      <c r="G71" s="2490"/>
      <c r="H71" s="2489"/>
      <c r="I71" s="2490"/>
      <c r="J71" s="2489"/>
      <c r="K71" s="2489"/>
      <c r="L71" s="2490"/>
      <c r="M71" s="2489"/>
      <c r="N71" s="2489"/>
      <c r="O71" s="2490"/>
      <c r="P71" s="2489"/>
      <c r="Q71" s="2489"/>
      <c r="R71" s="2491"/>
    </row>
    <row r="72" spans="2:18" s="799" customFormat="1">
      <c r="B72" s="2489"/>
      <c r="C72" s="2489"/>
      <c r="D72" s="2489"/>
      <c r="E72" s="2489"/>
      <c r="F72" s="2489"/>
      <c r="G72" s="2490"/>
      <c r="H72" s="2489"/>
      <c r="I72" s="2490"/>
      <c r="J72" s="2489"/>
      <c r="K72" s="2489"/>
      <c r="L72" s="2490"/>
      <c r="M72" s="2489"/>
      <c r="N72" s="2489"/>
      <c r="O72" s="2490"/>
      <c r="P72" s="2489"/>
      <c r="Q72" s="2489"/>
      <c r="R72" s="2491"/>
    </row>
    <row r="73" spans="2:18" s="799" customFormat="1">
      <c r="B73" s="2489"/>
      <c r="C73" s="2489"/>
      <c r="D73" s="2489"/>
      <c r="E73" s="2489"/>
      <c r="F73" s="2489"/>
      <c r="G73" s="2490"/>
      <c r="H73" s="2489"/>
      <c r="I73" s="2490"/>
      <c r="J73" s="2489"/>
      <c r="K73" s="2489"/>
      <c r="L73" s="2490"/>
      <c r="M73" s="2489"/>
      <c r="N73" s="2489"/>
      <c r="O73" s="2490"/>
      <c r="P73" s="2489"/>
      <c r="Q73" s="2489"/>
      <c r="R73" s="2491"/>
    </row>
    <row r="74" spans="2:18" s="799" customFormat="1">
      <c r="B74" s="2489"/>
      <c r="C74" s="2489"/>
      <c r="D74" s="2489"/>
      <c r="E74" s="2489"/>
      <c r="F74" s="2489"/>
      <c r="G74" s="2490"/>
      <c r="H74" s="2489"/>
      <c r="I74" s="2490"/>
      <c r="J74" s="2489"/>
      <c r="K74" s="2489"/>
      <c r="L74" s="2490"/>
      <c r="M74" s="2489"/>
      <c r="N74" s="2489"/>
      <c r="O74" s="2490"/>
      <c r="P74" s="2489"/>
      <c r="Q74" s="2489"/>
      <c r="R74" s="2491"/>
    </row>
    <row r="75" spans="2:18" s="799" customFormat="1">
      <c r="B75" s="2489"/>
      <c r="C75" s="2489"/>
      <c r="D75" s="2489"/>
      <c r="E75" s="2489"/>
      <c r="F75" s="2489"/>
      <c r="G75" s="2490"/>
      <c r="H75" s="2489"/>
      <c r="I75" s="2490"/>
      <c r="J75" s="2489"/>
      <c r="K75" s="2489"/>
      <c r="L75" s="2490"/>
      <c r="M75" s="2489"/>
      <c r="N75" s="2489"/>
      <c r="O75" s="2490"/>
      <c r="P75" s="2489"/>
      <c r="Q75" s="2489"/>
      <c r="R75" s="2491"/>
    </row>
    <row r="76" spans="2:18" s="799" customFormat="1">
      <c r="B76" s="2489"/>
      <c r="C76" s="2489"/>
      <c r="D76" s="2489"/>
      <c r="E76" s="2489"/>
      <c r="F76" s="2489"/>
      <c r="G76" s="2490"/>
      <c r="H76" s="2489"/>
      <c r="I76" s="2490"/>
      <c r="J76" s="2489"/>
      <c r="K76" s="2489"/>
      <c r="L76" s="2490"/>
      <c r="M76" s="2489"/>
      <c r="N76" s="2489"/>
      <c r="O76" s="2490"/>
      <c r="P76" s="2489"/>
      <c r="Q76" s="2489"/>
      <c r="R76" s="2491"/>
    </row>
    <row r="77" spans="2:18" s="799" customFormat="1">
      <c r="B77" s="2489"/>
      <c r="C77" s="2489"/>
      <c r="D77" s="2489"/>
      <c r="E77" s="2489"/>
      <c r="F77" s="2489"/>
      <c r="G77" s="2490"/>
      <c r="H77" s="2489"/>
      <c r="I77" s="2490"/>
      <c r="J77" s="2489"/>
      <c r="K77" s="2489"/>
      <c r="L77" s="2490"/>
      <c r="M77" s="2489"/>
      <c r="N77" s="2489"/>
      <c r="O77" s="2490"/>
      <c r="P77" s="2489"/>
      <c r="Q77" s="2489"/>
      <c r="R77" s="2491"/>
    </row>
    <row r="78" spans="2:18" s="799" customFormat="1">
      <c r="B78" s="2489"/>
      <c r="C78" s="2489"/>
      <c r="D78" s="2489"/>
      <c r="E78" s="2489"/>
      <c r="F78" s="2489"/>
      <c r="G78" s="2490"/>
      <c r="H78" s="2489"/>
      <c r="I78" s="2490"/>
      <c r="J78" s="2489"/>
      <c r="K78" s="2489"/>
      <c r="L78" s="2490"/>
      <c r="M78" s="2489"/>
      <c r="N78" s="2489"/>
      <c r="O78" s="2490"/>
      <c r="P78" s="2489"/>
      <c r="Q78" s="2489"/>
      <c r="R78" s="2491"/>
    </row>
    <row r="79" spans="2:18" s="799" customFormat="1">
      <c r="B79" s="2489"/>
      <c r="C79" s="2489"/>
      <c r="D79" s="2489"/>
      <c r="E79" s="2489"/>
      <c r="F79" s="2489"/>
      <c r="G79" s="2490"/>
      <c r="H79" s="2489"/>
      <c r="I79" s="2490"/>
      <c r="J79" s="2489"/>
      <c r="K79" s="2489"/>
      <c r="L79" s="2490"/>
      <c r="M79" s="2489"/>
      <c r="N79" s="2489"/>
      <c r="O79" s="2490"/>
      <c r="P79" s="2489"/>
      <c r="Q79" s="2489"/>
      <c r="R79" s="2491"/>
    </row>
    <row r="80" spans="2:18" s="799" customFormat="1">
      <c r="B80" s="2489"/>
      <c r="C80" s="2489"/>
      <c r="D80" s="2489"/>
      <c r="E80" s="2489"/>
      <c r="F80" s="2489"/>
      <c r="G80" s="2490"/>
      <c r="H80" s="2489"/>
      <c r="I80" s="2490"/>
      <c r="J80" s="2489"/>
      <c r="K80" s="2489"/>
      <c r="L80" s="2490"/>
      <c r="M80" s="2489"/>
      <c r="N80" s="2489"/>
      <c r="O80" s="2490"/>
      <c r="P80" s="2489"/>
      <c r="Q80" s="2489"/>
      <c r="R80" s="2491"/>
    </row>
    <row r="81" spans="2:18" s="799" customFormat="1">
      <c r="B81" s="2489"/>
      <c r="C81" s="2489"/>
      <c r="D81" s="2489"/>
      <c r="E81" s="2489"/>
      <c r="F81" s="2489"/>
      <c r="G81" s="2490"/>
      <c r="H81" s="2489"/>
      <c r="I81" s="2490"/>
      <c r="J81" s="2489"/>
      <c r="K81" s="2489"/>
      <c r="L81" s="2490"/>
      <c r="M81" s="2489"/>
      <c r="N81" s="2489"/>
      <c r="O81" s="2490"/>
      <c r="P81" s="2489"/>
      <c r="Q81" s="2489"/>
      <c r="R81" s="2491"/>
    </row>
    <row r="82" spans="2:18" s="799" customFormat="1">
      <c r="B82" s="2489"/>
      <c r="C82" s="2489"/>
      <c r="D82" s="2489"/>
      <c r="E82" s="2489"/>
      <c r="F82" s="2489"/>
      <c r="G82" s="2490"/>
      <c r="H82" s="2489"/>
      <c r="I82" s="2490"/>
      <c r="J82" s="2489"/>
      <c r="K82" s="2489"/>
      <c r="L82" s="2490"/>
      <c r="M82" s="2489"/>
      <c r="N82" s="2489"/>
      <c r="O82" s="2490"/>
      <c r="P82" s="2489"/>
      <c r="Q82" s="2489"/>
      <c r="R82" s="2491"/>
    </row>
    <row r="83" spans="2:18" s="799" customFormat="1">
      <c r="B83" s="2489"/>
      <c r="C83" s="2489"/>
      <c r="D83" s="2489"/>
      <c r="E83" s="2489"/>
      <c r="F83" s="2489"/>
      <c r="G83" s="2490"/>
      <c r="H83" s="2489"/>
      <c r="I83" s="2490"/>
      <c r="J83" s="2489"/>
      <c r="K83" s="2489"/>
      <c r="L83" s="2490"/>
      <c r="M83" s="2489"/>
      <c r="N83" s="2489"/>
      <c r="O83" s="2490"/>
      <c r="P83" s="2489"/>
      <c r="Q83" s="2489"/>
      <c r="R83" s="2491"/>
    </row>
    <row r="84" spans="2:18" s="799" customFormat="1">
      <c r="B84" s="2489"/>
      <c r="C84" s="2489"/>
      <c r="D84" s="2489"/>
      <c r="E84" s="2489"/>
      <c r="F84" s="2489"/>
      <c r="G84" s="2490"/>
      <c r="H84" s="2489"/>
      <c r="I84" s="2490"/>
      <c r="J84" s="2489"/>
      <c r="K84" s="2489"/>
      <c r="L84" s="2490"/>
      <c r="M84" s="2489"/>
      <c r="N84" s="2489"/>
      <c r="O84" s="2490"/>
      <c r="P84" s="2489"/>
      <c r="Q84" s="2489"/>
      <c r="R84" s="2491"/>
    </row>
    <row r="85" spans="2:18" s="799" customFormat="1">
      <c r="B85" s="2489"/>
      <c r="C85" s="2489"/>
      <c r="D85" s="2489"/>
      <c r="E85" s="2489"/>
      <c r="F85" s="2489"/>
      <c r="G85" s="2490"/>
      <c r="H85" s="2489"/>
      <c r="I85" s="2490"/>
      <c r="J85" s="2489"/>
      <c r="K85" s="2489"/>
      <c r="L85" s="2490"/>
      <c r="M85" s="2489"/>
      <c r="N85" s="2489"/>
      <c r="O85" s="2490"/>
      <c r="P85" s="2489"/>
      <c r="Q85" s="2489"/>
      <c r="R85" s="2491"/>
    </row>
    <row r="86" spans="2:18" s="799" customFormat="1">
      <c r="B86" s="2489"/>
      <c r="C86" s="2489"/>
      <c r="D86" s="2489"/>
      <c r="E86" s="2489"/>
      <c r="F86" s="2489"/>
      <c r="G86" s="2490"/>
      <c r="H86" s="2489"/>
      <c r="I86" s="2490"/>
      <c r="J86" s="2489"/>
      <c r="K86" s="2489"/>
      <c r="L86" s="2490"/>
      <c r="M86" s="2489"/>
      <c r="N86" s="2489"/>
      <c r="O86" s="2490"/>
      <c r="P86" s="2489"/>
      <c r="Q86" s="2489"/>
      <c r="R86" s="2491"/>
    </row>
    <row r="87" spans="2:18" s="799" customFormat="1">
      <c r="B87" s="2489"/>
      <c r="C87" s="2489"/>
      <c r="D87" s="2489"/>
      <c r="E87" s="2489"/>
      <c r="F87" s="2489"/>
      <c r="G87" s="2490"/>
      <c r="H87" s="2489"/>
      <c r="I87" s="2490"/>
      <c r="J87" s="2489"/>
      <c r="K87" s="2489"/>
      <c r="L87" s="2490"/>
      <c r="M87" s="2489"/>
      <c r="N87" s="2489"/>
      <c r="O87" s="2490"/>
      <c r="P87" s="2489"/>
      <c r="Q87" s="2489"/>
      <c r="R87" s="2491"/>
    </row>
    <row r="88" spans="2:18" s="799" customFormat="1">
      <c r="B88" s="2489"/>
      <c r="C88" s="2489"/>
      <c r="D88" s="2489"/>
      <c r="E88" s="2489"/>
      <c r="F88" s="2489"/>
      <c r="G88" s="2490"/>
      <c r="H88" s="2489"/>
      <c r="I88" s="2490"/>
      <c r="J88" s="2489"/>
      <c r="K88" s="2489"/>
      <c r="L88" s="2490"/>
      <c r="M88" s="2489"/>
      <c r="N88" s="2489"/>
      <c r="O88" s="2490"/>
      <c r="P88" s="2489"/>
      <c r="Q88" s="2489"/>
      <c r="R88" s="2491"/>
    </row>
    <row r="89" spans="2:18" s="799" customFormat="1">
      <c r="B89" s="2489"/>
      <c r="C89" s="2489"/>
      <c r="D89" s="2489"/>
      <c r="E89" s="2489"/>
      <c r="F89" s="2489"/>
      <c r="G89" s="2490"/>
      <c r="H89" s="2489"/>
      <c r="I89" s="2490"/>
      <c r="J89" s="2489"/>
      <c r="K89" s="2489"/>
      <c r="L89" s="2490"/>
      <c r="M89" s="2489"/>
      <c r="N89" s="2489"/>
      <c r="O89" s="2490"/>
      <c r="P89" s="2489"/>
      <c r="Q89" s="2489"/>
      <c r="R89" s="2491"/>
    </row>
    <row r="90" spans="2:18" s="799" customFormat="1">
      <c r="B90" s="2489"/>
      <c r="C90" s="2489"/>
      <c r="D90" s="2489"/>
      <c r="E90" s="2489"/>
      <c r="F90" s="2489"/>
      <c r="G90" s="2490"/>
      <c r="H90" s="2489"/>
      <c r="I90" s="2490"/>
      <c r="J90" s="2489"/>
      <c r="K90" s="2489"/>
      <c r="L90" s="2490"/>
      <c r="M90" s="2489"/>
      <c r="N90" s="2489"/>
      <c r="O90" s="2490"/>
      <c r="P90" s="2489"/>
      <c r="Q90" s="2489"/>
      <c r="R90" s="2491"/>
    </row>
    <row r="91" spans="2:18" s="799" customFormat="1">
      <c r="B91" s="2489"/>
      <c r="C91" s="2489"/>
      <c r="D91" s="2489"/>
      <c r="E91" s="2489"/>
      <c r="F91" s="2489"/>
      <c r="G91" s="2490"/>
      <c r="H91" s="2489"/>
      <c r="I91" s="2490"/>
      <c r="J91" s="2489"/>
      <c r="K91" s="2489"/>
      <c r="L91" s="2490"/>
      <c r="M91" s="2489"/>
      <c r="N91" s="2489"/>
      <c r="O91" s="2490"/>
      <c r="P91" s="2489"/>
      <c r="Q91" s="2489"/>
      <c r="R91" s="2491"/>
    </row>
    <row r="92" spans="2:18" s="799" customFormat="1">
      <c r="B92" s="2489"/>
      <c r="C92" s="2489"/>
      <c r="D92" s="2489"/>
      <c r="E92" s="2489"/>
      <c r="F92" s="2489"/>
      <c r="G92" s="2490"/>
      <c r="H92" s="2489"/>
      <c r="I92" s="2490"/>
      <c r="J92" s="2489"/>
      <c r="K92" s="2489"/>
      <c r="L92" s="2490"/>
      <c r="M92" s="2489"/>
      <c r="N92" s="2489"/>
      <c r="O92" s="2490"/>
      <c r="P92" s="2489"/>
      <c r="Q92" s="2489"/>
      <c r="R92" s="2491"/>
    </row>
    <row r="93" spans="2:18" s="799" customFormat="1">
      <c r="B93" s="2489"/>
      <c r="C93" s="2489"/>
      <c r="D93" s="2489"/>
      <c r="E93" s="2489"/>
      <c r="F93" s="2489"/>
      <c r="G93" s="2490"/>
      <c r="H93" s="2489"/>
      <c r="I93" s="2490"/>
      <c r="J93" s="2489"/>
      <c r="K93" s="2489"/>
      <c r="L93" s="2490"/>
      <c r="M93" s="2489"/>
      <c r="N93" s="2489"/>
      <c r="O93" s="2490"/>
      <c r="P93" s="2489"/>
      <c r="Q93" s="2489"/>
      <c r="R93" s="2491"/>
    </row>
    <row r="94" spans="2:18" s="799" customFormat="1">
      <c r="B94" s="2489"/>
      <c r="C94" s="2489"/>
      <c r="D94" s="2489"/>
      <c r="E94" s="2489"/>
      <c r="F94" s="2489"/>
      <c r="G94" s="2490"/>
      <c r="H94" s="2489"/>
      <c r="I94" s="2490"/>
      <c r="J94" s="2489"/>
      <c r="K94" s="2489"/>
      <c r="L94" s="2490"/>
      <c r="M94" s="2489"/>
      <c r="N94" s="2489"/>
      <c r="O94" s="2490"/>
      <c r="P94" s="2489"/>
      <c r="Q94" s="2489"/>
      <c r="R94" s="2491"/>
    </row>
    <row r="95" spans="2:18" s="799" customFormat="1">
      <c r="B95" s="2489"/>
      <c r="C95" s="2489"/>
      <c r="D95" s="2489"/>
      <c r="E95" s="2489"/>
      <c r="F95" s="2489"/>
      <c r="G95" s="2490"/>
      <c r="H95" s="2489"/>
      <c r="I95" s="2490"/>
      <c r="J95" s="2489"/>
      <c r="K95" s="2489"/>
      <c r="L95" s="2490"/>
      <c r="M95" s="2489"/>
      <c r="N95" s="2489"/>
      <c r="O95" s="2490"/>
      <c r="P95" s="2489"/>
      <c r="Q95" s="2489"/>
      <c r="R95" s="2491"/>
    </row>
    <row r="96" spans="2:18" s="799" customFormat="1">
      <c r="B96" s="2489"/>
      <c r="C96" s="2489"/>
      <c r="D96" s="2489"/>
      <c r="E96" s="2489"/>
      <c r="F96" s="2489"/>
      <c r="G96" s="2490"/>
      <c r="H96" s="2489"/>
      <c r="I96" s="2490"/>
      <c r="J96" s="2489"/>
      <c r="K96" s="2489"/>
      <c r="L96" s="2490"/>
      <c r="M96" s="2489"/>
      <c r="N96" s="2489"/>
      <c r="O96" s="2490"/>
      <c r="P96" s="2489"/>
      <c r="Q96" s="2489"/>
      <c r="R96" s="2491"/>
    </row>
    <row r="97" spans="2:18" s="799" customFormat="1">
      <c r="B97" s="2489"/>
      <c r="C97" s="2489"/>
      <c r="D97" s="2489"/>
      <c r="E97" s="2489"/>
      <c r="F97" s="2489"/>
      <c r="G97" s="2490"/>
      <c r="H97" s="2489"/>
      <c r="I97" s="2490"/>
      <c r="J97" s="2489"/>
      <c r="K97" s="2489"/>
      <c r="L97" s="2490"/>
      <c r="M97" s="2489"/>
      <c r="N97" s="2489"/>
      <c r="O97" s="2490"/>
      <c r="P97" s="2489"/>
      <c r="Q97" s="2489"/>
      <c r="R97" s="2491"/>
    </row>
    <row r="98" spans="2:18" s="799" customFormat="1">
      <c r="B98" s="2489"/>
      <c r="C98" s="2489"/>
      <c r="D98" s="2489"/>
      <c r="E98" s="2489"/>
      <c r="F98" s="2489"/>
      <c r="G98" s="2490"/>
      <c r="H98" s="2489"/>
      <c r="I98" s="2490"/>
      <c r="J98" s="2489"/>
      <c r="K98" s="2489"/>
      <c r="L98" s="2490"/>
      <c r="M98" s="2489"/>
      <c r="N98" s="2489"/>
      <c r="O98" s="2490"/>
      <c r="P98" s="2489"/>
      <c r="Q98" s="2489"/>
      <c r="R98" s="2491"/>
    </row>
    <row r="99" spans="2:18" s="799" customFormat="1">
      <c r="B99" s="2489"/>
      <c r="C99" s="2489"/>
      <c r="D99" s="2489"/>
      <c r="E99" s="2489"/>
      <c r="F99" s="2489"/>
      <c r="G99" s="2490"/>
      <c r="H99" s="2489"/>
      <c r="I99" s="2490"/>
      <c r="J99" s="2489"/>
      <c r="K99" s="2489"/>
      <c r="L99" s="2490"/>
      <c r="M99" s="2489"/>
      <c r="N99" s="2489"/>
      <c r="O99" s="2490"/>
      <c r="P99" s="2489"/>
      <c r="Q99" s="2489"/>
      <c r="R99" s="2491"/>
    </row>
    <row r="100" spans="2:18" s="799" customFormat="1">
      <c r="B100" s="2489"/>
      <c r="C100" s="2489"/>
      <c r="D100" s="2489"/>
      <c r="E100" s="2489"/>
      <c r="F100" s="2489"/>
      <c r="G100" s="2490"/>
      <c r="H100" s="2489"/>
      <c r="I100" s="2490"/>
      <c r="J100" s="2489"/>
      <c r="K100" s="2489"/>
      <c r="L100" s="2490"/>
      <c r="M100" s="2489"/>
      <c r="N100" s="2489"/>
      <c r="O100" s="2490"/>
      <c r="P100" s="2489"/>
      <c r="Q100" s="2489"/>
      <c r="R100" s="2491"/>
    </row>
    <row r="101" spans="2:18" s="799" customFormat="1">
      <c r="B101" s="2489"/>
      <c r="C101" s="2489"/>
      <c r="D101" s="2489"/>
      <c r="E101" s="2489"/>
      <c r="F101" s="2489"/>
      <c r="G101" s="2490"/>
      <c r="H101" s="2489"/>
      <c r="I101" s="2490"/>
      <c r="J101" s="2489"/>
      <c r="K101" s="2489"/>
      <c r="L101" s="2490"/>
      <c r="M101" s="2489"/>
      <c r="N101" s="2489"/>
      <c r="O101" s="2490"/>
      <c r="P101" s="2489"/>
      <c r="Q101" s="2489"/>
      <c r="R101" s="2491"/>
    </row>
    <row r="102" spans="2:18" s="799" customFormat="1">
      <c r="B102" s="2489"/>
      <c r="C102" s="2489"/>
      <c r="D102" s="2489"/>
      <c r="E102" s="2489"/>
      <c r="F102" s="2489"/>
      <c r="G102" s="2490"/>
      <c r="H102" s="2489"/>
      <c r="I102" s="2490"/>
      <c r="J102" s="2489"/>
      <c r="K102" s="2489"/>
      <c r="L102" s="2490"/>
      <c r="M102" s="2489"/>
      <c r="N102" s="2489"/>
      <c r="O102" s="2490"/>
      <c r="P102" s="2489"/>
      <c r="Q102" s="2489"/>
      <c r="R102" s="2491"/>
    </row>
    <row r="103" spans="2:18" s="799" customFormat="1">
      <c r="B103" s="2489"/>
      <c r="C103" s="2489"/>
      <c r="D103" s="2489"/>
      <c r="E103" s="2489"/>
      <c r="F103" s="2489"/>
      <c r="G103" s="2490"/>
      <c r="H103" s="2489"/>
      <c r="I103" s="2490"/>
      <c r="J103" s="2489"/>
      <c r="K103" s="2489"/>
      <c r="L103" s="2490"/>
      <c r="M103" s="2489"/>
      <c r="N103" s="2489"/>
      <c r="O103" s="2490"/>
      <c r="P103" s="2489"/>
      <c r="Q103" s="2489"/>
      <c r="R103" s="2491"/>
    </row>
    <row r="104" spans="2:18" s="799" customFormat="1">
      <c r="B104" s="2489"/>
      <c r="C104" s="2489"/>
      <c r="D104" s="2489"/>
      <c r="E104" s="2489"/>
      <c r="F104" s="2489"/>
      <c r="G104" s="2490"/>
      <c r="H104" s="2489"/>
      <c r="I104" s="2490"/>
      <c r="J104" s="2489"/>
      <c r="K104" s="2489"/>
      <c r="L104" s="2490"/>
      <c r="M104" s="2489"/>
      <c r="N104" s="2489"/>
      <c r="O104" s="2490"/>
      <c r="P104" s="2489"/>
      <c r="Q104" s="2489"/>
      <c r="R104" s="2491"/>
    </row>
    <row r="105" spans="2:18" s="799" customFormat="1">
      <c r="B105" s="2489"/>
      <c r="C105" s="2489"/>
      <c r="D105" s="2489"/>
      <c r="E105" s="2489"/>
      <c r="F105" s="2489"/>
      <c r="G105" s="2490"/>
      <c r="H105" s="2489"/>
      <c r="I105" s="2490"/>
      <c r="J105" s="2489"/>
      <c r="K105" s="2489"/>
      <c r="L105" s="2490"/>
      <c r="M105" s="2489"/>
      <c r="N105" s="2489"/>
      <c r="O105" s="2490"/>
      <c r="P105" s="2489"/>
      <c r="Q105" s="2489"/>
      <c r="R105" s="2491"/>
    </row>
    <row r="106" spans="2:18" s="799" customFormat="1">
      <c r="B106" s="2489"/>
      <c r="C106" s="2489"/>
      <c r="D106" s="2489"/>
      <c r="E106" s="2489"/>
      <c r="F106" s="2489"/>
      <c r="G106" s="2490"/>
      <c r="H106" s="2489"/>
      <c r="I106" s="2490"/>
      <c r="J106" s="2489"/>
      <c r="K106" s="2489"/>
      <c r="L106" s="2490"/>
      <c r="M106" s="2489"/>
      <c r="N106" s="2489"/>
      <c r="O106" s="2490"/>
      <c r="P106" s="2489"/>
      <c r="Q106" s="2489"/>
      <c r="R106" s="2491"/>
    </row>
    <row r="107" spans="2:18" s="799" customFormat="1">
      <c r="B107" s="2489"/>
      <c r="C107" s="2489"/>
      <c r="D107" s="2489"/>
      <c r="E107" s="2489"/>
      <c r="F107" s="2489"/>
      <c r="G107" s="2490"/>
      <c r="H107" s="2489"/>
      <c r="I107" s="2490"/>
      <c r="J107" s="2489"/>
      <c r="K107" s="2489"/>
      <c r="L107" s="2490"/>
      <c r="M107" s="2489"/>
      <c r="N107" s="2489"/>
      <c r="O107" s="2490"/>
      <c r="P107" s="2489"/>
      <c r="Q107" s="2489"/>
      <c r="R107" s="2491"/>
    </row>
    <row r="108" spans="2:18" s="799" customFormat="1">
      <c r="B108" s="2489"/>
      <c r="C108" s="2489"/>
      <c r="D108" s="2489"/>
      <c r="E108" s="2489"/>
      <c r="F108" s="2489"/>
      <c r="G108" s="2490"/>
      <c r="H108" s="2489"/>
      <c r="I108" s="2490"/>
      <c r="J108" s="2489"/>
      <c r="K108" s="2489"/>
      <c r="L108" s="2490"/>
      <c r="M108" s="2489"/>
      <c r="N108" s="2489"/>
      <c r="O108" s="2490"/>
      <c r="P108" s="2489"/>
      <c r="Q108" s="2489"/>
      <c r="R108" s="2491"/>
    </row>
    <row r="109" spans="2:18" s="799" customFormat="1">
      <c r="B109" s="2489"/>
      <c r="C109" s="2489"/>
      <c r="D109" s="2489"/>
      <c r="E109" s="2489"/>
      <c r="F109" s="2489"/>
      <c r="G109" s="2490"/>
      <c r="H109" s="2489"/>
      <c r="I109" s="2490"/>
      <c r="J109" s="2489"/>
      <c r="K109" s="2489"/>
      <c r="L109" s="2490"/>
      <c r="M109" s="2489"/>
      <c r="N109" s="2489"/>
      <c r="O109" s="2490"/>
      <c r="P109" s="2489"/>
      <c r="Q109" s="2489"/>
      <c r="R109" s="2491"/>
    </row>
    <row r="110" spans="2:18" s="799" customFormat="1">
      <c r="B110" s="2489"/>
      <c r="C110" s="2489"/>
      <c r="D110" s="2489"/>
      <c r="E110" s="2489"/>
      <c r="F110" s="2489"/>
      <c r="G110" s="2490"/>
      <c r="H110" s="2489"/>
      <c r="I110" s="2490"/>
      <c r="J110" s="2489"/>
      <c r="K110" s="2489"/>
      <c r="L110" s="2490"/>
      <c r="M110" s="2489"/>
      <c r="N110" s="2489"/>
      <c r="O110" s="2490"/>
      <c r="P110" s="2489"/>
      <c r="Q110" s="2489"/>
      <c r="R110" s="2491"/>
    </row>
    <row r="111" spans="2:18" s="799" customFormat="1">
      <c r="B111" s="2489"/>
      <c r="C111" s="2489"/>
      <c r="D111" s="2489"/>
      <c r="E111" s="2489"/>
      <c r="F111" s="2489"/>
      <c r="G111" s="2490"/>
      <c r="H111" s="2489"/>
      <c r="I111" s="2490"/>
      <c r="J111" s="2489"/>
      <c r="K111" s="2489"/>
      <c r="L111" s="2490"/>
      <c r="M111" s="2489"/>
      <c r="N111" s="2489"/>
      <c r="O111" s="2490"/>
      <c r="P111" s="2489"/>
      <c r="Q111" s="2489"/>
      <c r="R111" s="2491"/>
    </row>
    <row r="112" spans="2:18" s="799" customFormat="1">
      <c r="B112" s="2489"/>
      <c r="C112" s="2489"/>
      <c r="D112" s="2489"/>
      <c r="E112" s="2489"/>
      <c r="F112" s="2489"/>
      <c r="G112" s="2490"/>
      <c r="H112" s="2489"/>
      <c r="I112" s="2490"/>
      <c r="J112" s="2489"/>
      <c r="K112" s="2489"/>
      <c r="L112" s="2490"/>
      <c r="M112" s="2489"/>
      <c r="N112" s="2489"/>
      <c r="O112" s="2490"/>
      <c r="P112" s="2489"/>
      <c r="Q112" s="2489"/>
      <c r="R112" s="2491"/>
    </row>
    <row r="113" spans="2:18" s="799" customFormat="1">
      <c r="B113" s="2489"/>
      <c r="C113" s="2489"/>
      <c r="D113" s="2489"/>
      <c r="E113" s="2489"/>
      <c r="F113" s="2489"/>
      <c r="G113" s="2490"/>
      <c r="H113" s="2489"/>
      <c r="I113" s="2490"/>
      <c r="J113" s="2489"/>
      <c r="K113" s="2489"/>
      <c r="L113" s="2490"/>
      <c r="M113" s="2489"/>
      <c r="N113" s="2489"/>
      <c r="O113" s="2490"/>
      <c r="P113" s="2489"/>
      <c r="Q113" s="2489"/>
      <c r="R113" s="2491"/>
    </row>
    <row r="114" spans="2:18" s="799" customFormat="1">
      <c r="B114" s="2489"/>
      <c r="C114" s="2489"/>
      <c r="D114" s="2489"/>
      <c r="E114" s="2489"/>
      <c r="F114" s="2489"/>
      <c r="G114" s="2490"/>
      <c r="H114" s="2489"/>
      <c r="I114" s="2490"/>
      <c r="J114" s="2489"/>
      <c r="K114" s="2489"/>
      <c r="L114" s="2490"/>
      <c r="M114" s="2489"/>
      <c r="N114" s="2489"/>
      <c r="O114" s="2490"/>
      <c r="P114" s="2489"/>
      <c r="Q114" s="2489"/>
      <c r="R114" s="2491"/>
    </row>
    <row r="115" spans="2:18" s="799" customFormat="1">
      <c r="B115" s="2489"/>
      <c r="C115" s="2489"/>
      <c r="D115" s="2489"/>
      <c r="E115" s="2489"/>
      <c r="F115" s="2489"/>
      <c r="G115" s="2490"/>
      <c r="H115" s="2489"/>
      <c r="I115" s="2490"/>
      <c r="J115" s="2489"/>
      <c r="K115" s="2489"/>
      <c r="L115" s="2490"/>
      <c r="M115" s="2489"/>
      <c r="N115" s="2489"/>
      <c r="O115" s="2490"/>
      <c r="P115" s="2489"/>
      <c r="Q115" s="2489"/>
      <c r="R115" s="2491"/>
    </row>
    <row r="116" spans="2:18" s="799" customFormat="1">
      <c r="B116" s="2489"/>
      <c r="C116" s="2489"/>
      <c r="D116" s="2489"/>
      <c r="E116" s="2489"/>
      <c r="F116" s="2489"/>
      <c r="G116" s="2490"/>
      <c r="H116" s="2489"/>
      <c r="I116" s="2490"/>
      <c r="J116" s="2489"/>
      <c r="K116" s="2489"/>
      <c r="L116" s="2490"/>
      <c r="M116" s="2489"/>
      <c r="N116" s="2489"/>
      <c r="O116" s="2490"/>
      <c r="P116" s="2489"/>
      <c r="Q116" s="2489"/>
      <c r="R116" s="2491"/>
    </row>
    <row r="117" spans="2:18" s="799" customFormat="1">
      <c r="B117" s="2489"/>
      <c r="C117" s="2489"/>
      <c r="D117" s="2489"/>
      <c r="E117" s="2489"/>
      <c r="F117" s="2489"/>
      <c r="G117" s="2490"/>
      <c r="H117" s="2489"/>
      <c r="I117" s="2490"/>
      <c r="J117" s="2489"/>
      <c r="K117" s="2489"/>
      <c r="L117" s="2490"/>
      <c r="M117" s="2489"/>
      <c r="N117" s="2489"/>
      <c r="O117" s="2490"/>
      <c r="P117" s="2489"/>
      <c r="Q117" s="2489"/>
      <c r="R117" s="2491"/>
    </row>
    <row r="118" spans="2:18" s="799" customFormat="1">
      <c r="B118" s="2489"/>
      <c r="C118" s="2489"/>
      <c r="D118" s="2489"/>
      <c r="E118" s="2489"/>
      <c r="F118" s="2489"/>
      <c r="G118" s="2490"/>
      <c r="H118" s="2489"/>
      <c r="I118" s="2490"/>
      <c r="J118" s="2489"/>
      <c r="K118" s="2489"/>
      <c r="L118" s="2490"/>
      <c r="M118" s="2489"/>
      <c r="N118" s="2489"/>
      <c r="O118" s="2490"/>
      <c r="P118" s="2489"/>
      <c r="Q118" s="2489"/>
      <c r="R118" s="2491"/>
    </row>
    <row r="119" spans="2:18" s="799" customFormat="1">
      <c r="B119" s="2489"/>
      <c r="C119" s="2489"/>
      <c r="D119" s="2489"/>
      <c r="E119" s="2489"/>
      <c r="F119" s="2489"/>
      <c r="G119" s="2490"/>
      <c r="H119" s="2489"/>
      <c r="I119" s="2490"/>
      <c r="J119" s="2489"/>
      <c r="K119" s="2489"/>
      <c r="L119" s="2490"/>
      <c r="M119" s="2489"/>
      <c r="N119" s="2489"/>
      <c r="O119" s="2490"/>
      <c r="P119" s="2489"/>
      <c r="Q119" s="2489"/>
      <c r="R119" s="2491"/>
    </row>
    <row r="120" spans="2:18" s="799" customFormat="1">
      <c r="B120" s="2489"/>
      <c r="C120" s="2489"/>
      <c r="D120" s="2489"/>
      <c r="E120" s="2489"/>
      <c r="F120" s="2489"/>
      <c r="G120" s="2490"/>
      <c r="H120" s="2489"/>
      <c r="I120" s="2490"/>
      <c r="J120" s="2489"/>
      <c r="K120" s="2489"/>
      <c r="L120" s="2490"/>
      <c r="M120" s="2489"/>
      <c r="N120" s="2489"/>
      <c r="O120" s="2490"/>
      <c r="P120" s="2489"/>
      <c r="Q120" s="2489"/>
      <c r="R120" s="2491"/>
    </row>
    <row r="121" spans="2:18" s="799" customFormat="1">
      <c r="B121" s="2489"/>
      <c r="C121" s="2489"/>
      <c r="D121" s="2489"/>
      <c r="E121" s="2489"/>
      <c r="F121" s="2489"/>
      <c r="G121" s="2490"/>
      <c r="H121" s="2489"/>
      <c r="I121" s="2490"/>
      <c r="J121" s="2489"/>
      <c r="K121" s="2489"/>
      <c r="L121" s="2490"/>
      <c r="M121" s="2489"/>
      <c r="N121" s="2489"/>
      <c r="O121" s="2490"/>
      <c r="P121" s="2489"/>
      <c r="Q121" s="2489"/>
      <c r="R121" s="2491"/>
    </row>
    <row r="122" spans="2:18" s="799" customFormat="1">
      <c r="B122" s="2489"/>
      <c r="C122" s="2489"/>
      <c r="D122" s="2489"/>
      <c r="E122" s="2489"/>
      <c r="F122" s="2489"/>
      <c r="G122" s="2490"/>
      <c r="H122" s="2489"/>
      <c r="I122" s="2490"/>
      <c r="J122" s="2489"/>
      <c r="K122" s="2489"/>
      <c r="L122" s="2490"/>
      <c r="M122" s="2489"/>
      <c r="N122" s="2489"/>
      <c r="O122" s="2490"/>
      <c r="P122" s="2489"/>
      <c r="Q122" s="2489"/>
      <c r="R122" s="2491"/>
    </row>
    <row r="123" spans="2:18" s="799" customFormat="1">
      <c r="B123" s="2489"/>
      <c r="C123" s="2489"/>
      <c r="D123" s="2489"/>
      <c r="E123" s="2489"/>
      <c r="F123" s="2489"/>
      <c r="G123" s="2490"/>
      <c r="H123" s="2489"/>
      <c r="I123" s="2490"/>
      <c r="J123" s="2489"/>
      <c r="K123" s="2489"/>
      <c r="L123" s="2490"/>
      <c r="M123" s="2489"/>
      <c r="N123" s="2489"/>
      <c r="O123" s="2490"/>
      <c r="P123" s="2489"/>
      <c r="Q123" s="2489"/>
      <c r="R123" s="2491"/>
    </row>
    <row r="124" spans="2:18" s="799" customFormat="1">
      <c r="B124" s="2489"/>
      <c r="C124" s="2489"/>
      <c r="D124" s="2489"/>
      <c r="E124" s="2489"/>
      <c r="F124" s="2489"/>
      <c r="G124" s="2490"/>
      <c r="H124" s="2489"/>
      <c r="I124" s="2490"/>
      <c r="J124" s="2489"/>
      <c r="K124" s="2489"/>
      <c r="L124" s="2490"/>
      <c r="M124" s="2489"/>
      <c r="N124" s="2489"/>
      <c r="O124" s="2490"/>
      <c r="P124" s="2489"/>
      <c r="Q124" s="2489"/>
      <c r="R124" s="2491"/>
    </row>
    <row r="125" spans="2:18" s="799" customFormat="1">
      <c r="B125" s="2489"/>
      <c r="C125" s="2489"/>
      <c r="D125" s="2489"/>
      <c r="E125" s="2489"/>
      <c r="F125" s="2489"/>
      <c r="G125" s="2490"/>
      <c r="H125" s="2489"/>
      <c r="I125" s="2490"/>
      <c r="J125" s="2489"/>
      <c r="K125" s="2489"/>
      <c r="L125" s="2490"/>
      <c r="M125" s="2489"/>
      <c r="N125" s="2489"/>
      <c r="O125" s="2490"/>
      <c r="P125" s="2489"/>
      <c r="Q125" s="2489"/>
      <c r="R125" s="2491"/>
    </row>
    <row r="126" spans="2:18" s="799" customFormat="1">
      <c r="B126" s="2489"/>
      <c r="C126" s="2489"/>
      <c r="D126" s="2489"/>
      <c r="E126" s="2489"/>
      <c r="F126" s="2489"/>
      <c r="G126" s="2490"/>
      <c r="H126" s="2489"/>
      <c r="I126" s="2490"/>
      <c r="J126" s="2489"/>
      <c r="K126" s="2489"/>
      <c r="L126" s="2490"/>
      <c r="M126" s="2489"/>
      <c r="N126" s="2489"/>
      <c r="O126" s="2490"/>
      <c r="P126" s="2489"/>
      <c r="Q126" s="2489"/>
      <c r="R126" s="2491"/>
    </row>
    <row r="127" spans="2:18" s="799" customFormat="1">
      <c r="B127" s="2489"/>
      <c r="C127" s="2489"/>
      <c r="D127" s="2489"/>
      <c r="E127" s="2489"/>
      <c r="F127" s="2489"/>
      <c r="G127" s="2490"/>
      <c r="H127" s="2489"/>
      <c r="I127" s="2490"/>
      <c r="J127" s="2489"/>
      <c r="K127" s="2489"/>
      <c r="L127" s="2490"/>
      <c r="M127" s="2489"/>
      <c r="N127" s="2489"/>
      <c r="O127" s="2490"/>
      <c r="P127" s="2489"/>
      <c r="Q127" s="2489"/>
      <c r="R127" s="2491"/>
    </row>
    <row r="128" spans="2:18" s="799" customFormat="1">
      <c r="B128" s="2489"/>
      <c r="C128" s="2489"/>
      <c r="D128" s="2489"/>
      <c r="E128" s="2489"/>
      <c r="F128" s="2489"/>
      <c r="G128" s="2490"/>
      <c r="H128" s="2489"/>
      <c r="I128" s="2490"/>
      <c r="J128" s="2489"/>
      <c r="K128" s="2489"/>
      <c r="L128" s="2490"/>
      <c r="M128" s="2489"/>
      <c r="N128" s="2489"/>
      <c r="O128" s="2490"/>
      <c r="P128" s="2489"/>
      <c r="Q128" s="2489"/>
      <c r="R128" s="2491"/>
    </row>
    <row r="129" spans="2:18" s="799" customFormat="1">
      <c r="B129" s="2489"/>
      <c r="C129" s="2489"/>
      <c r="D129" s="2489"/>
      <c r="E129" s="2489"/>
      <c r="F129" s="2489"/>
      <c r="G129" s="2490"/>
      <c r="H129" s="2489"/>
      <c r="I129" s="2490"/>
      <c r="J129" s="2489"/>
      <c r="K129" s="2489"/>
      <c r="L129" s="2490"/>
      <c r="M129" s="2489"/>
      <c r="N129" s="2489"/>
      <c r="O129" s="2490"/>
      <c r="P129" s="2489"/>
      <c r="Q129" s="2489"/>
      <c r="R129" s="2491"/>
    </row>
    <row r="130" spans="2:18" s="799" customFormat="1">
      <c r="B130" s="2489"/>
      <c r="C130" s="2489"/>
      <c r="D130" s="2489"/>
      <c r="E130" s="2489"/>
      <c r="F130" s="2489"/>
      <c r="G130" s="2490"/>
      <c r="H130" s="2489"/>
      <c r="I130" s="2490"/>
      <c r="J130" s="2489"/>
      <c r="K130" s="2489"/>
      <c r="L130" s="2490"/>
      <c r="M130" s="2489"/>
      <c r="N130" s="2489"/>
      <c r="O130" s="2490"/>
      <c r="P130" s="2489"/>
      <c r="Q130" s="2489"/>
      <c r="R130" s="2491"/>
    </row>
    <row r="131" spans="2:18" s="799" customFormat="1">
      <c r="B131" s="2489"/>
      <c r="C131" s="2489"/>
      <c r="D131" s="2489"/>
      <c r="E131" s="2489"/>
      <c r="F131" s="2489"/>
      <c r="G131" s="2490"/>
      <c r="H131" s="2489"/>
      <c r="I131" s="2490"/>
      <c r="J131" s="2489"/>
      <c r="K131" s="2489"/>
      <c r="L131" s="2490"/>
      <c r="M131" s="2489"/>
      <c r="N131" s="2489"/>
      <c r="O131" s="2490"/>
      <c r="P131" s="2489"/>
      <c r="Q131" s="2489"/>
      <c r="R131" s="2491"/>
    </row>
    <row r="132" spans="2:18" s="799" customFormat="1">
      <c r="B132" s="2489"/>
      <c r="C132" s="2489"/>
      <c r="D132" s="2489"/>
      <c r="E132" s="2489"/>
      <c r="F132" s="2489"/>
      <c r="G132" s="2490"/>
      <c r="H132" s="2489"/>
      <c r="I132" s="2490"/>
      <c r="J132" s="2489"/>
      <c r="K132" s="2489"/>
      <c r="L132" s="2490"/>
      <c r="M132" s="2489"/>
      <c r="N132" s="2489"/>
      <c r="O132" s="2490"/>
      <c r="P132" s="2489"/>
      <c r="Q132" s="2489"/>
      <c r="R132" s="2491"/>
    </row>
    <row r="133" spans="2:18" s="799" customFormat="1">
      <c r="B133" s="2489"/>
      <c r="C133" s="2489"/>
      <c r="D133" s="2489"/>
      <c r="E133" s="2489"/>
      <c r="F133" s="2489"/>
      <c r="G133" s="2490"/>
      <c r="H133" s="2489"/>
      <c r="I133" s="2490"/>
      <c r="J133" s="2489"/>
      <c r="K133" s="2489"/>
      <c r="L133" s="2490"/>
      <c r="M133" s="2489"/>
      <c r="N133" s="2489"/>
      <c r="O133" s="2490"/>
      <c r="P133" s="2489"/>
      <c r="Q133" s="2489"/>
      <c r="R133" s="2491"/>
    </row>
    <row r="134" spans="2:18" s="799" customFormat="1">
      <c r="B134" s="2489"/>
      <c r="C134" s="2489"/>
      <c r="D134" s="2489"/>
      <c r="E134" s="2489"/>
      <c r="F134" s="2489"/>
      <c r="G134" s="2490"/>
      <c r="H134" s="2489"/>
      <c r="I134" s="2490"/>
      <c r="J134" s="2489"/>
      <c r="K134" s="2489"/>
      <c r="L134" s="2490"/>
      <c r="M134" s="2489"/>
      <c r="N134" s="2489"/>
      <c r="O134" s="2490"/>
      <c r="P134" s="2489"/>
      <c r="Q134" s="2489"/>
      <c r="R134" s="2491"/>
    </row>
    <row r="135" spans="2:18" s="799" customFormat="1">
      <c r="B135" s="2489"/>
      <c r="C135" s="2489"/>
      <c r="D135" s="2489"/>
      <c r="E135" s="2489"/>
      <c r="F135" s="2489"/>
      <c r="G135" s="2490"/>
      <c r="H135" s="2489"/>
      <c r="I135" s="2490"/>
      <c r="J135" s="2489"/>
      <c r="K135" s="2489"/>
      <c r="L135" s="2490"/>
      <c r="M135" s="2489"/>
      <c r="N135" s="2489"/>
      <c r="O135" s="2490"/>
      <c r="P135" s="2489"/>
      <c r="Q135" s="2489"/>
      <c r="R135" s="2491"/>
    </row>
    <row r="136" spans="2:18" s="799" customFormat="1">
      <c r="B136" s="2489"/>
      <c r="C136" s="2489"/>
      <c r="D136" s="2489"/>
      <c r="E136" s="2489"/>
      <c r="F136" s="2489"/>
      <c r="G136" s="2490"/>
      <c r="H136" s="2489"/>
      <c r="I136" s="2490"/>
      <c r="J136" s="2489"/>
      <c r="K136" s="2489"/>
      <c r="L136" s="2490"/>
      <c r="M136" s="2489"/>
      <c r="N136" s="2489"/>
      <c r="O136" s="2490"/>
      <c r="P136" s="2489"/>
      <c r="Q136" s="2489"/>
      <c r="R136" s="2491"/>
    </row>
    <row r="137" spans="2:18" s="799" customFormat="1">
      <c r="B137" s="2489"/>
      <c r="C137" s="2489"/>
      <c r="D137" s="2489"/>
      <c r="E137" s="2489"/>
      <c r="F137" s="2489"/>
      <c r="G137" s="2490"/>
      <c r="H137" s="2489"/>
      <c r="I137" s="2490"/>
      <c r="J137" s="2489"/>
      <c r="K137" s="2489"/>
      <c r="L137" s="2490"/>
      <c r="M137" s="2489"/>
      <c r="N137" s="2489"/>
      <c r="O137" s="2490"/>
      <c r="P137" s="2489"/>
      <c r="Q137" s="2489"/>
      <c r="R137" s="2491"/>
    </row>
    <row r="138" spans="2:18" s="799" customFormat="1">
      <c r="B138" s="2489"/>
      <c r="C138" s="2489"/>
      <c r="D138" s="2489"/>
      <c r="E138" s="2489"/>
      <c r="F138" s="2489"/>
      <c r="G138" s="2490"/>
      <c r="H138" s="2489"/>
      <c r="I138" s="2490"/>
      <c r="J138" s="2489"/>
      <c r="K138" s="2489"/>
      <c r="L138" s="2490"/>
      <c r="M138" s="2489"/>
      <c r="N138" s="2489"/>
      <c r="O138" s="2490"/>
      <c r="P138" s="2489"/>
      <c r="Q138" s="2489"/>
      <c r="R138" s="2491"/>
    </row>
    <row r="139" spans="2:18" s="799" customFormat="1">
      <c r="B139" s="2489"/>
      <c r="C139" s="2489"/>
      <c r="D139" s="2489"/>
      <c r="E139" s="2489"/>
      <c r="F139" s="2489"/>
      <c r="G139" s="2490"/>
      <c r="H139" s="2489"/>
      <c r="I139" s="2490"/>
      <c r="J139" s="2489"/>
      <c r="K139" s="2489"/>
      <c r="L139" s="2490"/>
      <c r="M139" s="2489"/>
      <c r="N139" s="2489"/>
      <c r="O139" s="2490"/>
      <c r="P139" s="2489"/>
      <c r="Q139" s="2489"/>
      <c r="R139" s="2491"/>
    </row>
    <row r="140" spans="2:18" s="799" customFormat="1">
      <c r="B140" s="2489"/>
      <c r="C140" s="2489"/>
      <c r="D140" s="2489"/>
      <c r="E140" s="2489"/>
      <c r="F140" s="2489"/>
      <c r="G140" s="2490"/>
      <c r="H140" s="2489"/>
      <c r="I140" s="2490"/>
      <c r="J140" s="2489"/>
      <c r="K140" s="2489"/>
      <c r="L140" s="2490"/>
      <c r="M140" s="2489"/>
      <c r="N140" s="2489"/>
      <c r="O140" s="2490"/>
      <c r="P140" s="2489"/>
      <c r="Q140" s="2489"/>
      <c r="R140" s="2491"/>
    </row>
    <row r="141" spans="2:18" s="799" customFormat="1">
      <c r="B141" s="2489"/>
      <c r="C141" s="2489"/>
      <c r="D141" s="2489"/>
      <c r="E141" s="2489"/>
      <c r="F141" s="2489"/>
      <c r="G141" s="2490"/>
      <c r="H141" s="2489"/>
      <c r="I141" s="2490"/>
      <c r="J141" s="2489"/>
      <c r="K141" s="2489"/>
      <c r="L141" s="2490"/>
      <c r="M141" s="2489"/>
      <c r="N141" s="2489"/>
      <c r="O141" s="2490"/>
      <c r="P141" s="2489"/>
      <c r="Q141" s="2489"/>
      <c r="R141" s="2491"/>
    </row>
    <row r="142" spans="2:18" s="799" customFormat="1">
      <c r="B142" s="2489"/>
      <c r="C142" s="2489"/>
      <c r="D142" s="2489"/>
      <c r="E142" s="2489"/>
      <c r="F142" s="2489"/>
      <c r="G142" s="2490"/>
      <c r="H142" s="2489"/>
      <c r="I142" s="2490"/>
      <c r="J142" s="2489"/>
      <c r="K142" s="2489"/>
      <c r="L142" s="2490"/>
      <c r="M142" s="2489"/>
      <c r="N142" s="2489"/>
      <c r="O142" s="2490"/>
      <c r="P142" s="2489"/>
      <c r="Q142" s="2489"/>
      <c r="R142" s="2491"/>
    </row>
    <row r="143" spans="2:18" s="799" customFormat="1">
      <c r="B143" s="2489"/>
      <c r="C143" s="2489"/>
      <c r="D143" s="2489"/>
      <c r="E143" s="2489"/>
      <c r="F143" s="2489"/>
      <c r="G143" s="2490"/>
      <c r="H143" s="2489"/>
      <c r="I143" s="2490"/>
      <c r="J143" s="2489"/>
      <c r="K143" s="2489"/>
      <c r="L143" s="2490"/>
      <c r="M143" s="2489"/>
      <c r="N143" s="2489"/>
      <c r="O143" s="2490"/>
      <c r="P143" s="2489"/>
      <c r="Q143" s="2489"/>
      <c r="R143" s="2491"/>
    </row>
    <row r="144" spans="2:18" s="799" customFormat="1">
      <c r="B144" s="2489"/>
      <c r="C144" s="2489"/>
      <c r="D144" s="2489"/>
      <c r="E144" s="2489"/>
      <c r="F144" s="2489"/>
      <c r="G144" s="2490"/>
      <c r="H144" s="2489"/>
      <c r="I144" s="2490"/>
      <c r="J144" s="2489"/>
      <c r="K144" s="2489"/>
      <c r="L144" s="2490"/>
      <c r="M144" s="2489"/>
      <c r="N144" s="2489"/>
      <c r="O144" s="2490"/>
      <c r="P144" s="2489"/>
      <c r="Q144" s="2489"/>
      <c r="R144" s="2491"/>
    </row>
    <row r="145" spans="2:18" s="799" customFormat="1">
      <c r="B145" s="2489"/>
      <c r="C145" s="2489"/>
      <c r="D145" s="2489"/>
      <c r="E145" s="2489"/>
      <c r="F145" s="2489"/>
      <c r="G145" s="2490"/>
      <c r="H145" s="2489"/>
      <c r="I145" s="2490"/>
      <c r="J145" s="2489"/>
      <c r="K145" s="2489"/>
      <c r="L145" s="2490"/>
      <c r="M145" s="2489"/>
      <c r="N145" s="2489"/>
      <c r="O145" s="2490"/>
      <c r="P145" s="2489"/>
      <c r="Q145" s="2489"/>
      <c r="R145" s="2491"/>
    </row>
    <row r="146" spans="2:18" s="799" customFormat="1">
      <c r="B146" s="2489"/>
      <c r="C146" s="2489"/>
      <c r="D146" s="2489"/>
      <c r="E146" s="2489"/>
      <c r="F146" s="2489"/>
      <c r="G146" s="2490"/>
      <c r="H146" s="2489"/>
      <c r="I146" s="2490"/>
      <c r="J146" s="2489"/>
      <c r="K146" s="2489"/>
      <c r="L146" s="2490"/>
      <c r="M146" s="2489"/>
      <c r="N146" s="2489"/>
      <c r="O146" s="2490"/>
      <c r="P146" s="2489"/>
      <c r="Q146" s="2489"/>
      <c r="R146" s="2491"/>
    </row>
    <row r="147" spans="2:18" s="799" customFormat="1">
      <c r="B147" s="2489"/>
      <c r="C147" s="2489"/>
      <c r="D147" s="2489"/>
      <c r="E147" s="2489"/>
      <c r="F147" s="2489"/>
      <c r="G147" s="2490"/>
      <c r="H147" s="2489"/>
      <c r="I147" s="2490"/>
      <c r="J147" s="2489"/>
      <c r="K147" s="2489"/>
      <c r="L147" s="2490"/>
      <c r="M147" s="2489"/>
      <c r="N147" s="2489"/>
      <c r="O147" s="2490"/>
      <c r="P147" s="2489"/>
      <c r="Q147" s="2489"/>
      <c r="R147" s="2491"/>
    </row>
    <row r="148" spans="2:18" s="799" customFormat="1">
      <c r="B148" s="2489"/>
      <c r="C148" s="2489"/>
      <c r="D148" s="2489"/>
      <c r="E148" s="2489"/>
      <c r="F148" s="2489"/>
      <c r="G148" s="2490"/>
      <c r="H148" s="2489"/>
      <c r="I148" s="2490"/>
      <c r="J148" s="2489"/>
      <c r="K148" s="2489"/>
      <c r="L148" s="2490"/>
      <c r="M148" s="2489"/>
      <c r="N148" s="2489"/>
      <c r="O148" s="2490"/>
      <c r="P148" s="2489"/>
      <c r="Q148" s="2489"/>
      <c r="R148" s="2491"/>
    </row>
    <row r="149" spans="2:18" s="799" customFormat="1">
      <c r="B149" s="2489"/>
      <c r="C149" s="2489"/>
      <c r="D149" s="2489"/>
      <c r="E149" s="2489"/>
      <c r="F149" s="2489"/>
      <c r="G149" s="2490"/>
      <c r="H149" s="2489"/>
      <c r="I149" s="2490"/>
      <c r="J149" s="2489"/>
      <c r="K149" s="2489"/>
      <c r="L149" s="2490"/>
      <c r="M149" s="2489"/>
      <c r="N149" s="2489"/>
      <c r="O149" s="2490"/>
      <c r="P149" s="2489"/>
      <c r="Q149" s="2489"/>
      <c r="R149" s="2491"/>
    </row>
    <row r="150" spans="2:18" s="799" customFormat="1">
      <c r="B150" s="2489"/>
      <c r="C150" s="2489"/>
      <c r="D150" s="2489"/>
      <c r="E150" s="2489"/>
      <c r="F150" s="2489"/>
      <c r="G150" s="2490"/>
      <c r="H150" s="2489"/>
      <c r="I150" s="2490"/>
      <c r="J150" s="2489"/>
      <c r="K150" s="2489"/>
      <c r="L150" s="2490"/>
      <c r="M150" s="2489"/>
      <c r="N150" s="2489"/>
      <c r="O150" s="2490"/>
      <c r="P150" s="2489"/>
      <c r="Q150" s="2489"/>
      <c r="R150" s="2491"/>
    </row>
    <row r="151" spans="2:18" s="799" customFormat="1">
      <c r="B151" s="2489"/>
      <c r="C151" s="2489"/>
      <c r="D151" s="2489"/>
      <c r="E151" s="2489"/>
      <c r="F151" s="2489"/>
      <c r="G151" s="2490"/>
      <c r="H151" s="2489"/>
      <c r="I151" s="2490"/>
      <c r="J151" s="2489"/>
      <c r="K151" s="2489"/>
      <c r="L151" s="2490"/>
      <c r="M151" s="2489"/>
      <c r="N151" s="2489"/>
      <c r="O151" s="2490"/>
      <c r="P151" s="2489"/>
      <c r="Q151" s="2489"/>
      <c r="R151" s="2491"/>
    </row>
    <row r="152" spans="2:18" s="799" customFormat="1">
      <c r="B152" s="2489"/>
      <c r="C152" s="2489"/>
      <c r="D152" s="2489"/>
      <c r="E152" s="2489"/>
      <c r="F152" s="2489"/>
      <c r="G152" s="2490"/>
      <c r="H152" s="2489"/>
      <c r="I152" s="2490"/>
      <c r="J152" s="2489"/>
      <c r="K152" s="2489"/>
      <c r="L152" s="2490"/>
      <c r="M152" s="2489"/>
      <c r="N152" s="2489"/>
      <c r="O152" s="2490"/>
      <c r="P152" s="2489"/>
      <c r="Q152" s="2489"/>
      <c r="R152" s="2491"/>
    </row>
    <row r="153" spans="2:18" s="799" customFormat="1">
      <c r="B153" s="2489"/>
      <c r="C153" s="2489"/>
      <c r="D153" s="2489"/>
      <c r="E153" s="2489"/>
      <c r="F153" s="2489"/>
      <c r="G153" s="2490"/>
      <c r="H153" s="2489"/>
      <c r="I153" s="2490"/>
      <c r="J153" s="2489"/>
      <c r="K153" s="2489"/>
      <c r="L153" s="2490"/>
      <c r="M153" s="2489"/>
      <c r="N153" s="2489"/>
      <c r="O153" s="2490"/>
      <c r="P153" s="2489"/>
      <c r="Q153" s="2489"/>
      <c r="R153" s="2491"/>
    </row>
    <row r="154" spans="2:18" s="799" customFormat="1">
      <c r="B154" s="2489"/>
      <c r="C154" s="2489"/>
      <c r="D154" s="2489"/>
      <c r="E154" s="2489"/>
      <c r="F154" s="2489"/>
      <c r="G154" s="2490"/>
      <c r="H154" s="2489"/>
      <c r="I154" s="2490"/>
      <c r="J154" s="2489"/>
      <c r="K154" s="2489"/>
      <c r="L154" s="2490"/>
      <c r="M154" s="2489"/>
      <c r="N154" s="2489"/>
      <c r="O154" s="2490"/>
      <c r="P154" s="2489"/>
      <c r="Q154" s="2489"/>
      <c r="R154" s="2491"/>
    </row>
    <row r="155" spans="2:18" s="799" customFormat="1">
      <c r="B155" s="2489"/>
      <c r="C155" s="2489"/>
      <c r="D155" s="2489"/>
      <c r="E155" s="2489"/>
      <c r="F155" s="2489"/>
      <c r="G155" s="2490"/>
      <c r="H155" s="2489"/>
      <c r="I155" s="2490"/>
      <c r="J155" s="2489"/>
      <c r="K155" s="2489"/>
      <c r="L155" s="2490"/>
      <c r="M155" s="2489"/>
      <c r="N155" s="2489"/>
      <c r="O155" s="2490"/>
      <c r="P155" s="2489"/>
      <c r="Q155" s="2489"/>
      <c r="R155" s="2491"/>
    </row>
    <row r="156" spans="2:18" s="799" customFormat="1">
      <c r="B156" s="2489"/>
      <c r="C156" s="2489"/>
      <c r="D156" s="2489"/>
      <c r="E156" s="2489"/>
      <c r="F156" s="2489"/>
      <c r="G156" s="2490"/>
      <c r="H156" s="2489"/>
      <c r="I156" s="2490"/>
      <c r="J156" s="2489"/>
      <c r="K156" s="2489"/>
      <c r="L156" s="2490"/>
      <c r="M156" s="2489"/>
      <c r="N156" s="2489"/>
      <c r="O156" s="2490"/>
      <c r="P156" s="2489"/>
      <c r="Q156" s="2489"/>
      <c r="R156" s="2491"/>
    </row>
    <row r="157" spans="2:18" s="799" customFormat="1">
      <c r="B157" s="2489"/>
      <c r="C157" s="2489"/>
      <c r="D157" s="2489"/>
      <c r="E157" s="2489"/>
      <c r="F157" s="2489"/>
      <c r="G157" s="2490"/>
      <c r="H157" s="2489"/>
      <c r="I157" s="2490"/>
      <c r="J157" s="2489"/>
      <c r="K157" s="2489"/>
      <c r="L157" s="2490"/>
      <c r="M157" s="2489"/>
      <c r="N157" s="2489"/>
      <c r="O157" s="2490"/>
      <c r="P157" s="2489"/>
      <c r="Q157" s="2489"/>
      <c r="R157" s="2491"/>
    </row>
    <row r="158" spans="2:18" s="799" customFormat="1">
      <c r="B158" s="2489"/>
      <c r="C158" s="2489"/>
      <c r="D158" s="2489"/>
      <c r="E158" s="2489"/>
      <c r="F158" s="2489"/>
      <c r="G158" s="2490"/>
      <c r="H158" s="2489"/>
      <c r="I158" s="2490"/>
      <c r="J158" s="2489"/>
      <c r="K158" s="2489"/>
      <c r="L158" s="2490"/>
      <c r="M158" s="2489"/>
      <c r="N158" s="2489"/>
      <c r="O158" s="2490"/>
      <c r="P158" s="2489"/>
      <c r="Q158" s="2489"/>
      <c r="R158" s="2491"/>
    </row>
    <row r="159" spans="2:18" s="799" customFormat="1">
      <c r="B159" s="2489"/>
      <c r="C159" s="2489"/>
      <c r="D159" s="2489"/>
      <c r="E159" s="2489"/>
      <c r="F159" s="2489"/>
      <c r="G159" s="2490"/>
      <c r="H159" s="2489"/>
      <c r="I159" s="2490"/>
      <c r="J159" s="2489"/>
      <c r="K159" s="2489"/>
      <c r="L159" s="2490"/>
      <c r="M159" s="2489"/>
      <c r="N159" s="2489"/>
      <c r="O159" s="2490"/>
      <c r="P159" s="2489"/>
      <c r="Q159" s="2489"/>
      <c r="R159" s="2491"/>
    </row>
    <row r="160" spans="2:18" s="799" customFormat="1">
      <c r="B160" s="2489"/>
      <c r="C160" s="2489"/>
      <c r="D160" s="2489"/>
      <c r="E160" s="2489"/>
      <c r="F160" s="2489"/>
      <c r="G160" s="2490"/>
      <c r="H160" s="2489"/>
      <c r="I160" s="2490"/>
      <c r="J160" s="2489"/>
      <c r="K160" s="2489"/>
      <c r="L160" s="2490"/>
      <c r="M160" s="2489"/>
      <c r="N160" s="2489"/>
      <c r="O160" s="2490"/>
      <c r="P160" s="2489"/>
      <c r="Q160" s="2489"/>
      <c r="R160" s="2491"/>
    </row>
    <row r="161" spans="2:18" s="799" customFormat="1">
      <c r="B161" s="2489"/>
      <c r="C161" s="2489"/>
      <c r="D161" s="2489"/>
      <c r="E161" s="2489"/>
      <c r="F161" s="2489"/>
      <c r="G161" s="2490"/>
      <c r="H161" s="2489"/>
      <c r="I161" s="2490"/>
      <c r="J161" s="2489"/>
      <c r="K161" s="2489"/>
      <c r="L161" s="2490"/>
      <c r="M161" s="2489"/>
      <c r="N161" s="2489"/>
      <c r="O161" s="2490"/>
      <c r="P161" s="2489"/>
      <c r="Q161" s="2489"/>
      <c r="R161" s="2491"/>
    </row>
    <row r="162" spans="2:18" s="799" customFormat="1">
      <c r="B162" s="2489"/>
      <c r="C162" s="2489"/>
      <c r="D162" s="2489"/>
      <c r="E162" s="2489"/>
      <c r="F162" s="2489"/>
      <c r="G162" s="2490"/>
      <c r="H162" s="2489"/>
      <c r="I162" s="2490"/>
      <c r="J162" s="2489"/>
      <c r="K162" s="2489"/>
      <c r="L162" s="2490"/>
      <c r="M162" s="2489"/>
      <c r="N162" s="2489"/>
      <c r="O162" s="2490"/>
      <c r="P162" s="2489"/>
      <c r="Q162" s="2489"/>
      <c r="R162" s="2491"/>
    </row>
    <row r="163" spans="2:18" s="799" customFormat="1">
      <c r="B163" s="2489"/>
      <c r="C163" s="2489"/>
      <c r="D163" s="2489"/>
      <c r="E163" s="2489"/>
      <c r="F163" s="2489"/>
      <c r="G163" s="2490"/>
      <c r="H163" s="2489"/>
      <c r="I163" s="2490"/>
      <c r="J163" s="2489"/>
      <c r="K163" s="2489"/>
      <c r="L163" s="2490"/>
      <c r="M163" s="2489"/>
      <c r="N163" s="2489"/>
      <c r="O163" s="2490"/>
      <c r="P163" s="2489"/>
      <c r="Q163" s="2489"/>
      <c r="R163" s="2491"/>
    </row>
    <row r="164" spans="2:18" s="799" customFormat="1">
      <c r="B164" s="2489"/>
      <c r="C164" s="2489"/>
      <c r="D164" s="2489"/>
      <c r="E164" s="2489"/>
      <c r="F164" s="2489"/>
      <c r="G164" s="2490"/>
      <c r="H164" s="2489"/>
      <c r="I164" s="2490"/>
      <c r="J164" s="2489"/>
      <c r="K164" s="2489"/>
      <c r="L164" s="2490"/>
      <c r="M164" s="2489"/>
      <c r="N164" s="2489"/>
      <c r="O164" s="2490"/>
      <c r="P164" s="2489"/>
      <c r="Q164" s="2489"/>
      <c r="R164" s="2491"/>
    </row>
    <row r="165" spans="2:18" s="799" customFormat="1">
      <c r="B165" s="2489"/>
      <c r="C165" s="2489"/>
      <c r="D165" s="2489"/>
      <c r="E165" s="2489"/>
      <c r="F165" s="2489"/>
      <c r="G165" s="2490"/>
      <c r="H165" s="2489"/>
      <c r="I165" s="2490"/>
      <c r="J165" s="2489"/>
      <c r="K165" s="2489"/>
      <c r="L165" s="2490"/>
      <c r="M165" s="2489"/>
      <c r="N165" s="2489"/>
      <c r="O165" s="2490"/>
      <c r="P165" s="2489"/>
      <c r="Q165" s="2489"/>
      <c r="R165" s="2491"/>
    </row>
    <row r="166" spans="2:18" s="799" customFormat="1">
      <c r="B166" s="2489"/>
      <c r="C166" s="2489"/>
      <c r="D166" s="2489"/>
      <c r="E166" s="2489"/>
      <c r="F166" s="2489"/>
      <c r="G166" s="2490"/>
      <c r="H166" s="2489"/>
      <c r="I166" s="2490"/>
      <c r="J166" s="2489"/>
      <c r="K166" s="2489"/>
      <c r="L166" s="2490"/>
      <c r="M166" s="2489"/>
      <c r="N166" s="2489"/>
      <c r="O166" s="2490"/>
      <c r="P166" s="2489"/>
      <c r="Q166" s="2489"/>
      <c r="R166" s="2491"/>
    </row>
    <row r="167" spans="2:18" s="799" customFormat="1">
      <c r="B167" s="2489"/>
      <c r="C167" s="2489"/>
      <c r="D167" s="2489"/>
      <c r="E167" s="2489"/>
      <c r="F167" s="2489"/>
      <c r="G167" s="2490"/>
      <c r="H167" s="2489"/>
      <c r="I167" s="2490"/>
      <c r="J167" s="2489"/>
      <c r="K167" s="2489"/>
      <c r="L167" s="2490"/>
      <c r="M167" s="2489"/>
      <c r="N167" s="2489"/>
      <c r="O167" s="2490"/>
      <c r="P167" s="2489"/>
      <c r="Q167" s="2489"/>
      <c r="R167" s="2491"/>
    </row>
    <row r="168" spans="2:18" s="799" customFormat="1">
      <c r="B168" s="2489"/>
      <c r="C168" s="2489"/>
      <c r="D168" s="2489"/>
      <c r="E168" s="2489"/>
      <c r="F168" s="2489"/>
      <c r="G168" s="2490"/>
      <c r="H168" s="2489"/>
      <c r="I168" s="2490"/>
      <c r="J168" s="2489"/>
      <c r="K168" s="2489"/>
      <c r="L168" s="2490"/>
      <c r="M168" s="2489"/>
      <c r="N168" s="2489"/>
      <c r="O168" s="2490"/>
      <c r="P168" s="2489"/>
      <c r="Q168" s="2489"/>
      <c r="R168" s="2491"/>
    </row>
    <row r="169" spans="2:18" s="799" customFormat="1">
      <c r="B169" s="2489"/>
      <c r="C169" s="2489"/>
      <c r="D169" s="2489"/>
      <c r="E169" s="2489"/>
      <c r="F169" s="2489"/>
      <c r="G169" s="2490"/>
      <c r="H169" s="2489"/>
      <c r="I169" s="2490"/>
      <c r="J169" s="2489"/>
      <c r="K169" s="2489"/>
      <c r="L169" s="2490"/>
      <c r="M169" s="2489"/>
      <c r="N169" s="2489"/>
      <c r="O169" s="2490"/>
      <c r="P169" s="2489"/>
      <c r="Q169" s="2489"/>
      <c r="R169" s="2491"/>
    </row>
    <row r="170" spans="2:18" s="799" customFormat="1">
      <c r="B170" s="2489"/>
      <c r="C170" s="2489"/>
      <c r="D170" s="2489"/>
      <c r="E170" s="2489"/>
      <c r="F170" s="2489"/>
      <c r="G170" s="2490"/>
      <c r="H170" s="2489"/>
      <c r="I170" s="2490"/>
      <c r="J170" s="2489"/>
      <c r="K170" s="2489"/>
      <c r="L170" s="2490"/>
      <c r="M170" s="2489"/>
      <c r="N170" s="2489"/>
      <c r="O170" s="2490"/>
      <c r="P170" s="2489"/>
      <c r="Q170" s="2489"/>
      <c r="R170" s="2491"/>
    </row>
    <row r="171" spans="2:18" s="799" customFormat="1">
      <c r="B171" s="2489"/>
      <c r="C171" s="2489"/>
      <c r="D171" s="2489"/>
      <c r="E171" s="2489"/>
      <c r="F171" s="2489"/>
      <c r="G171" s="2490"/>
      <c r="H171" s="2489"/>
      <c r="I171" s="2490"/>
      <c r="J171" s="2489"/>
      <c r="K171" s="2489"/>
      <c r="L171" s="2490"/>
      <c r="M171" s="2489"/>
      <c r="N171" s="2489"/>
      <c r="O171" s="2490"/>
      <c r="P171" s="2489"/>
      <c r="Q171" s="2489"/>
      <c r="R171" s="2491"/>
    </row>
    <row r="172" spans="2:18" s="799" customFormat="1">
      <c r="B172" s="2489"/>
      <c r="C172" s="2489"/>
      <c r="D172" s="2489"/>
      <c r="E172" s="2489"/>
      <c r="F172" s="2489"/>
      <c r="G172" s="2490"/>
      <c r="H172" s="2489"/>
      <c r="I172" s="2490"/>
      <c r="J172" s="2489"/>
      <c r="K172" s="2489"/>
      <c r="L172" s="2490"/>
      <c r="M172" s="2489"/>
      <c r="N172" s="2489"/>
      <c r="O172" s="2490"/>
      <c r="P172" s="2489"/>
      <c r="Q172" s="2489"/>
      <c r="R172" s="2491"/>
    </row>
    <row r="173" spans="2:18" s="799" customFormat="1">
      <c r="B173" s="2489"/>
      <c r="C173" s="2489"/>
      <c r="D173" s="2489"/>
      <c r="E173" s="2489"/>
      <c r="F173" s="2489"/>
      <c r="G173" s="2490"/>
      <c r="H173" s="2489"/>
      <c r="I173" s="2490"/>
      <c r="J173" s="2489"/>
      <c r="K173" s="2489"/>
      <c r="L173" s="2490"/>
      <c r="M173" s="2489"/>
      <c r="N173" s="2489"/>
      <c r="O173" s="2490"/>
      <c r="P173" s="2489"/>
      <c r="Q173" s="2489"/>
      <c r="R173" s="2491"/>
    </row>
    <row r="174" spans="2:18" s="799" customFormat="1">
      <c r="B174" s="2489"/>
      <c r="C174" s="2489"/>
      <c r="D174" s="2489"/>
      <c r="E174" s="2489"/>
      <c r="F174" s="2489"/>
      <c r="G174" s="2490"/>
      <c r="H174" s="2489"/>
      <c r="I174" s="2490"/>
      <c r="J174" s="2489"/>
      <c r="K174" s="2489"/>
      <c r="L174" s="2490"/>
      <c r="M174" s="2489"/>
      <c r="N174" s="2489"/>
      <c r="O174" s="2490"/>
      <c r="P174" s="2489"/>
      <c r="Q174" s="2489"/>
      <c r="R174" s="2491"/>
    </row>
    <row r="175" spans="2:18" s="799" customFormat="1">
      <c r="B175" s="2489"/>
      <c r="C175" s="2489"/>
      <c r="D175" s="2489"/>
      <c r="E175" s="2489"/>
      <c r="F175" s="2489"/>
      <c r="G175" s="2490"/>
      <c r="H175" s="2489"/>
      <c r="I175" s="2490"/>
      <c r="J175" s="2489"/>
      <c r="K175" s="2489"/>
      <c r="L175" s="2490"/>
      <c r="M175" s="2489"/>
      <c r="N175" s="2489"/>
      <c r="O175" s="2490"/>
      <c r="P175" s="2489"/>
      <c r="Q175" s="2489"/>
      <c r="R175" s="2491"/>
    </row>
    <row r="176" spans="2:18" s="799" customFormat="1">
      <c r="B176" s="2489"/>
      <c r="C176" s="2489"/>
      <c r="D176" s="2489"/>
      <c r="E176" s="2489"/>
      <c r="F176" s="2489"/>
      <c r="G176" s="2490"/>
      <c r="H176" s="2489"/>
      <c r="I176" s="2490"/>
      <c r="J176" s="2489"/>
      <c r="K176" s="2489"/>
      <c r="L176" s="2490"/>
      <c r="M176" s="2489"/>
      <c r="N176" s="2489"/>
      <c r="O176" s="2490"/>
      <c r="P176" s="2489"/>
      <c r="Q176" s="2489"/>
      <c r="R176" s="2491"/>
    </row>
    <row r="177" spans="1:18" s="799" customFormat="1">
      <c r="B177" s="2489"/>
      <c r="C177" s="2489"/>
      <c r="D177" s="2489"/>
      <c r="E177" s="2489"/>
      <c r="F177" s="2489"/>
      <c r="G177" s="2490"/>
      <c r="H177" s="2489"/>
      <c r="I177" s="2490"/>
      <c r="J177" s="2489"/>
      <c r="K177" s="2489"/>
      <c r="L177" s="2490"/>
      <c r="M177" s="2489"/>
      <c r="N177" s="2489"/>
      <c r="O177" s="2490"/>
      <c r="P177" s="2489"/>
      <c r="Q177" s="2489"/>
      <c r="R177" s="2491"/>
    </row>
    <row r="178" spans="1:18" s="799" customFormat="1">
      <c r="B178" s="2489"/>
      <c r="C178" s="2489"/>
      <c r="D178" s="2489"/>
      <c r="E178" s="2489"/>
      <c r="F178" s="2489"/>
      <c r="G178" s="2490"/>
      <c r="H178" s="2489"/>
      <c r="I178" s="2490"/>
      <c r="J178" s="2489"/>
      <c r="K178" s="2489"/>
      <c r="L178" s="2490"/>
      <c r="M178" s="2489"/>
      <c r="N178" s="2489"/>
      <c r="O178" s="2490"/>
      <c r="P178" s="2489"/>
      <c r="Q178" s="2489"/>
      <c r="R178" s="2491"/>
    </row>
    <row r="179" spans="1:18" s="799" customFormat="1">
      <c r="B179" s="2489"/>
      <c r="C179" s="2489"/>
      <c r="D179" s="2489"/>
      <c r="E179" s="2489"/>
      <c r="F179" s="2489"/>
      <c r="G179" s="2490"/>
      <c r="H179" s="2489"/>
      <c r="I179" s="2490"/>
      <c r="J179" s="2489"/>
      <c r="K179" s="2489"/>
      <c r="L179" s="2490"/>
      <c r="M179" s="2489"/>
      <c r="N179" s="2489"/>
      <c r="O179" s="2490"/>
      <c r="P179" s="2489"/>
      <c r="Q179" s="2489"/>
      <c r="R179" s="2491"/>
    </row>
    <row r="180" spans="1:18" s="799" customFormat="1">
      <c r="B180" s="2489"/>
      <c r="C180" s="2489"/>
      <c r="D180" s="2489"/>
      <c r="E180" s="2489"/>
      <c r="F180" s="2489"/>
      <c r="G180" s="2490"/>
      <c r="H180" s="2489"/>
      <c r="I180" s="2490"/>
      <c r="J180" s="2489"/>
      <c r="K180" s="2489"/>
      <c r="L180" s="2490"/>
      <c r="M180" s="2489"/>
      <c r="N180" s="2489"/>
      <c r="O180" s="2490"/>
      <c r="P180" s="2489"/>
      <c r="Q180" s="2489"/>
      <c r="R180" s="2491"/>
    </row>
    <row r="181" spans="1:18" s="799" customFormat="1">
      <c r="B181" s="2489"/>
      <c r="C181" s="2489"/>
      <c r="D181" s="2489"/>
      <c r="E181" s="2489"/>
      <c r="F181" s="2489"/>
      <c r="G181" s="2490"/>
      <c r="H181" s="2489"/>
      <c r="I181" s="2490"/>
      <c r="J181" s="2489"/>
      <c r="K181" s="2489"/>
      <c r="L181" s="2490"/>
      <c r="M181" s="2489"/>
      <c r="N181" s="2489"/>
      <c r="O181" s="2490"/>
      <c r="P181" s="2489"/>
      <c r="Q181" s="2489"/>
      <c r="R181" s="2491"/>
    </row>
    <row r="182" spans="1:18" s="799" customFormat="1">
      <c r="B182" s="2489"/>
      <c r="C182" s="2489"/>
      <c r="D182" s="2489"/>
      <c r="E182" s="2489"/>
      <c r="F182" s="2489"/>
      <c r="G182" s="2490"/>
      <c r="H182" s="2489"/>
      <c r="I182" s="2490"/>
      <c r="J182" s="2489"/>
      <c r="K182" s="2489"/>
      <c r="L182" s="2490"/>
      <c r="M182" s="2489"/>
      <c r="N182" s="2489"/>
      <c r="O182" s="2490"/>
      <c r="P182" s="2489"/>
      <c r="Q182" s="2489"/>
      <c r="R182" s="2491"/>
    </row>
    <row r="183" spans="1:18" s="799" customFormat="1">
      <c r="B183" s="2489"/>
      <c r="C183" s="2489"/>
      <c r="D183" s="2489"/>
      <c r="E183" s="2489"/>
      <c r="F183" s="2489"/>
      <c r="G183" s="2490"/>
      <c r="H183" s="2489"/>
      <c r="I183" s="2490"/>
      <c r="J183" s="2489"/>
      <c r="K183" s="2489"/>
      <c r="L183" s="2490"/>
      <c r="M183" s="2489"/>
      <c r="N183" s="2489"/>
      <c r="O183" s="2490"/>
      <c r="P183" s="2489"/>
      <c r="Q183" s="2489"/>
      <c r="R183" s="2491"/>
    </row>
    <row r="184" spans="1:18" s="799" customFormat="1">
      <c r="B184" s="2489"/>
      <c r="C184" s="2489"/>
      <c r="D184" s="2489"/>
      <c r="E184" s="2489"/>
      <c r="F184" s="2489"/>
      <c r="G184" s="2490"/>
      <c r="H184" s="2489"/>
      <c r="I184" s="2490"/>
      <c r="J184" s="2489"/>
      <c r="K184" s="2489"/>
      <c r="L184" s="2490"/>
      <c r="M184" s="2489"/>
      <c r="N184" s="2489"/>
      <c r="O184" s="2490"/>
      <c r="P184" s="2489"/>
      <c r="Q184" s="2489"/>
      <c r="R184" s="2491"/>
    </row>
    <row r="185" spans="1:18" s="799"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9"/>
      <c r="B186" s="2489"/>
      <c r="C186" s="2489"/>
      <c r="E186" s="2489"/>
      <c r="F186" s="2489"/>
      <c r="G186" s="2490"/>
    </row>
    <row r="187" spans="1:18">
      <c r="A187" s="799"/>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14" sqref="G14"/>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34689.100000000006</v>
      </c>
      <c r="C1" s="2684"/>
      <c r="D1" s="2684"/>
      <c r="E1" s="2684"/>
      <c r="F1" s="2684"/>
      <c r="G1" s="2685"/>
      <c r="H1" s="2686"/>
      <c r="I1" s="2686"/>
      <c r="J1" s="2686"/>
      <c r="K1" s="2686"/>
    </row>
    <row r="2" spans="1:11" ht="16.5">
      <c r="A2" s="2510" t="s">
        <v>653</v>
      </c>
      <c r="B2" s="2510">
        <f>SUM(C14:C23)</f>
        <v>23254.45</v>
      </c>
      <c r="C2" s="2684"/>
      <c r="D2" s="2684"/>
      <c r="E2" s="2684"/>
      <c r="F2" s="2684"/>
      <c r="G2" s="2685"/>
      <c r="H2" s="2686"/>
      <c r="I2" s="2686"/>
      <c r="J2" s="2686"/>
      <c r="K2" s="2686"/>
    </row>
    <row r="3" spans="1:11" ht="16.5">
      <c r="A3" s="2510" t="s">
        <v>662</v>
      </c>
      <c r="B3" s="2512">
        <f>项目基本情况!D3</f>
        <v>45044</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f ca="1">SUM(D14:D23)</f>
        <v>13149</v>
      </c>
      <c r="C5" s="2510">
        <f ca="1">IF(B5=D14,结果表!H102,ROUND(B5*10000/$B$1,0))</f>
        <v>3791</v>
      </c>
      <c r="D5" s="2510">
        <f ca="1">ROUND(B5*10000/$B$2,0)</f>
        <v>5654</v>
      </c>
      <c r="E5" s="2684"/>
      <c r="F5" s="2685"/>
      <c r="G5" s="2685"/>
      <c r="H5" s="2686"/>
      <c r="I5" s="2686"/>
      <c r="J5" s="2686"/>
      <c r="K5" s="2686"/>
    </row>
    <row r="6" spans="1:11" ht="16.5">
      <c r="A6" s="2510" t="s">
        <v>656</v>
      </c>
      <c r="B6" s="2510">
        <f ca="1">SUM(G14:G23)</f>
        <v>13149</v>
      </c>
      <c r="C6" s="2510">
        <f ca="1">IF(B6=G14,结果表!H108,ROUND(B6*10000/$B$1,0))</f>
        <v>3791</v>
      </c>
      <c r="D6" s="2510">
        <f ca="1">ROUND(B6*10000/$B$2,0)</f>
        <v>5654</v>
      </c>
      <c r="E6" s="2684"/>
      <c r="F6" s="2685"/>
      <c r="G6" s="2685"/>
      <c r="H6" s="2686"/>
      <c r="I6" s="2686"/>
      <c r="J6" s="2686"/>
      <c r="K6" s="2686"/>
    </row>
    <row r="7" spans="1:11" ht="16.5">
      <c r="A7" s="2510" t="s">
        <v>664</v>
      </c>
      <c r="B7" s="2510">
        <f>SUM(H14:H23)</f>
        <v>0</v>
      </c>
      <c r="C7" s="2510" t="str">
        <f>IF(B7=H14,结果表!H110,ROUND(B7*10000/$B$1,0))</f>
        <v>——</v>
      </c>
      <c r="D7" s="2510">
        <f>ROUND(B7*10000/$B$2,0)</f>
        <v>0</v>
      </c>
      <c r="E7" s="2684"/>
      <c r="F7" s="2685"/>
      <c r="G7" s="2685"/>
      <c r="H7" s="2686"/>
      <c r="I7" s="2686"/>
      <c r="J7" s="2686"/>
      <c r="K7" s="2686"/>
    </row>
    <row r="8" spans="1:11" ht="16.5">
      <c r="A8" s="2510" t="s">
        <v>587</v>
      </c>
      <c r="B8" s="2510">
        <f>SUM(I14:I23)</f>
        <v>0</v>
      </c>
      <c r="C8" s="2510" t="str">
        <f>IF(B8=I14,结果表!H112,ROUND(B8*10000/$B$1,0))</f>
        <v>——</v>
      </c>
      <c r="D8" s="2510">
        <f>ROUND(B8*10000/$B$2,0)</f>
        <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0</v>
      </c>
      <c r="C10" s="2510" t="s">
        <v>3359</v>
      </c>
      <c r="D10" s="2510" t="s">
        <v>3360</v>
      </c>
      <c r="E10" s="3439"/>
      <c r="F10" s="3443" t="s">
        <v>3361</v>
      </c>
      <c r="G10" s="3440"/>
      <c r="H10" s="2686"/>
      <c r="I10" s="2686"/>
      <c r="J10" s="2686"/>
      <c r="K10" s="2686"/>
    </row>
    <row r="11" spans="1:11" ht="16.5">
      <c r="A11" s="2510" t="s">
        <v>670</v>
      </c>
      <c r="B11" s="2518"/>
      <c r="C11" s="2684"/>
      <c r="D11" s="2684"/>
      <c r="E11" s="2684"/>
      <c r="F11" s="2685"/>
      <c r="G11" s="2685"/>
      <c r="H11" s="2686"/>
      <c r="I11" s="2686"/>
      <c r="J11" s="2686"/>
      <c r="K11" s="2686"/>
    </row>
    <row r="12" spans="1:11" ht="16.5">
      <c r="A12" s="2684"/>
      <c r="B12" s="2684"/>
      <c r="C12" s="2684"/>
      <c r="D12" s="2684"/>
      <c r="E12" s="2684"/>
      <c r="F12" s="2685"/>
      <c r="G12" s="2685"/>
      <c r="H12" s="2686"/>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f>结果表!B118</f>
        <v>34689.100000000006</v>
      </c>
      <c r="C14" s="2516">
        <f>结果表!C118</f>
        <v>23254.45</v>
      </c>
      <c r="D14" s="2516">
        <f ca="1">结果表!H118</f>
        <v>13149</v>
      </c>
      <c r="E14" s="2516">
        <f ca="1">ROUND(D14*10000/B14,0)</f>
        <v>3791</v>
      </c>
      <c r="F14" s="2516">
        <f ca="1">ROUND(D14*10000/C14,0)</f>
        <v>5654</v>
      </c>
      <c r="G14" s="2516">
        <f ca="1">结果表!D122</f>
        <v>13149</v>
      </c>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31"/>
      <c r="H15" s="1331"/>
      <c r="I15" s="2517"/>
      <c r="J15" s="2685"/>
      <c r="K15" s="2686"/>
    </row>
    <row r="16" spans="1:11" ht="16.5">
      <c r="A16" s="2515" t="s">
        <v>648</v>
      </c>
      <c r="B16" s="2517"/>
      <c r="C16" s="2517"/>
      <c r="D16" s="2517"/>
      <c r="E16" s="2516" t="e">
        <f t="shared" si="0"/>
        <v>#DIV/0!</v>
      </c>
      <c r="F16" s="2516" t="e">
        <f t="shared" si="1"/>
        <v>#DIV/0!</v>
      </c>
      <c r="G16" s="1331"/>
      <c r="H16" s="1331"/>
      <c r="I16" s="2517"/>
      <c r="J16" s="2686"/>
      <c r="K16" s="2686"/>
    </row>
    <row r="17" spans="1:11" ht="16.5">
      <c r="A17" s="2515" t="s">
        <v>647</v>
      </c>
      <c r="B17" s="2517"/>
      <c r="C17" s="2517"/>
      <c r="D17" s="2517"/>
      <c r="E17" s="2516" t="e">
        <f t="shared" si="0"/>
        <v>#DIV/0!</v>
      </c>
      <c r="F17" s="2516" t="e">
        <f t="shared" si="1"/>
        <v>#DIV/0!</v>
      </c>
      <c r="G17" s="1331"/>
      <c r="H17" s="1331"/>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1261</v>
      </c>
      <c r="B1" s="1747"/>
      <c r="C1" s="1748"/>
      <c r="D1" s="1747"/>
      <c r="E1" s="1747"/>
      <c r="F1" s="1749" t="s">
        <v>1262</v>
      </c>
      <c r="G1" s="1561" t="s">
        <v>3385</v>
      </c>
      <c r="H1" s="1750" t="str">
        <f>IF(G1="现房","——","估价对象范围")</f>
        <v>估价对象范围</v>
      </c>
      <c r="I1" s="1751" t="s">
        <v>3427</v>
      </c>
    </row>
    <row r="2" spans="1:12" ht="21.75" customHeight="1" thickBot="1">
      <c r="A2" s="3584" t="str">
        <f>项目基本情况!S2</f>
        <v>北京市出让国有建设用地使用权及在建建筑物房地产</v>
      </c>
      <c r="B2" s="3585"/>
      <c r="C2" s="3585"/>
      <c r="D2" s="3585"/>
      <c r="E2" s="3585"/>
      <c r="F2" s="3585"/>
      <c r="G2" s="3585"/>
      <c r="H2" s="3585"/>
      <c r="I2" s="3586"/>
    </row>
    <row r="3" spans="1:12" ht="12.75">
      <c r="A3" s="3588" t="s">
        <v>1263</v>
      </c>
      <c r="B3" s="3589"/>
      <c r="C3" s="3589"/>
      <c r="D3" s="3589"/>
      <c r="E3" s="3589"/>
      <c r="F3" s="3589"/>
      <c r="G3" s="3589"/>
      <c r="H3" s="3589"/>
      <c r="I3" s="3589"/>
    </row>
    <row r="4" spans="1:12" ht="14.25">
      <c r="A4" s="1754" t="s">
        <v>1264</v>
      </c>
      <c r="B4" s="1755" t="s">
        <v>1265</v>
      </c>
      <c r="C4" s="1756" t="s">
        <v>3428</v>
      </c>
      <c r="D4" s="1756" t="s">
        <v>3429</v>
      </c>
      <c r="E4" s="3590" t="s">
        <v>1266</v>
      </c>
      <c r="F4" s="3591"/>
      <c r="G4" s="3591"/>
      <c r="H4" s="3591"/>
      <c r="I4" s="3592"/>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假设开发法</v>
      </c>
    </row>
    <row r="5" spans="1:12" ht="12.75">
      <c r="A5" s="3564" t="s">
        <v>1267</v>
      </c>
      <c r="B5" s="3551">
        <v>25</v>
      </c>
      <c r="C5" s="3567"/>
      <c r="D5" s="3587"/>
      <c r="E5" s="131" t="s">
        <v>1268</v>
      </c>
      <c r="F5" s="1757"/>
      <c r="G5" s="1757"/>
      <c r="H5" s="1757"/>
      <c r="I5" s="1373"/>
    </row>
    <row r="6" spans="1:12" ht="12.75">
      <c r="A6" s="3564"/>
      <c r="B6" s="3551"/>
      <c r="C6" s="3568"/>
      <c r="D6" s="3587"/>
      <c r="E6" s="131" t="s">
        <v>1269</v>
      </c>
      <c r="F6" s="1757"/>
      <c r="G6" s="1757"/>
      <c r="H6" s="1757"/>
      <c r="I6" s="1373"/>
    </row>
    <row r="7" spans="1:12" ht="12.75">
      <c r="A7" s="3564"/>
      <c r="B7" s="3551"/>
      <c r="C7" s="3569"/>
      <c r="D7" s="3587"/>
      <c r="E7" s="131" t="s">
        <v>1270</v>
      </c>
      <c r="F7" s="1757"/>
      <c r="G7" s="1757"/>
      <c r="H7" s="1757"/>
      <c r="I7" s="1373"/>
    </row>
    <row r="8" spans="1:12" ht="12.75">
      <c r="A8" s="3564" t="s">
        <v>1271</v>
      </c>
      <c r="B8" s="3551">
        <v>15</v>
      </c>
      <c r="C8" s="3567"/>
      <c r="D8" s="3587"/>
      <c r="E8" s="131" t="s">
        <v>1272</v>
      </c>
      <c r="F8" s="1757"/>
      <c r="G8" s="1757"/>
      <c r="H8" s="1757"/>
      <c r="I8" s="1373"/>
    </row>
    <row r="9" spans="1:12" ht="12.75">
      <c r="A9" s="3564"/>
      <c r="B9" s="3551"/>
      <c r="C9" s="3569"/>
      <c r="D9" s="3587"/>
      <c r="E9" s="131" t="s">
        <v>1273</v>
      </c>
      <c r="F9" s="1757"/>
      <c r="G9" s="1757"/>
      <c r="H9" s="1757"/>
      <c r="I9" s="1373"/>
    </row>
    <row r="10" spans="1:12" ht="12.75">
      <c r="A10" s="3564" t="s">
        <v>1274</v>
      </c>
      <c r="B10" s="3551">
        <v>15</v>
      </c>
      <c r="C10" s="3567"/>
      <c r="D10" s="3587"/>
      <c r="E10" s="131" t="s">
        <v>1275</v>
      </c>
      <c r="F10" s="1757"/>
      <c r="G10" s="1757"/>
      <c r="H10" s="1757"/>
      <c r="I10" s="1373"/>
    </row>
    <row r="11" spans="1:12" ht="12.75">
      <c r="A11" s="3564"/>
      <c r="B11" s="3551"/>
      <c r="C11" s="3569"/>
      <c r="D11" s="3587"/>
      <c r="E11" s="131" t="s">
        <v>1276</v>
      </c>
      <c r="F11" s="1757"/>
      <c r="G11" s="1757"/>
      <c r="H11" s="1757"/>
      <c r="I11" s="1373"/>
    </row>
    <row r="12" spans="1:12" ht="12.75">
      <c r="A12" s="3564" t="s">
        <v>1277</v>
      </c>
      <c r="B12" s="3551">
        <v>15</v>
      </c>
      <c r="C12" s="3567"/>
      <c r="D12" s="3587"/>
      <c r="E12" s="131" t="s">
        <v>1278</v>
      </c>
      <c r="F12" s="1757"/>
      <c r="G12" s="1757"/>
      <c r="H12" s="1757"/>
      <c r="I12" s="1373"/>
    </row>
    <row r="13" spans="1:12" ht="12.75">
      <c r="A13" s="3564"/>
      <c r="B13" s="3551"/>
      <c r="C13" s="3569"/>
      <c r="D13" s="3587"/>
      <c r="E13" s="131" t="s">
        <v>1279</v>
      </c>
      <c r="F13" s="1757"/>
      <c r="G13" s="1757"/>
      <c r="H13" s="1757"/>
      <c r="I13" s="1373"/>
    </row>
    <row r="14" spans="1:12" ht="12.75">
      <c r="A14" s="3564" t="s">
        <v>1280</v>
      </c>
      <c r="B14" s="3551">
        <v>30</v>
      </c>
      <c r="C14" s="3567">
        <v>6</v>
      </c>
      <c r="D14" s="3587">
        <v>4</v>
      </c>
      <c r="E14" s="131" t="s">
        <v>1281</v>
      </c>
      <c r="F14" s="1757"/>
      <c r="G14" s="1757"/>
      <c r="H14" s="1757"/>
      <c r="I14" s="1373"/>
    </row>
    <row r="15" spans="1:12" ht="12.75">
      <c r="A15" s="3564"/>
      <c r="B15" s="3551"/>
      <c r="C15" s="3568"/>
      <c r="D15" s="3587"/>
      <c r="E15" s="131" t="s">
        <v>1282</v>
      </c>
      <c r="F15" s="1757"/>
      <c r="G15" s="1757"/>
      <c r="H15" s="1757"/>
      <c r="I15" s="1373"/>
    </row>
    <row r="16" spans="1:12" ht="12.75">
      <c r="A16" s="3564"/>
      <c r="B16" s="3551"/>
      <c r="C16" s="3569"/>
      <c r="D16" s="3587"/>
      <c r="E16" s="131" t="s">
        <v>1283</v>
      </c>
      <c r="F16" s="1757"/>
      <c r="G16" s="1757"/>
      <c r="H16" s="1757"/>
      <c r="I16" s="1373"/>
    </row>
    <row r="17" spans="1:36" ht="15">
      <c r="A17" s="1758" t="s">
        <v>1284</v>
      </c>
      <c r="B17" s="56"/>
      <c r="C17" s="132">
        <f>SUM(C5:C16)</f>
        <v>6</v>
      </c>
      <c r="D17" s="132">
        <f>SUM(D5:D16)</f>
        <v>4</v>
      </c>
      <c r="E17" s="129"/>
      <c r="F17" s="129"/>
      <c r="G17" s="129"/>
      <c r="H17" s="129"/>
      <c r="I17" s="129"/>
      <c r="K17" s="302"/>
      <c r="L17" s="302" t="s">
        <v>1285</v>
      </c>
      <c r="M17" s="302" t="s">
        <v>1286</v>
      </c>
    </row>
    <row r="18" spans="1:36" ht="31.9" customHeight="1" thickBot="1">
      <c r="A18" s="1759" t="s">
        <v>1287</v>
      </c>
      <c r="B18" s="1760"/>
      <c r="C18" s="133">
        <f>ROUND(C17/SUM(C17:D17),2)</f>
        <v>0.6</v>
      </c>
      <c r="D18" s="133">
        <f>1-C18</f>
        <v>0.4</v>
      </c>
      <c r="E18" s="3574" t="s">
        <v>2129</v>
      </c>
      <c r="F18" s="3575"/>
      <c r="G18" s="3575"/>
      <c r="H18" s="3575"/>
      <c r="I18" s="3575"/>
      <c r="K18" s="302" t="s">
        <v>1288</v>
      </c>
      <c r="L18" s="302">
        <f>IF(C1="",'数据-汇总表'!E3,SUMIF(项目类型,C1,'数据-汇总表'!E17:E26)+SUMIF(项目类型,C1,'数据-汇总表'!I17:I26))</f>
        <v>34689.100000000006</v>
      </c>
      <c r="M18" s="302">
        <f>IF(C1="",'数据-汇总表'!E3,SUMIF(项目类型,C1,'数据-汇总表'!E17:E26))</f>
        <v>34689.100000000006</v>
      </c>
    </row>
    <row r="19" spans="1:36" ht="15">
      <c r="A19" s="1761" t="s">
        <v>1289</v>
      </c>
      <c r="B19" s="1762" t="s">
        <v>1290</v>
      </c>
      <c r="C19" s="134">
        <f ca="1">SUMIF(INDIRECT("'"&amp;C4&amp;"'"&amp;"!A:A"),结果表!B19,INDIRECT("'"&amp;C4&amp;"'"&amp;"!B:B"))</f>
        <v>14896</v>
      </c>
      <c r="D19" s="135">
        <f ca="1">SUMIF(INDIRECT("'"&amp;D4&amp;"'"&amp;"!A:A"),结果表!B19,INDIRECT("'"&amp;D4&amp;"'"&amp;"!B:B"))</f>
        <v>10529</v>
      </c>
      <c r="E19" s="1761" t="s">
        <v>1291</v>
      </c>
      <c r="F19" s="1762" t="s">
        <v>1290</v>
      </c>
      <c r="G19" s="136">
        <f ca="1">ROUND(C19*$C$18+D19*$D$18,0)</f>
        <v>13149</v>
      </c>
      <c r="H19" s="1763" t="s">
        <v>1292</v>
      </c>
      <c r="I19" s="129"/>
      <c r="K19" s="302" t="s">
        <v>1293</v>
      </c>
      <c r="L19" s="302">
        <f>IF(C1="",'数据-汇总表'!D3,SUMIF(项目类型,C1,'数据-汇总表'!D17:D26)+SUMIF(项目类型,C1,'数据-汇总表'!H17:H27))</f>
        <v>23254.45</v>
      </c>
      <c r="M19" s="302">
        <f>IF(C1="",'数据-汇总表'!D3,SUMIF(项目类型,C1,'数据-汇总表'!D17:D26))</f>
        <v>23254.45</v>
      </c>
    </row>
    <row r="20" spans="1:36" ht="15">
      <c r="A20" s="1764"/>
      <c r="B20" s="1026" t="s">
        <v>1294</v>
      </c>
      <c r="C20" s="137">
        <f ca="1">SUMIF(INDIRECT("'"&amp;C4&amp;"'"&amp;"!A:A"),结果表!B20,INDIRECT("'"&amp;C4&amp;"'"&amp;"!B:B"))</f>
        <v>4294</v>
      </c>
      <c r="D20" s="138">
        <f ca="1">SUMIF(INDIRECT("'"&amp;D4&amp;"'"&amp;"!A:A"),结果表!B20,INDIRECT("'"&amp;D4&amp;"'"&amp;"!B:B"))</f>
        <v>3035</v>
      </c>
      <c r="E20" s="1764"/>
      <c r="F20" s="1026" t="s">
        <v>1294</v>
      </c>
      <c r="G20" s="139">
        <f ca="1">ROUND(C20*$C$18+D20*$D$18,0)</f>
        <v>3790</v>
      </c>
      <c r="H20" s="808" t="s">
        <v>1295</v>
      </c>
      <c r="I20" s="129"/>
    </row>
    <row r="21" spans="1:36" ht="15" customHeight="1" thickBot="1">
      <c r="A21" s="828"/>
      <c r="B21" s="1765" t="s">
        <v>1296</v>
      </c>
      <c r="C21" s="719">
        <f ca="1">ROUND(C19*10000/L19,0)</f>
        <v>6406</v>
      </c>
      <c r="D21" s="720">
        <f ca="1">ROUND(D19*10000/L19,0)</f>
        <v>4528</v>
      </c>
      <c r="E21" s="828"/>
      <c r="F21" s="1765" t="s">
        <v>1296</v>
      </c>
      <c r="G21" s="140">
        <f ca="1">ROUND(G19*10000/L19,0)</f>
        <v>5654</v>
      </c>
      <c r="H21" s="1766" t="s">
        <v>1295</v>
      </c>
      <c r="I21" s="129"/>
    </row>
    <row r="22" spans="1:36" ht="15" thickBot="1">
      <c r="A22" s="1688" t="s">
        <v>1297</v>
      </c>
      <c r="B22" s="1767"/>
      <c r="C22" s="1768"/>
      <c r="D22" s="721">
        <f ca="1">IF(C19&lt;D19,D19/C19-1,C19/D19-1)</f>
        <v>0.41475923639471945</v>
      </c>
      <c r="E22" s="129"/>
      <c r="F22" s="129"/>
      <c r="G22" s="129"/>
      <c r="H22" s="129"/>
      <c r="I22" s="129"/>
    </row>
    <row r="23" spans="1:36" ht="13.5" thickBot="1">
      <c r="A23" s="1747"/>
      <c r="B23" s="1747"/>
      <c r="C23" s="1747"/>
      <c r="D23" s="1747"/>
      <c r="E23" s="129"/>
      <c r="F23" s="129"/>
      <c r="G23" s="129"/>
      <c r="H23" s="129"/>
      <c r="I23" s="129"/>
    </row>
    <row r="24" spans="1:36" ht="14.25">
      <c r="A24" s="3558" t="s">
        <v>1298</v>
      </c>
      <c r="B24" s="1762" t="s">
        <v>1290</v>
      </c>
      <c r="C24" s="136">
        <f>IF(B30=0,0,D30)</f>
        <v>0</v>
      </c>
      <c r="D24" s="1769"/>
      <c r="E24" s="129"/>
      <c r="F24" s="129"/>
      <c r="G24" s="129"/>
      <c r="H24" s="129"/>
      <c r="I24" s="129"/>
    </row>
    <row r="25" spans="1:36" ht="14.25">
      <c r="A25" s="3559"/>
      <c r="B25" s="1026" t="s">
        <v>1294</v>
      </c>
      <c r="C25" s="141">
        <f>IF(B30=0,0,C30)</f>
        <v>0</v>
      </c>
      <c r="D25" s="1770"/>
      <c r="E25" s="129"/>
      <c r="F25" s="129"/>
      <c r="G25" s="129"/>
      <c r="H25" s="129"/>
      <c r="I25" s="129"/>
    </row>
    <row r="26" spans="1:36" ht="13.5" customHeight="1">
      <c r="A26" s="1771" t="s">
        <v>1299</v>
      </c>
      <c r="B26" s="142" t="s">
        <v>1300</v>
      </c>
      <c r="C26" s="142" t="s">
        <v>1301</v>
      </c>
      <c r="D26" s="143" t="s">
        <v>1302</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1303</v>
      </c>
      <c r="B30" s="142"/>
      <c r="C30" s="142"/>
      <c r="D30" s="142"/>
      <c r="E30" s="2303" t="s">
        <v>2130</v>
      </c>
      <c r="F30" s="129"/>
      <c r="G30" s="129"/>
      <c r="H30" s="129"/>
      <c r="I30" s="129"/>
    </row>
    <row r="31" spans="1:36" s="2309" customFormat="1" ht="26.45" customHeight="1" thickTop="1" thickBot="1">
      <c r="A31" s="2304"/>
      <c r="B31" s="2305"/>
      <c r="C31" s="2305"/>
      <c r="D31" s="2305"/>
      <c r="E31" s="2305"/>
      <c r="F31" s="2305"/>
      <c r="G31" s="2305"/>
      <c r="H31" s="2305"/>
      <c r="I31" s="2306" t="s">
        <v>2131</v>
      </c>
      <c r="J31" s="2687"/>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1304</v>
      </c>
      <c r="B32" s="1774"/>
      <c r="C32" s="144">
        <f ca="1">IF(D32="总价",G19-C24,G20-C25)</f>
        <v>13149</v>
      </c>
      <c r="D32" s="1775" t="s">
        <v>3521</v>
      </c>
      <c r="E32" s="129"/>
      <c r="F32" s="129"/>
      <c r="G32" s="129"/>
      <c r="H32" s="129"/>
      <c r="I32" s="129"/>
    </row>
    <row r="33" spans="1:15" ht="15">
      <c r="A33" s="786" t="s">
        <v>1305</v>
      </c>
      <c r="B33" s="1776"/>
      <c r="C33" s="1777" t="s">
        <v>3522</v>
      </c>
      <c r="D33" s="1778" t="s">
        <v>3428</v>
      </c>
      <c r="E33" s="1779" t="s">
        <v>1306</v>
      </c>
      <c r="F33" s="1780" t="str">
        <f>IF(D32="楼面单价","取值（单价）","取值（总价）")</f>
        <v>取值（总价）</v>
      </c>
      <c r="G33" s="129"/>
      <c r="H33" s="129"/>
      <c r="I33" s="129"/>
    </row>
    <row r="34" spans="1:15" ht="15">
      <c r="A34" s="1781"/>
      <c r="B34" s="1782" t="s">
        <v>1307</v>
      </c>
      <c r="C34" s="148">
        <f ca="1">IF(C33="自定义",F34,C32-C35)</f>
        <v>3603</v>
      </c>
      <c r="D34" s="861">
        <f ca="1">IF(C33="自定义",ROUND(C34/C32,3),IF(C33="收益比率",SUMIF(INDIRECT("'"&amp;D33&amp;"'"&amp;"!b:b"),"土地收益比率",INDIRECT("'"&amp;D33&amp;"'"&amp;"!c:c")),SUMIF(INDIRECT("'"&amp;D33&amp;"'"&amp;"!b:b"),"土地成本比率",INDIRECT("'"&amp;D33&amp;"'"&amp;"!c:c"))))</f>
        <v>0.27400000000000002</v>
      </c>
      <c r="E34" s="1783" t="s">
        <v>1308</v>
      </c>
      <c r="F34" s="1330"/>
      <c r="G34" s="129"/>
      <c r="H34" s="129"/>
      <c r="I34" s="129"/>
    </row>
    <row r="35" spans="1:15" ht="15.75" thickBot="1">
      <c r="A35" s="1784"/>
      <c r="B35" s="1785" t="s">
        <v>1309</v>
      </c>
      <c r="C35" s="1170">
        <f ca="1">IF(C33="自定义",F35,ROUND(C32*D35,0))</f>
        <v>9546</v>
      </c>
      <c r="D35" s="1171">
        <f ca="1">IF(C33="自定义",ROUND(C35/C32,3),IF(C33="收益比率",SUMIF(INDIRECT("'"&amp;D33&amp;"'"&amp;"!b:b"),"建筑物收益比率",INDIRECT("'"&amp;D33&amp;"'"&amp;"!c:c")),SUMIF(INDIRECT("'"&amp;D33&amp;"'"&amp;"!b:b"),"建筑物成本比率",INDIRECT("'"&amp;D33&amp;"'"&amp;"!c:c"))))</f>
        <v>0.72599999999999998</v>
      </c>
      <c r="E35" s="1786" t="s">
        <v>1310</v>
      </c>
      <c r="F35" s="154"/>
      <c r="G35" s="129"/>
      <c r="H35" s="129"/>
      <c r="I35" s="129"/>
    </row>
    <row r="36" spans="1:15" ht="15.75" thickBot="1">
      <c r="A36" s="3578" t="s">
        <v>1311</v>
      </c>
      <c r="B36" s="1787" t="s">
        <v>1312</v>
      </c>
      <c r="C36" s="145"/>
      <c r="D36" s="1788"/>
      <c r="E36" s="1789"/>
      <c r="F36" s="1790"/>
      <c r="G36" s="129"/>
      <c r="H36" s="129"/>
      <c r="I36" s="129"/>
    </row>
    <row r="37" spans="1:15" ht="15.75" thickBot="1">
      <c r="A37" s="3579"/>
      <c r="B37" s="1674" t="s">
        <v>1313</v>
      </c>
      <c r="C37" s="147"/>
      <c r="D37" s="1139"/>
      <c r="E37" s="1139"/>
      <c r="F37" s="1790"/>
      <c r="G37" s="129"/>
      <c r="H37" s="129"/>
      <c r="I37" s="129"/>
    </row>
    <row r="38" spans="1:15" ht="15.75" thickBot="1">
      <c r="A38" s="3580"/>
      <c r="B38" s="1791" t="s">
        <v>1314</v>
      </c>
      <c r="C38" s="674"/>
      <c r="D38" s="1792" t="s">
        <v>1315</v>
      </c>
      <c r="E38" s="1139"/>
      <c r="F38" s="1790"/>
      <c r="G38" s="129"/>
      <c r="H38" s="129"/>
      <c r="I38" s="129"/>
    </row>
    <row r="39" spans="1:15" ht="15">
      <c r="A39" s="1764" t="s">
        <v>1316</v>
      </c>
      <c r="B39" s="1793" t="s">
        <v>1317</v>
      </c>
      <c r="C39" s="1794" t="s">
        <v>1318</v>
      </c>
      <c r="D39" s="1794" t="s">
        <v>1319</v>
      </c>
      <c r="E39" s="1795" t="s">
        <v>1320</v>
      </c>
      <c r="F39" s="1790"/>
      <c r="G39" s="129"/>
      <c r="H39" s="129"/>
      <c r="I39" s="129"/>
    </row>
    <row r="40" spans="1:15" ht="14.25">
      <c r="A40" s="1796" t="s">
        <v>1321</v>
      </c>
      <c r="B40" s="149"/>
      <c r="C40" s="150"/>
      <c r="D40" s="150"/>
      <c r="E40" s="151"/>
      <c r="F40" s="1790"/>
      <c r="G40" s="129"/>
      <c r="H40" s="129"/>
      <c r="I40" s="129"/>
    </row>
    <row r="41" spans="1:15" ht="14.25">
      <c r="A41" s="1796" t="s">
        <v>1322</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1323</v>
      </c>
      <c r="B44" s="1801"/>
      <c r="C44" s="1801"/>
      <c r="D44" s="1802"/>
      <c r="E44" s="1802"/>
      <c r="F44" s="1803"/>
      <c r="G44" s="1803"/>
      <c r="H44" s="1803"/>
      <c r="I44" s="1803"/>
      <c r="J44" s="1804" t="s">
        <v>1324</v>
      </c>
      <c r="K44" s="1805"/>
      <c r="L44" s="1805"/>
      <c r="M44" s="1805"/>
      <c r="N44" s="1805"/>
      <c r="O44" s="1805"/>
    </row>
    <row r="45" spans="1:15" ht="14.25" customHeight="1" thickBot="1">
      <c r="A45" s="3555" t="s">
        <v>1325</v>
      </c>
      <c r="B45" s="3556"/>
      <c r="C45" s="3557"/>
      <c r="D45" s="155">
        <f ca="1">ROUND(H101*F45,0)</f>
        <v>13149</v>
      </c>
      <c r="E45" s="156" t="s">
        <v>1326</v>
      </c>
      <c r="F45" s="157">
        <v>1</v>
      </c>
      <c r="G45" s="158" t="s">
        <v>1327</v>
      </c>
      <c r="H45" s="129"/>
      <c r="I45" s="129"/>
      <c r="J45" s="3633" t="s">
        <v>1328</v>
      </c>
      <c r="K45" s="3633"/>
      <c r="L45" s="3633"/>
      <c r="M45" s="3633"/>
      <c r="N45" s="3633"/>
      <c r="O45" s="3633"/>
    </row>
    <row r="46" spans="1:15" ht="14.25" customHeight="1">
      <c r="A46" s="3552" t="s">
        <v>1329</v>
      </c>
      <c r="B46" s="3553"/>
      <c r="C46" s="3553"/>
      <c r="D46" s="3553"/>
      <c r="E46" s="3553"/>
      <c r="F46" s="3553"/>
      <c r="G46" s="3554"/>
      <c r="H46" s="1806"/>
      <c r="I46" s="159"/>
      <c r="J46" s="2521">
        <v>1</v>
      </c>
      <c r="K46" s="3614" t="s">
        <v>1330</v>
      </c>
      <c r="L46" s="3614"/>
      <c r="M46" s="3634"/>
      <c r="N46" s="3634"/>
      <c r="O46" s="3634"/>
    </row>
    <row r="47" spans="1:15" ht="12" customHeight="1">
      <c r="A47" s="160" t="s">
        <v>1331</v>
      </c>
      <c r="B47" s="161"/>
      <c r="C47" s="162"/>
      <c r="D47" s="1087" t="s">
        <v>1332</v>
      </c>
      <c r="E47" s="302" t="s">
        <v>1333</v>
      </c>
      <c r="F47" s="163" t="s">
        <v>1334</v>
      </c>
      <c r="G47" s="2544" t="s">
        <v>1335</v>
      </c>
      <c r="H47" s="2545"/>
      <c r="I47" s="159"/>
      <c r="J47" s="2521">
        <v>2</v>
      </c>
      <c r="K47" s="3614" t="s">
        <v>1336</v>
      </c>
      <c r="L47" s="3614"/>
      <c r="M47" s="3635">
        <f>'数据-取费表'!B2</f>
        <v>45044</v>
      </c>
      <c r="N47" s="3635"/>
      <c r="O47" s="3635"/>
    </row>
    <row r="48" spans="1:15" ht="25.5">
      <c r="A48" s="3583" t="s">
        <v>1337</v>
      </c>
      <c r="B48" s="3566"/>
      <c r="C48" s="3566"/>
      <c r="D48" s="2324" t="b">
        <f>IF(H48="情况1",0,IF(H48="情况2",D52,IF(H48="情况3",D53,IF(H48="情况4",D54))))</f>
        <v>0</v>
      </c>
      <c r="E48" s="2334" t="str">
        <f>IF(H48="情况4","(销售额-原购置价)×税（费）率","销售额×税（费）率")</f>
        <v>销售额×税（费）率</v>
      </c>
      <c r="F48" s="2546">
        <f>IF(H48="情况1","免征",'数据-取费表'!B41)</f>
        <v>5.5000000000000007E-2</v>
      </c>
      <c r="G48" s="2547" t="s">
        <v>1338</v>
      </c>
      <c r="H48" s="2548"/>
      <c r="I48" s="1806"/>
      <c r="J48" s="2521">
        <v>3</v>
      </c>
      <c r="K48" s="3614" t="s">
        <v>1339</v>
      </c>
      <c r="L48" s="3614"/>
      <c r="M48" s="3636">
        <f ca="1">H101</f>
        <v>13149</v>
      </c>
      <c r="N48" s="3636"/>
      <c r="O48" s="3636"/>
    </row>
    <row r="49" spans="1:35" ht="25.5" customHeight="1">
      <c r="A49" s="2333" t="s">
        <v>1340</v>
      </c>
      <c r="B49" s="3550" t="s">
        <v>1341</v>
      </c>
      <c r="C49" s="3550"/>
      <c r="D49" s="1590">
        <v>0</v>
      </c>
      <c r="E49" s="324" t="s">
        <v>1342</v>
      </c>
      <c r="F49" s="2422" t="s">
        <v>28</v>
      </c>
      <c r="G49" s="3620"/>
      <c r="H49" s="2310" t="s">
        <v>2132</v>
      </c>
      <c r="I49" s="2311"/>
      <c r="J49" s="2521">
        <v>4</v>
      </c>
      <c r="K49" s="3614" t="str">
        <f>IF(项目基本情况!E8="房地产抵押价值","房地产抵押价值","抵押担保权已注销时的房地产抵押价值")</f>
        <v>房地产抵押价值</v>
      </c>
      <c r="L49" s="3614"/>
      <c r="M49" s="3636">
        <f ca="1">IF(项目基本情况!E8="房地产抵押价值",H107,H109)</f>
        <v>13149</v>
      </c>
      <c r="N49" s="3636"/>
      <c r="O49" s="3636"/>
    </row>
    <row r="50" spans="1:35" ht="25.5" customHeight="1">
      <c r="A50" s="2549"/>
      <c r="B50" s="3550" t="s">
        <v>1343</v>
      </c>
      <c r="C50" s="3550"/>
      <c r="D50" s="2550"/>
      <c r="E50" s="332"/>
      <c r="F50" s="2422"/>
      <c r="G50" s="3621"/>
      <c r="H50" s="2312" t="s">
        <v>2133</v>
      </c>
      <c r="I50" s="2311"/>
      <c r="J50" s="3633" t="s">
        <v>1344</v>
      </c>
      <c r="K50" s="3633"/>
      <c r="L50" s="3633"/>
      <c r="M50" s="3633"/>
      <c r="N50" s="3633"/>
      <c r="O50" s="3633"/>
    </row>
    <row r="51" spans="1:35" ht="20.45" customHeight="1">
      <c r="A51" s="2551"/>
      <c r="B51" s="3550" t="s">
        <v>1345</v>
      </c>
      <c r="C51" s="3550"/>
      <c r="D51" s="1087"/>
      <c r="E51" s="327"/>
      <c r="F51" s="2422"/>
      <c r="G51" s="3622"/>
      <c r="H51" s="2312" t="s">
        <v>2134</v>
      </c>
      <c r="I51" s="2311"/>
      <c r="J51" s="2522" t="s">
        <v>1346</v>
      </c>
      <c r="K51" s="3614" t="s">
        <v>1347</v>
      </c>
      <c r="L51" s="3614"/>
      <c r="M51" s="2522" t="s">
        <v>1348</v>
      </c>
      <c r="N51" s="2522" t="s">
        <v>1349</v>
      </c>
      <c r="O51" s="2522" t="s">
        <v>1350</v>
      </c>
    </row>
    <row r="52" spans="1:35" ht="24" customHeight="1">
      <c r="A52" s="2335" t="s">
        <v>1351</v>
      </c>
      <c r="B52" s="3550" t="s">
        <v>1352</v>
      </c>
      <c r="C52" s="3550"/>
      <c r="D52" s="1087">
        <f ca="1">ROUND(D45*'数据-取费表'!B41/(1+'数据-取费表'!C42),0)</f>
        <v>689</v>
      </c>
      <c r="E52" s="2334" t="s">
        <v>1353</v>
      </c>
      <c r="F52" s="2552">
        <f>'数据-取费表'!B41</f>
        <v>5.5000000000000007E-2</v>
      </c>
      <c r="G52" s="2553"/>
      <c r="H52" s="2542"/>
      <c r="I52" s="1807"/>
      <c r="J52" s="2521">
        <v>1</v>
      </c>
      <c r="K52" s="3615" t="s">
        <v>1354</v>
      </c>
      <c r="L52" s="3615"/>
      <c r="M52" s="2523" t="b">
        <f>D48</f>
        <v>0</v>
      </c>
      <c r="N52" s="2521" t="str">
        <f>E48</f>
        <v>销售额×税（费）率</v>
      </c>
      <c r="O52" s="2524">
        <f>F48</f>
        <v>5.5000000000000007E-2</v>
      </c>
    </row>
    <row r="53" spans="1:35" ht="12" customHeight="1">
      <c r="A53" s="2335" t="s">
        <v>1355</v>
      </c>
      <c r="B53" s="3576" t="s">
        <v>2289</v>
      </c>
      <c r="C53" s="3577"/>
      <c r="D53" s="1087">
        <f ca="1">ROUND(D45*'数据-取费表'!B41/(1+'数据-取费表'!C42),0)</f>
        <v>689</v>
      </c>
      <c r="E53" s="2334" t="s">
        <v>1353</v>
      </c>
      <c r="F53" s="2552">
        <f>'数据-取费表'!B41</f>
        <v>5.5000000000000007E-2</v>
      </c>
      <c r="G53" s="2553"/>
      <c r="H53" s="2542"/>
      <c r="I53" s="1807"/>
      <c r="J53" s="2521">
        <v>2</v>
      </c>
      <c r="K53" s="3615" t="s">
        <v>1356</v>
      </c>
      <c r="L53" s="3615"/>
      <c r="M53" s="2523">
        <f t="shared" ref="M53:O54" ca="1" si="0">D55</f>
        <v>7</v>
      </c>
      <c r="N53" s="2521" t="str">
        <f t="shared" si="0"/>
        <v>销售额×税（费）率</v>
      </c>
      <c r="O53" s="2524" t="str">
        <f t="shared" si="0"/>
        <v>免征</v>
      </c>
    </row>
    <row r="54" spans="1:35" ht="12" customHeight="1">
      <c r="A54" s="2335" t="s">
        <v>1357</v>
      </c>
      <c r="B54" s="3576" t="s">
        <v>2290</v>
      </c>
      <c r="C54" s="3577"/>
      <c r="D54" s="1087">
        <f ca="1">C68</f>
        <v>689</v>
      </c>
      <c r="E54" s="327" t="s">
        <v>1358</v>
      </c>
      <c r="F54" s="2552">
        <f>'数据-取费表'!B41</f>
        <v>5.5000000000000007E-2</v>
      </c>
      <c r="G54" s="2553"/>
      <c r="H54" s="2554"/>
      <c r="I54" s="1807"/>
      <c r="J54" s="2521">
        <v>3</v>
      </c>
      <c r="K54" s="3615" t="s">
        <v>1359</v>
      </c>
      <c r="L54" s="3615"/>
      <c r="M54" s="2523">
        <f t="shared" ca="1" si="0"/>
        <v>7454</v>
      </c>
      <c r="N54" s="2521" t="str">
        <f t="shared" si="0"/>
        <v>增值额×税（费）率</v>
      </c>
      <c r="O54" s="2525" t="str">
        <f t="shared" si="0"/>
        <v>免征</v>
      </c>
    </row>
    <row r="55" spans="1:35" ht="24" customHeight="1">
      <c r="A55" s="3565" t="s">
        <v>1360</v>
      </c>
      <c r="B55" s="3566"/>
      <c r="C55" s="3566"/>
      <c r="D55" s="2324">
        <f ca="1">IF(H55="个人住宅",0,ROUND(D45*I55,0))</f>
        <v>7</v>
      </c>
      <c r="E55" s="2334" t="s">
        <v>1361</v>
      </c>
      <c r="F55" s="2552" t="str">
        <f>IF(H55="正常",I55,"免征")</f>
        <v>免征</v>
      </c>
      <c r="G55" s="2553"/>
      <c r="H55" s="2548"/>
      <c r="I55" s="165">
        <f>'数据-取费表'!B49</f>
        <v>5.0000000000000001E-4</v>
      </c>
      <c r="J55" s="2521">
        <f>IF(H59="非个人房产","",4)</f>
        <v>4</v>
      </c>
      <c r="K55" s="3615" t="str">
        <f>IF(H59="非个人房产","——","个人所得税")</f>
        <v>个人所得税</v>
      </c>
      <c r="L55" s="3615"/>
      <c r="M55" s="2526">
        <f ca="1">D59</f>
        <v>125</v>
      </c>
      <c r="N55" s="2040" t="str">
        <f>E59</f>
        <v>差额计税</v>
      </c>
      <c r="O55" s="2527">
        <f>F59</f>
        <v>0.01</v>
      </c>
    </row>
    <row r="56" spans="1:35" ht="24.75">
      <c r="A56" s="3565" t="s">
        <v>1362</v>
      </c>
      <c r="B56" s="3566"/>
      <c r="C56" s="3566"/>
      <c r="D56" s="2324">
        <f ca="1">IF(H56="个人住宅",D57,D58)</f>
        <v>7454</v>
      </c>
      <c r="E56" s="2334" t="s">
        <v>1363</v>
      </c>
      <c r="F56" s="2552" t="str">
        <f>IF(H56="正常",F58,"免征")</f>
        <v>免征</v>
      </c>
      <c r="G56" s="2555" t="s">
        <v>1364</v>
      </c>
      <c r="H56" s="2556"/>
      <c r="I56" s="1808"/>
      <c r="J56" s="2521" t="str">
        <f>IF(项目基本情况!K6="上海银行",IF(J55="",4,J55+1),"")</f>
        <v/>
      </c>
      <c r="K56" s="3638" t="str">
        <f>IF(项目基本情况!K6="上海银行","其他处置费用","")</f>
        <v/>
      </c>
      <c r="L56" s="3639"/>
      <c r="M56" s="2523" t="str">
        <f>IF(项目基本情况!K6="上海银行",M69,"")</f>
        <v/>
      </c>
      <c r="N56" s="3638" t="str">
        <f>IF(项目基本情况!K6="上海银行","包含处置中涉及的律师、诉讼、拍卖、评估等费用","")</f>
        <v/>
      </c>
      <c r="O56" s="3641"/>
    </row>
    <row r="57" spans="1:35" ht="12.75">
      <c r="A57" s="2335" t="s">
        <v>1340</v>
      </c>
      <c r="B57" s="3576" t="s">
        <v>1365</v>
      </c>
      <c r="C57" s="3577"/>
      <c r="D57" s="1590">
        <v>0</v>
      </c>
      <c r="E57" s="324" t="s">
        <v>1342</v>
      </c>
      <c r="F57" s="302"/>
      <c r="G57" s="2553"/>
      <c r="H57" s="2557"/>
      <c r="I57" s="1808"/>
      <c r="J57" s="3615">
        <f>IF(AND(J55="",J56=""),4,IF(项目基本情况!K6="上海银行",结果表!J56+1,结果表!J55+1))</f>
        <v>5</v>
      </c>
      <c r="K57" s="3615" t="s">
        <v>1366</v>
      </c>
      <c r="L57" s="2528" t="s">
        <v>1367</v>
      </c>
      <c r="M57" s="2529"/>
      <c r="N57" s="2530">
        <f ca="1">SUMIF(M52:M56,"&lt;9e307")</f>
        <v>7586</v>
      </c>
      <c r="O57" s="2531"/>
      <c r="P57" s="2688">
        <f ca="1">N57/M49</f>
        <v>0.57692600197733668</v>
      </c>
    </row>
    <row r="58" spans="1:35" ht="24.75">
      <c r="A58" s="2335" t="s">
        <v>1351</v>
      </c>
      <c r="B58" s="3576" t="s">
        <v>1368</v>
      </c>
      <c r="C58" s="3550"/>
      <c r="D58" s="2324">
        <f ca="1">IF(H58="转让取得",C81,C97)</f>
        <v>7454</v>
      </c>
      <c r="E58" s="2334" t="s">
        <v>1363</v>
      </c>
      <c r="F58" s="302" t="s">
        <v>28</v>
      </c>
      <c r="G58" s="2553"/>
      <c r="H58" s="2556"/>
      <c r="I58" s="1808"/>
      <c r="J58" s="3615"/>
      <c r="K58" s="3615"/>
      <c r="L58" s="2528" t="s">
        <v>1369</v>
      </c>
      <c r="M58" s="2532"/>
      <c r="N58" s="2533" t="str">
        <f ca="1">NUMBERSTRING(INT(N57*10000),2)&amp;"元整"</f>
        <v>柒仟伍佰捌拾陆万元整</v>
      </c>
      <c r="O58" s="2534"/>
    </row>
    <row r="59" spans="1:35" ht="24.75" thickBot="1">
      <c r="A59" s="3618" t="s">
        <v>1370</v>
      </c>
      <c r="B59" s="3619"/>
      <c r="C59" s="3619"/>
      <c r="D59" s="2558">
        <f ca="1">IF(H59="非个人房产","——",IF(H59="个人住宅（满五唯一有凭证）",0,IF(H59="个人其他（无凭证）",ROUND(D45*F59,0),ROUND(C67*F59,0))))</f>
        <v>125</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1364</v>
      </c>
      <c r="H59" s="2314"/>
      <c r="I59" s="2313" t="s">
        <v>2135</v>
      </c>
      <c r="J59" s="3616">
        <f>J57+1</f>
        <v>6</v>
      </c>
      <c r="K59" s="3615" t="s">
        <v>1371</v>
      </c>
      <c r="L59" s="2521" t="s">
        <v>1367</v>
      </c>
      <c r="M59" s="2535"/>
      <c r="N59" s="2536">
        <f ca="1">M49-N57</f>
        <v>5563</v>
      </c>
      <c r="O59" s="2537"/>
    </row>
    <row r="60" spans="1:35" ht="12" customHeight="1">
      <c r="A60" s="1809"/>
      <c r="B60" s="1747"/>
      <c r="C60" s="1747"/>
      <c r="D60" s="1747"/>
      <c r="E60" s="1578"/>
      <c r="F60" s="1808"/>
      <c r="G60" s="1808"/>
      <c r="H60" s="1810"/>
      <c r="I60" s="129"/>
      <c r="J60" s="3617"/>
      <c r="K60" s="3615"/>
      <c r="L60" s="2528" t="s">
        <v>1369</v>
      </c>
      <c r="M60" s="2532"/>
      <c r="N60" s="2533" t="str">
        <f ca="1">NUMBERSTRING(INT(N59*10000),2)&amp;"元整"</f>
        <v>伍仟伍佰陆拾叁万元整</v>
      </c>
      <c r="O60" s="2534"/>
    </row>
    <row r="61" spans="1:35" ht="13.5" thickBot="1">
      <c r="A61" s="3563" t="s">
        <v>1372</v>
      </c>
      <c r="B61" s="3563"/>
      <c r="C61" s="3563"/>
      <c r="D61" s="3563"/>
      <c r="E61" s="3563"/>
      <c r="F61" s="1808"/>
      <c r="G61" s="1808"/>
      <c r="H61" s="1810"/>
      <c r="I61" s="129"/>
      <c r="J61" s="2521">
        <f>J59+1</f>
        <v>7</v>
      </c>
      <c r="K61" s="3615" t="s">
        <v>1373</v>
      </c>
      <c r="L61" s="3615"/>
      <c r="M61" s="2538"/>
      <c r="N61" s="2539">
        <f ca="1">ROUND(N59*10000/'数据-汇总表'!E3,0)</f>
        <v>1604</v>
      </c>
      <c r="O61" s="2540"/>
    </row>
    <row r="62" spans="1:35" ht="12.75">
      <c r="A62" s="3581" t="s">
        <v>1374</v>
      </c>
      <c r="B62" s="3582"/>
      <c r="C62" s="2021"/>
      <c r="D62" s="2021" t="s">
        <v>1375</v>
      </c>
      <c r="E62" s="166" t="s">
        <v>1376</v>
      </c>
      <c r="F62" s="1808"/>
      <c r="G62" s="1808"/>
      <c r="H62" s="1810"/>
      <c r="I62" s="129"/>
    </row>
    <row r="63" spans="1:35" ht="12.75">
      <c r="A63" s="173" t="s">
        <v>330</v>
      </c>
      <c r="B63" s="167" t="s">
        <v>1377</v>
      </c>
      <c r="C63" s="2562">
        <f ca="1">ROUND((C64+C65)/(1+'数据-取费表'!C42),0)</f>
        <v>12523</v>
      </c>
      <c r="D63" s="167"/>
      <c r="E63" s="168"/>
      <c r="F63" s="1808"/>
      <c r="G63" s="1808"/>
      <c r="H63" s="1810"/>
      <c r="I63" s="129"/>
      <c r="J63" s="3640" t="s">
        <v>1378</v>
      </c>
      <c r="K63" s="1332" t="s">
        <v>1379</v>
      </c>
      <c r="L63" s="1332">
        <f ca="1">IF(M49&gt;10000,M49*0.5%,IF(AND(M49&gt;1000,M49&lt;=10000),M49*1%,IF(AND(M49&gt;100,M49&lt;=1000),M49*3%,IF(AND(M49&gt;10,M49&lt;=100),M49*5%,M49*8%))))</f>
        <v>65.745000000000005</v>
      </c>
      <c r="M63" s="302">
        <f ca="1">ROUND(L63,1)</f>
        <v>65.7</v>
      </c>
      <c r="N63" s="2541"/>
      <c r="Z63" s="1752"/>
      <c r="AI63" s="1753"/>
    </row>
    <row r="64" spans="1:35" ht="14.25" customHeight="1">
      <c r="A64" s="169" t="s">
        <v>325</v>
      </c>
      <c r="B64" s="170" t="s">
        <v>1380</v>
      </c>
      <c r="C64" s="2563">
        <f ca="1">D45</f>
        <v>13149</v>
      </c>
      <c r="D64" s="170" t="s">
        <v>26</v>
      </c>
      <c r="E64" s="172"/>
      <c r="F64" s="1808"/>
      <c r="G64" s="1808"/>
      <c r="H64" s="1810"/>
      <c r="I64" s="129"/>
      <c r="J64" s="3640"/>
      <c r="K64" s="1332" t="s">
        <v>1381</v>
      </c>
      <c r="L64" s="1332">
        <f ca="1">IF(M49&gt;2000,M49*0.5%,IF(AND(M49&gt;1000,M49&lt;=2000),M49*0.6%,IF(AND(M49&gt;500,M49&lt;=1000),M49*0.7%,IF(AND(M49&gt;200,M49&lt;=500),M49*0.8%,IF(AND(M49&gt;100,M49&lt;=200),M49*0.9%,IF(AND(M49&gt;50,M49&lt;=100),M49*1%,IF(AND(M49&gt;20,M49&lt;=50),M49*1.5%,IF(AND(M49&gt;10,M49&lt;=20),M49*2%,IF(AND(M49&gt;1,M49&lt;=10),M49*2.5%)))))))))</f>
        <v>65.745000000000005</v>
      </c>
      <c r="M64" s="302">
        <f t="shared" ref="M64:M65" ca="1" si="1">ROUND(L64,1)</f>
        <v>65.7</v>
      </c>
      <c r="N64" s="2542" t="s">
        <v>1382</v>
      </c>
      <c r="Z64" s="1752"/>
      <c r="AI64" s="1753"/>
    </row>
    <row r="65" spans="1:35" ht="14.25" customHeight="1">
      <c r="A65" s="169" t="s">
        <v>326</v>
      </c>
      <c r="B65" s="170" t="s">
        <v>1383</v>
      </c>
      <c r="C65" s="2564"/>
      <c r="D65" s="170"/>
      <c r="E65" s="172"/>
      <c r="F65" s="1808"/>
      <c r="G65" s="1808"/>
      <c r="H65" s="1810"/>
      <c r="I65" s="129"/>
      <c r="J65" s="3640"/>
      <c r="K65" s="1332" t="s">
        <v>1384</v>
      </c>
      <c r="L65" s="1332">
        <f ca="1">IF(M49&gt;1000,M49*0.1%,IF(AND(M49&gt;500,M49&lt;=1000),M49*0.5%,IF(AND(M49&gt;50,M49&lt;=500),M49*1%,IF(AND(M49&gt;1,M49&lt;=50),M49*1.5%))))</f>
        <v>13.149000000000001</v>
      </c>
      <c r="M65" s="302">
        <f t="shared" ca="1" si="1"/>
        <v>13.1</v>
      </c>
      <c r="N65" s="2542" t="s">
        <v>1382</v>
      </c>
      <c r="Z65" s="1752"/>
      <c r="AI65" s="1753"/>
    </row>
    <row r="66" spans="1:35" ht="14.25" customHeight="1">
      <c r="A66" s="173" t="s">
        <v>327</v>
      </c>
      <c r="B66" s="174" t="s">
        <v>1385</v>
      </c>
      <c r="C66" s="2565"/>
      <c r="D66" s="174" t="s">
        <v>26</v>
      </c>
      <c r="E66" s="1338" t="s">
        <v>671</v>
      </c>
      <c r="F66" s="1808"/>
      <c r="G66" s="1808"/>
      <c r="H66" s="1810"/>
      <c r="I66" s="129"/>
      <c r="J66" s="3640"/>
      <c r="K66" s="1332" t="s">
        <v>1386</v>
      </c>
      <c r="L66" s="1332">
        <f ca="1">M49*0.5%</f>
        <v>65.745000000000005</v>
      </c>
      <c r="M66" s="302">
        <f ca="1">IF(L66&gt;0.5,0.5,ROUND(L66,0))</f>
        <v>0.5</v>
      </c>
      <c r="N66" s="2542" t="s">
        <v>1387</v>
      </c>
      <c r="Z66" s="1752"/>
      <c r="AI66" s="1753"/>
    </row>
    <row r="67" spans="1:35" ht="14.25" customHeight="1">
      <c r="A67" s="173" t="s">
        <v>328</v>
      </c>
      <c r="B67" s="174" t="s">
        <v>1388</v>
      </c>
      <c r="C67" s="2566">
        <f ca="1">C63-C66</f>
        <v>12523</v>
      </c>
      <c r="D67" s="170" t="s">
        <v>26</v>
      </c>
      <c r="E67" s="172"/>
      <c r="F67" s="1808"/>
      <c r="G67" s="1808"/>
      <c r="H67" s="1810"/>
      <c r="I67" s="129"/>
      <c r="J67" s="3640"/>
      <c r="K67" s="1332" t="s">
        <v>1389</v>
      </c>
      <c r="L67" s="1332">
        <f ca="1">IF(M49&gt;=10000,(8.25+(M49-10000)*0.01%),IF(AND(M49&gt;=8000,M49&lt;10000),(7.85+(M49-8000)*0.02%),IF(AND(M49&gt;=5000,M49&lt;8000),(6.65+(M49-5000)*0.04%),IF(AND(M49&gt;=2000,M49&lt;5000),(4.25+(PM49-2000)*0.08%),IF(AND(M49&gt;=1000,M49&lt;2000),(2.75+(M49-1000)*0.15%),IF(AND(M49&gt;=100,M49&lt;1000),(0.5+(M49-100)*0.25%),IF(AND(M49&gt;0,M49&lt;100),M49*0.5%)))))))</f>
        <v>8.5648999999999997</v>
      </c>
      <c r="M67" s="302">
        <f ca="1">ROUND(L67*0.9,1)</f>
        <v>7.7</v>
      </c>
      <c r="N67" s="2541"/>
      <c r="Z67" s="1752"/>
      <c r="AI67" s="1753"/>
    </row>
    <row r="68" spans="1:35" ht="14.25" customHeight="1" thickBot="1">
      <c r="A68" s="176" t="s">
        <v>329</v>
      </c>
      <c r="B68" s="177" t="s">
        <v>1390</v>
      </c>
      <c r="C68" s="2567">
        <f ca="1">IF(C67&lt;=0,0,ROUND(C67*D68,0))</f>
        <v>689</v>
      </c>
      <c r="D68" s="2568">
        <f>'数据-取费表'!B41</f>
        <v>5.5000000000000007E-2</v>
      </c>
      <c r="E68" s="178"/>
      <c r="F68" s="1808"/>
      <c r="G68" s="1808"/>
      <c r="H68" s="1810"/>
      <c r="I68" s="129"/>
      <c r="J68" s="3640"/>
      <c r="K68" s="1332" t="s">
        <v>1391</v>
      </c>
      <c r="L68" s="1332">
        <f ca="1">IF(M49&gt;10000,M49*0.5%,IF(AND(M49&gt;5000,M49&lt;=10000),M49*1%,IF(AND(M49&gt;1000,M49&lt;=5000),M49*2%,IF(AND(M49&gt;200,M49&lt;=1000),M49*3%,M49*5%))))</f>
        <v>65.745000000000005</v>
      </c>
      <c r="M68" s="302">
        <f ca="1">ROUND(L68,1)</f>
        <v>65.7</v>
      </c>
      <c r="N68" s="2541"/>
      <c r="Z68" s="1752"/>
      <c r="AI68" s="1753"/>
    </row>
    <row r="69" spans="1:35" s="1772" customFormat="1" ht="16.5" customHeight="1">
      <c r="A69" s="1811"/>
      <c r="B69" s="1812"/>
      <c r="C69" s="1813"/>
      <c r="D69" s="1814"/>
      <c r="E69" s="1815"/>
      <c r="F69" s="1578"/>
      <c r="G69" s="1578"/>
      <c r="H69" s="1577"/>
      <c r="I69" s="1747"/>
      <c r="J69" s="3640"/>
      <c r="K69" s="1332" t="s">
        <v>1392</v>
      </c>
      <c r="L69" s="1332"/>
      <c r="M69" s="302">
        <f ca="1">ROUND(SUM(M63:M68),0)</f>
        <v>218</v>
      </c>
      <c r="N69" s="2543">
        <f ca="1">M69/M49</f>
        <v>1.6579207544299947E-2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02" t="s">
        <v>1393</v>
      </c>
      <c r="B70" s="3603"/>
      <c r="C70" s="3603"/>
      <c r="D70" s="3603"/>
      <c r="E70" s="3603"/>
      <c r="F70" s="3603"/>
      <c r="G70" s="3603"/>
      <c r="H70" s="3603"/>
      <c r="I70" s="1816"/>
      <c r="J70" s="2689"/>
      <c r="K70" s="2689"/>
      <c r="L70" s="2689"/>
      <c r="M70" s="2689"/>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81" t="s">
        <v>1374</v>
      </c>
      <c r="B71" s="3582"/>
      <c r="C71" s="2021"/>
      <c r="D71" s="2021" t="s">
        <v>1375</v>
      </c>
      <c r="E71" s="179" t="s">
        <v>1376</v>
      </c>
      <c r="F71" s="180"/>
      <c r="G71" s="180"/>
      <c r="H71" s="181"/>
      <c r="I71" s="1820"/>
      <c r="J71" s="2689"/>
      <c r="K71" s="2689"/>
      <c r="L71" s="2689"/>
      <c r="M71" s="2689"/>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1394</v>
      </c>
      <c r="C72" s="2566">
        <f ca="1">ROUND(D45/(1+'数据-取费表'!C42),0)</f>
        <v>12523</v>
      </c>
      <c r="D72" s="170" t="s">
        <v>26</v>
      </c>
      <c r="E72" s="2331"/>
      <c r="F72" s="2330"/>
      <c r="G72" s="2330"/>
      <c r="H72" s="182"/>
      <c r="I72" s="1820"/>
      <c r="J72" s="2689"/>
      <c r="K72" s="2689"/>
      <c r="L72" s="2689"/>
      <c r="M72" s="2689"/>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1395</v>
      </c>
      <c r="C73" s="2566">
        <f ca="1">C74+C78</f>
        <v>63</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1396</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1397</v>
      </c>
      <c r="C75" s="2569"/>
      <c r="D75" s="170" t="s">
        <v>26</v>
      </c>
      <c r="E75" s="184" t="s">
        <v>1398</v>
      </c>
      <c r="F75" s="2570"/>
      <c r="G75" s="184" t="s">
        <v>1399</v>
      </c>
      <c r="H75" s="2571"/>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1400</v>
      </c>
      <c r="C76" s="170">
        <f>IF(F75="购房发票",ROUND(C75*H75*D76,0),0)</f>
        <v>0</v>
      </c>
      <c r="D76" s="2572">
        <v>0.05</v>
      </c>
      <c r="E76" s="3576" t="s">
        <v>1401</v>
      </c>
      <c r="F76" s="3550"/>
      <c r="G76" s="3550"/>
      <c r="H76" s="3601"/>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1402</v>
      </c>
      <c r="C77" s="170">
        <f>ROUND(IF(G77="个人住宅",0,IF(G77="2016年5月1日前购买",C75*D77,C75*D77/(1+'数据-取费表'!C42))),0)</f>
        <v>0</v>
      </c>
      <c r="D77" s="2573">
        <f>'数据-取费表'!B48+'数据-取费表'!B49</f>
        <v>3.0499999999999999E-2</v>
      </c>
      <c r="E77" s="2324" t="s">
        <v>1403</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1404</v>
      </c>
      <c r="C78" s="2574">
        <f ca="1">ROUND(D45*D78/(1+'数据-取费表'!C42),0)</f>
        <v>63</v>
      </c>
      <c r="D78" s="2575">
        <f>'数据-取费表'!B43</f>
        <v>5.000000000000001E-3</v>
      </c>
      <c r="E78" s="3560" t="s">
        <v>1405</v>
      </c>
      <c r="F78" s="3561"/>
      <c r="G78" s="3561"/>
      <c r="H78" s="3570"/>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1406</v>
      </c>
      <c r="C79" s="2566">
        <f ca="1">C72-C73</f>
        <v>12460</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1407</v>
      </c>
      <c r="C80" s="2576">
        <f ca="1">IF(C79&lt;=0,0,C79/C73)</f>
        <v>197.77777777777777</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1408</v>
      </c>
      <c r="C81" s="2577">
        <f ca="1">ROUND(IF(C79&lt;=0,0,IF(C80&gt;=200%,C79*60%-C73*35%,IF(C80&gt;=100%,C79*50%-C73*15%,IF(C80&gt;=50%,C79*40%-C73*5%,IF(C80&lt;50%,C79*30%,0))))),0)</f>
        <v>7454</v>
      </c>
      <c r="D81" s="2578"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02" t="s">
        <v>1409</v>
      </c>
      <c r="B83" s="3603"/>
      <c r="C83" s="3603"/>
      <c r="D83" s="3603"/>
      <c r="E83" s="3603"/>
      <c r="F83" s="3603"/>
      <c r="G83" s="3603"/>
      <c r="H83" s="3603"/>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81" t="s">
        <v>1374</v>
      </c>
      <c r="B84" s="3582"/>
      <c r="C84" s="2021"/>
      <c r="D84" s="2021" t="s">
        <v>1375</v>
      </c>
      <c r="E84" s="179" t="s">
        <v>1376</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1394</v>
      </c>
      <c r="C85" s="2566">
        <f ca="1">ROUND(D45/(1+'数据-取费表'!C42),0)</f>
        <v>12523</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1395</v>
      </c>
      <c r="C86" s="2566">
        <f ca="1">IF(H88="仅含出让金",C87+C90+C91+C92+C93+C94,C87+C91+C92+C93+C94)</f>
        <v>63</v>
      </c>
      <c r="D86" s="2579"/>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1410</v>
      </c>
      <c r="C87" s="2574">
        <f>C88+C89</f>
        <v>0</v>
      </c>
      <c r="D87" s="2575"/>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1411</v>
      </c>
      <c r="C88" s="2580"/>
      <c r="D88" s="2575"/>
      <c r="E88" s="193" t="s">
        <v>1412</v>
      </c>
      <c r="F88" s="2327"/>
      <c r="G88" s="194" t="s">
        <v>1413</v>
      </c>
      <c r="H88" s="1824"/>
      <c r="I88" s="1821"/>
      <c r="J88" s="2519" t="s">
        <v>2286</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1402</v>
      </c>
      <c r="C89" s="2574">
        <f>ROUND(C88*D89,0)</f>
        <v>0</v>
      </c>
      <c r="D89" s="2575">
        <f>'数据-取费表'!B48+'数据-取费表'!B49</f>
        <v>3.0499999999999999E-2</v>
      </c>
      <c r="E89" s="193" t="s">
        <v>1414</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1415</v>
      </c>
      <c r="C90" s="2580"/>
      <c r="D90" s="2575"/>
      <c r="E90" s="193" t="str">
        <f>IF(H88="-","土地取得成本中已包含该笔费用"," ")</f>
        <v xml:space="preserve"> </v>
      </c>
      <c r="F90" s="2327"/>
      <c r="G90" s="3642" t="s">
        <v>2127</v>
      </c>
      <c r="H90" s="3643"/>
      <c r="I90" s="1821"/>
      <c r="J90" s="2519" t="s">
        <v>2287</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1416</v>
      </c>
      <c r="B91" s="170" t="s">
        <v>1417</v>
      </c>
      <c r="C91" s="2574">
        <f>IF(H91="——",成本法!C33,I91)</f>
        <v>0</v>
      </c>
      <c r="D91" s="2575"/>
      <c r="E91" s="3560" t="s">
        <v>1418</v>
      </c>
      <c r="F91" s="3561"/>
      <c r="G91" s="3561"/>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1419</v>
      </c>
      <c r="B92" s="170" t="s">
        <v>1420</v>
      </c>
      <c r="C92" s="2574">
        <f>ROUND((C87+C90+C91)*D92,0)</f>
        <v>0</v>
      </c>
      <c r="D92" s="2581"/>
      <c r="E92" s="3560" t="s">
        <v>1421</v>
      </c>
      <c r="F92" s="3561"/>
      <c r="G92" s="3561"/>
      <c r="H92" s="3570"/>
      <c r="I92" s="1821"/>
      <c r="J92" s="2520" t="s">
        <v>2288</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1422</v>
      </c>
      <c r="B93" s="170" t="s">
        <v>1404</v>
      </c>
      <c r="C93" s="2574">
        <f ca="1">ROUND(D45*D93/(1+'数据-取费表'!C42),0)</f>
        <v>63</v>
      </c>
      <c r="D93" s="2575">
        <f>'数据-取费表'!B43</f>
        <v>5.000000000000001E-3</v>
      </c>
      <c r="E93" s="3560" t="s">
        <v>1405</v>
      </c>
      <c r="F93" s="3561"/>
      <c r="G93" s="3561"/>
      <c r="H93" s="3570"/>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1423</v>
      </c>
      <c r="B94" s="170" t="s">
        <v>1424</v>
      </c>
      <c r="C94" s="2580">
        <f>ROUND((C87+C90+C91)*D94,0)</f>
        <v>0</v>
      </c>
      <c r="D94" s="2575">
        <v>0.2</v>
      </c>
      <c r="E94" s="3571" t="s">
        <v>1425</v>
      </c>
      <c r="F94" s="3572"/>
      <c r="G94" s="3572"/>
      <c r="H94" s="3573"/>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1406</v>
      </c>
      <c r="C95" s="2566">
        <f ca="1">ROUND(C85-C86,0)</f>
        <v>12460</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1407</v>
      </c>
      <c r="C96" s="2576">
        <f ca="1">IF(C95&lt;=0,0,C95/C86)</f>
        <v>197.77777777777777</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1408</v>
      </c>
      <c r="C97" s="2577">
        <f ca="1">ROUND(IF(C95&lt;=0,0,IF(C96&gt;=200%,C95*60%-C86*35%,IF(C96&gt;=100%,C95*50%-C86*15%,IF(C96&gt;=50%,C95*40%-C86*5%,IF(C96&lt;50%,C95*30%,0))))),0)</f>
        <v>7454</v>
      </c>
      <c r="D97" s="2578"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1426</v>
      </c>
      <c r="B99" s="1747"/>
      <c r="C99" s="1747"/>
      <c r="D99" s="1747"/>
      <c r="E99" s="1578"/>
      <c r="F99" s="1578"/>
      <c r="G99" s="1578"/>
      <c r="H99" s="1577"/>
      <c r="I99" s="129"/>
    </row>
    <row r="100" spans="1:35" ht="18.75" customHeight="1">
      <c r="A100" s="3544" t="s">
        <v>1427</v>
      </c>
      <c r="B100" s="3545"/>
      <c r="C100" s="3545"/>
      <c r="D100" s="3562"/>
      <c r="E100" s="3545" t="s">
        <v>1428</v>
      </c>
      <c r="F100" s="3545"/>
      <c r="G100" s="3545"/>
      <c r="H100" s="3562"/>
      <c r="I100" s="129"/>
    </row>
    <row r="101" spans="1:35" ht="18.75" customHeight="1">
      <c r="A101" s="3623" t="s">
        <v>1429</v>
      </c>
      <c r="B101" s="3624"/>
      <c r="C101" s="2583" t="str">
        <f>C4</f>
        <v>成本法</v>
      </c>
      <c r="D101" s="2584" t="str">
        <f>D4</f>
        <v>假设开发法</v>
      </c>
      <c r="E101" s="3637" t="s">
        <v>1430</v>
      </c>
      <c r="F101" s="3594"/>
      <c r="G101" s="1827" t="s">
        <v>1431</v>
      </c>
      <c r="H101" s="2593">
        <f ca="1">H118</f>
        <v>13149</v>
      </c>
      <c r="I101" s="129"/>
    </row>
    <row r="102" spans="1:35" ht="18.75" customHeight="1">
      <c r="A102" s="3596" t="s">
        <v>1432</v>
      </c>
      <c r="B102" s="2582" t="s">
        <v>1431</v>
      </c>
      <c r="C102" s="2583">
        <f ca="1">IF(D32="楼面单价",ROUND(C19,0),C19)</f>
        <v>14896</v>
      </c>
      <c r="D102" s="2584">
        <f ca="1">IF(D32="楼面单价",ROUND(D19,0),D19)</f>
        <v>10529</v>
      </c>
      <c r="E102" s="3637"/>
      <c r="F102" s="3594"/>
      <c r="G102" s="1827" t="s">
        <v>1433</v>
      </c>
      <c r="H102" s="2553">
        <f ca="1">I118</f>
        <v>3791</v>
      </c>
      <c r="I102" s="129"/>
    </row>
    <row r="103" spans="1:35" ht="42.75" customHeight="1">
      <c r="A103" s="3596"/>
      <c r="B103" s="2582" t="s">
        <v>1433</v>
      </c>
      <c r="C103" s="2585">
        <f ca="1">C20</f>
        <v>4294</v>
      </c>
      <c r="D103" s="2586">
        <f ca="1">D20</f>
        <v>3035</v>
      </c>
      <c r="E103" s="3631" t="s">
        <v>1434</v>
      </c>
      <c r="F103" s="3632"/>
      <c r="G103" s="1828" t="s">
        <v>1435</v>
      </c>
      <c r="H103" s="2593">
        <f>IF(D36="正常操作",H104+H105+H106,H105+H106)</f>
        <v>0</v>
      </c>
      <c r="I103" s="129"/>
    </row>
    <row r="104" spans="1:35" ht="18.75" customHeight="1">
      <c r="A104" s="3596" t="s">
        <v>1436</v>
      </c>
      <c r="B104" s="2587" t="s">
        <v>1431</v>
      </c>
      <c r="C104" s="2588">
        <f ca="1">H118</f>
        <v>13149</v>
      </c>
      <c r="D104" s="2589"/>
      <c r="E104" s="1674" t="s">
        <v>1437</v>
      </c>
      <c r="F104" s="1666"/>
      <c r="G104" s="1828" t="s">
        <v>1435</v>
      </c>
      <c r="H104" s="2594">
        <f>IF(D36="同一抵押权人同一抵押物续贷",C36&amp;"（续贷，未扣减，详见特别提示）",C36)</f>
        <v>0</v>
      </c>
      <c r="I104" s="129"/>
    </row>
    <row r="105" spans="1:35" ht="18.75" customHeight="1" thickBot="1">
      <c r="A105" s="3597"/>
      <c r="B105" s="2590" t="s">
        <v>1433</v>
      </c>
      <c r="C105" s="2591">
        <f ca="1">I118</f>
        <v>3791</v>
      </c>
      <c r="D105" s="2592"/>
      <c r="E105" s="1674" t="s">
        <v>1438</v>
      </c>
      <c r="F105" s="1666"/>
      <c r="G105" s="1828" t="s">
        <v>1435</v>
      </c>
      <c r="H105" s="2595">
        <f>C37</f>
        <v>0</v>
      </c>
      <c r="I105" s="129"/>
    </row>
    <row r="106" spans="1:35" ht="18.75" customHeight="1">
      <c r="A106" s="1747" t="s">
        <v>1439</v>
      </c>
      <c r="B106" s="1747"/>
      <c r="C106" s="1747"/>
      <c r="D106" s="1747"/>
      <c r="E106" s="1829" t="s">
        <v>1440</v>
      </c>
      <c r="F106" s="1666"/>
      <c r="G106" s="1828" t="s">
        <v>1435</v>
      </c>
      <c r="H106" s="2595">
        <f>C38</f>
        <v>0</v>
      </c>
      <c r="I106" s="129"/>
    </row>
    <row r="107" spans="1:35" ht="18.75" customHeight="1">
      <c r="A107" s="129"/>
      <c r="B107" s="129"/>
      <c r="C107" s="129"/>
      <c r="D107" s="129"/>
      <c r="E107" s="3593" t="str">
        <f>IF(项目基本情况!E8="已注销","——","3.房地产抵押价值")</f>
        <v>3.房地产抵押价值</v>
      </c>
      <c r="F107" s="3594"/>
      <c r="G107" s="1827" t="s">
        <v>1431</v>
      </c>
      <c r="H107" s="2593">
        <f ca="1">IF(E107="——","——",H101-H103)</f>
        <v>13149</v>
      </c>
      <c r="I107" s="129"/>
    </row>
    <row r="108" spans="1:35" ht="18.75" customHeight="1">
      <c r="A108" s="129"/>
      <c r="B108" s="129"/>
      <c r="C108" s="129"/>
      <c r="D108" s="129"/>
      <c r="E108" s="3593"/>
      <c r="F108" s="3594"/>
      <c r="G108" s="1827" t="s">
        <v>1433</v>
      </c>
      <c r="H108" s="2553">
        <f ca="1">IF(H107=H101,H102,ROUND(H107*10000/'数据-汇总表'!E3,0))</f>
        <v>3791</v>
      </c>
      <c r="I108" s="129"/>
    </row>
    <row r="109" spans="1:35" ht="18.75" customHeight="1">
      <c r="A109" s="129"/>
      <c r="B109" s="129"/>
      <c r="C109" s="129"/>
      <c r="D109" s="129"/>
      <c r="E109" s="3593" t="str">
        <f>IF(项目基本情况!E8="已注销及未注销","4.抵押担保权已注销时的房地产抵押价值",IF(项目基本情况!E8="已注销","3.抵押担保权已注销时的房地产抵押价值","——"))</f>
        <v>——</v>
      </c>
      <c r="F109" s="3594"/>
      <c r="G109" s="1827" t="s">
        <v>1431</v>
      </c>
      <c r="H109" s="2596" t="str">
        <f>IF(E109="——","——",H101-H105-H106)</f>
        <v>——</v>
      </c>
      <c r="I109" s="129"/>
    </row>
    <row r="110" spans="1:35" ht="18.75" customHeight="1">
      <c r="A110" s="129"/>
      <c r="B110" s="129"/>
      <c r="C110" s="129"/>
      <c r="D110" s="129"/>
      <c r="E110" s="3593"/>
      <c r="F110" s="3594"/>
      <c r="G110" s="1827" t="s">
        <v>1433</v>
      </c>
      <c r="H110" s="2553" t="str">
        <f>IF(H109="——","——",ROUND(H109*10000/'数据-汇总表'!E3,0))</f>
        <v>——</v>
      </c>
      <c r="I110" s="129"/>
    </row>
    <row r="111" spans="1:35" ht="18.75" customHeight="1">
      <c r="A111" s="129"/>
      <c r="B111" s="129"/>
      <c r="C111" s="129"/>
      <c r="D111" s="129"/>
      <c r="E111" s="3625" t="str">
        <f>IF(项目基本情况!E9="抵押净值",IF(OR(项目基本情况!E8="已注销",项目基本情况!E8="房地产抵押价值"),"4.抵押净值","5.抵押净值"),"——")</f>
        <v>——</v>
      </c>
      <c r="F111" s="3595"/>
      <c r="G111" s="1827" t="s">
        <v>1431</v>
      </c>
      <c r="H111" s="2593" t="str">
        <f>IF(E111="——","——",N59)</f>
        <v>——</v>
      </c>
      <c r="I111" s="129"/>
    </row>
    <row r="112" spans="1:35" ht="18.75" customHeight="1" thickBot="1">
      <c r="A112" s="129"/>
      <c r="B112" s="129"/>
      <c r="C112" s="129"/>
      <c r="D112" s="129"/>
      <c r="E112" s="3626"/>
      <c r="F112" s="3627"/>
      <c r="G112" s="1830" t="s">
        <v>1433</v>
      </c>
      <c r="H112" s="2597" t="str">
        <f>IF(E111="——","——",N61)</f>
        <v>——</v>
      </c>
      <c r="I112" s="129"/>
    </row>
    <row r="113" spans="1:27" ht="18.75" customHeight="1">
      <c r="A113" s="129"/>
      <c r="B113" s="129"/>
      <c r="C113" s="129"/>
      <c r="D113" s="129"/>
      <c r="E113" s="3598" t="s">
        <v>1439</v>
      </c>
      <c r="F113" s="3598"/>
      <c r="G113" s="3598"/>
      <c r="H113" s="3598"/>
      <c r="I113" s="129"/>
    </row>
    <row r="114" spans="1:27" ht="3.75" customHeight="1">
      <c r="A114" s="1747"/>
      <c r="B114" s="1747"/>
      <c r="C114" s="1747"/>
      <c r="D114" s="1747"/>
      <c r="E114" s="1809"/>
      <c r="F114" s="1809"/>
      <c r="G114" s="1809"/>
      <c r="H114" s="1809"/>
      <c r="I114" s="1747"/>
    </row>
    <row r="115" spans="1:27" ht="18.75" customHeight="1">
      <c r="A115" s="3608" t="s">
        <v>1441</v>
      </c>
      <c r="B115" s="3609"/>
      <c r="C115" s="3609"/>
      <c r="D115" s="3609"/>
      <c r="E115" s="3609"/>
      <c r="F115" s="3609"/>
      <c r="G115" s="3609"/>
      <c r="H115" s="3609"/>
      <c r="I115" s="3610"/>
    </row>
    <row r="116" spans="1:27" ht="27" customHeight="1">
      <c r="A116" s="3564" t="s">
        <v>1442</v>
      </c>
      <c r="B116" s="3599" t="s">
        <v>1443</v>
      </c>
      <c r="C116" s="3599" t="s">
        <v>1444</v>
      </c>
      <c r="D116" s="3612" t="s">
        <v>1445</v>
      </c>
      <c r="E116" s="3613"/>
      <c r="F116" s="3607" t="s">
        <v>1446</v>
      </c>
      <c r="G116" s="3607"/>
      <c r="H116" s="3564" t="s">
        <v>1447</v>
      </c>
      <c r="I116" s="3564"/>
    </row>
    <row r="117" spans="1:27" ht="18.75" customHeight="1">
      <c r="A117" s="3564"/>
      <c r="B117" s="3600"/>
      <c r="C117" s="3600"/>
      <c r="D117" s="2329" t="s">
        <v>1448</v>
      </c>
      <c r="E117" s="2329" t="s">
        <v>1449</v>
      </c>
      <c r="F117" s="2329" t="s">
        <v>1448</v>
      </c>
      <c r="G117" s="2329" t="s">
        <v>1450</v>
      </c>
      <c r="H117" s="2329" t="s">
        <v>1448</v>
      </c>
      <c r="I117" s="2329" t="s">
        <v>1450</v>
      </c>
    </row>
    <row r="118" spans="1:27" ht="24.75" customHeight="1">
      <c r="A118" s="2598" t="str">
        <f>项目基本情况!S2</f>
        <v>北京市出让国有建设用地使用权及在建建筑物房地产</v>
      </c>
      <c r="B118" s="2329">
        <f>M18</f>
        <v>34689.100000000006</v>
      </c>
      <c r="C118" s="2329">
        <f>M19</f>
        <v>23254.45</v>
      </c>
      <c r="D118" s="2329">
        <f ca="1">ROUND(IF(D32="总价",C34,E118*B118/10000),0)</f>
        <v>3603</v>
      </c>
      <c r="E118" s="2329">
        <f ca="1">ROUND(IF(C33="自定义",IF(D32="楼面单价",C34,D118*10000/B118),I118-G118),0)</f>
        <v>1039</v>
      </c>
      <c r="F118" s="2329">
        <f ca="1">ROUND(IF(D32="总价",C35,G118*B118/10000),0)</f>
        <v>9546</v>
      </c>
      <c r="G118" s="2329">
        <f ca="1">ROUND(IF(D32="楼面单价",C35,F118*10000/B118),0)</f>
        <v>2752</v>
      </c>
      <c r="H118" s="2329">
        <f ca="1">ROUND(IF(D32="总价",C32,I118*B118/10000),0)</f>
        <v>13149</v>
      </c>
      <c r="I118" s="2329">
        <f ca="1">ROUND(IF(D32="楼面单价",C32,H118*10000/B118),0)</f>
        <v>3791</v>
      </c>
    </row>
    <row r="119" spans="1:27" ht="18.75" customHeight="1">
      <c r="A119" s="3564" t="s">
        <v>1451</v>
      </c>
      <c r="B119" s="3564"/>
      <c r="C119" s="3564"/>
      <c r="D119" s="3604" t="str">
        <f ca="1">NUMBERSTRING(INT(D118*10000),2)&amp;"元整"</f>
        <v>叁仟陆佰零叁万元整</v>
      </c>
      <c r="E119" s="3606"/>
      <c r="F119" s="3604" t="str">
        <f ca="1">NUMBERSTRING(INT(F118*10000),2)&amp;"元整"</f>
        <v>玖仟伍佰肆拾陆万元整</v>
      </c>
      <c r="G119" s="3606"/>
      <c r="H119" s="3604" t="str">
        <f ca="1">NUMBERSTRING(INT(H118*10000),2)&amp;"元整"</f>
        <v>壹亿叁仟壹佰肆拾玖万元整</v>
      </c>
      <c r="I119" s="3606"/>
    </row>
    <row r="120" spans="1:27" ht="18.75" customHeight="1">
      <c r="A120" s="3628" t="str">
        <f>IF(项目基本情况!B9="房地产市场价值","",MID(E103,3,LEN(E103)-2))</f>
        <v>估价师知悉的法定优先受偿款</v>
      </c>
      <c r="B120" s="3629"/>
      <c r="C120" s="3630"/>
      <c r="D120" s="3628">
        <f>H103</f>
        <v>0</v>
      </c>
      <c r="E120" s="3629"/>
      <c r="F120" s="3629"/>
      <c r="G120" s="3629"/>
      <c r="H120" s="3629"/>
      <c r="I120" s="3630"/>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604" t="s">
        <v>1451</v>
      </c>
      <c r="B121" s="3605"/>
      <c r="C121" s="3606"/>
      <c r="D121" s="3604" t="str">
        <f>IF(D120=0,"零元整",NUMBERSTRING(INT(D120*10000),2)&amp;"元整")</f>
        <v>零元整</v>
      </c>
      <c r="E121" s="3605"/>
      <c r="F121" s="3605"/>
      <c r="G121" s="3605"/>
      <c r="H121" s="3605"/>
      <c r="I121" s="3606"/>
      <c r="AA121" s="725"/>
    </row>
    <row r="122" spans="1:27" ht="18.75" customHeight="1">
      <c r="A122" s="3595" t="str">
        <f>IF(项目基本情况!B9="房地产市场价值","",MID(E107,3,LEN(E107)-2))</f>
        <v>房地产抵押价值</v>
      </c>
      <c r="B122" s="3595"/>
      <c r="C122" s="3595"/>
      <c r="D122" s="3628">
        <f ca="1">H107</f>
        <v>13149</v>
      </c>
      <c r="E122" s="3629"/>
      <c r="F122" s="3629"/>
      <c r="G122" s="3629"/>
      <c r="H122" s="3629"/>
      <c r="I122" s="3630"/>
      <c r="AA122" s="725"/>
    </row>
    <row r="123" spans="1:27" ht="18.75" customHeight="1">
      <c r="A123" s="3564" t="s">
        <v>1451</v>
      </c>
      <c r="B123" s="3564"/>
      <c r="C123" s="3564"/>
      <c r="D123" s="3604" t="str">
        <f ca="1">NUMBERSTRING(INT(D122*10000),2)&amp;"元整"</f>
        <v>壹亿叁仟壹佰肆拾玖万元整</v>
      </c>
      <c r="E123" s="3605"/>
      <c r="F123" s="3605"/>
      <c r="G123" s="3605"/>
      <c r="H123" s="3605"/>
      <c r="I123" s="3606"/>
      <c r="AA123" s="725"/>
    </row>
    <row r="124" spans="1:27" ht="18.75" customHeight="1">
      <c r="A124" s="3595" t="str">
        <f>IF(项目基本情况!B9="房地产市场价值","",MID(E109,3,LEN(E109)-2))</f>
        <v/>
      </c>
      <c r="B124" s="3595"/>
      <c r="C124" s="3595"/>
      <c r="D124" s="3628" t="str">
        <f>H109</f>
        <v>——</v>
      </c>
      <c r="E124" s="3629"/>
      <c r="F124" s="3629"/>
      <c r="G124" s="3629"/>
      <c r="H124" s="3629"/>
      <c r="I124" s="3630"/>
      <c r="AA124" s="725"/>
    </row>
    <row r="125" spans="1:27" ht="18.75" customHeight="1">
      <c r="A125" s="3564" t="s">
        <v>1451</v>
      </c>
      <c r="B125" s="3564"/>
      <c r="C125" s="3564"/>
      <c r="D125" s="3604" t="e">
        <f>NUMBERSTRING(INT(D124*10000),2)&amp;"元整"</f>
        <v>#VALUE!</v>
      </c>
      <c r="E125" s="3605"/>
      <c r="F125" s="3605"/>
      <c r="G125" s="3605"/>
      <c r="H125" s="3605"/>
      <c r="I125" s="3606"/>
      <c r="AA125" s="725"/>
    </row>
    <row r="126" spans="1:27" ht="18.75" customHeight="1">
      <c r="A126" s="3595" t="str">
        <f>IF(项目基本情况!B9="房地产市场价值","",MID(E111,3,LEN(E111)-2))</f>
        <v/>
      </c>
      <c r="B126" s="3595"/>
      <c r="C126" s="3595"/>
      <c r="D126" s="3628" t="str">
        <f>H111</f>
        <v>——</v>
      </c>
      <c r="E126" s="3629"/>
      <c r="F126" s="3629"/>
      <c r="G126" s="3629"/>
      <c r="H126" s="3629"/>
      <c r="I126" s="3630"/>
      <c r="AA126" s="725"/>
    </row>
    <row r="127" spans="1:27" ht="18.75" customHeight="1">
      <c r="A127" s="3564" t="s">
        <v>1451</v>
      </c>
      <c r="B127" s="3564"/>
      <c r="C127" s="3564"/>
      <c r="D127" s="3604" t="e">
        <f>NUMBERSTRING(INT(D126*10000),2)&amp;"元整"</f>
        <v>#VALUE!</v>
      </c>
      <c r="E127" s="3605"/>
      <c r="F127" s="3605"/>
      <c r="G127" s="3605"/>
      <c r="H127" s="3605"/>
      <c r="I127" s="3606"/>
      <c r="AA127" s="725"/>
    </row>
    <row r="128" spans="1:27" ht="21.75" customHeight="1">
      <c r="A128" s="3611" t="s">
        <v>1452</v>
      </c>
      <c r="B128" s="3611"/>
      <c r="C128" s="3611"/>
      <c r="D128" s="3611"/>
      <c r="E128" s="3611"/>
      <c r="F128" s="3611"/>
      <c r="G128" s="3611"/>
      <c r="H128" s="3611"/>
      <c r="I128" s="3611"/>
      <c r="AA128" s="725"/>
    </row>
    <row r="129" spans="1:35" ht="21.75" customHeight="1">
      <c r="A129" s="1831" t="s">
        <v>1453</v>
      </c>
      <c r="B129" s="1832"/>
      <c r="C129" s="1833" t="s">
        <v>1454</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1455</v>
      </c>
      <c r="G135" s="1848"/>
      <c r="H135" s="1848"/>
      <c r="I135" s="1849" t="s">
        <v>1456</v>
      </c>
    </row>
    <row r="136" spans="1:35" ht="21.75" customHeight="1">
      <c r="A136" s="725"/>
      <c r="B136" s="1850" t="s">
        <v>1457</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1458</v>
      </c>
    </row>
    <row r="139" spans="1:35" ht="21.75" customHeight="1">
      <c r="A139" s="725"/>
      <c r="B139" s="1850" t="s">
        <v>1459</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1458</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J30" sqref="J30"/>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1460</v>
      </c>
      <c r="B1" s="1470"/>
      <c r="C1" s="198"/>
      <c r="D1" s="198"/>
      <c r="E1" s="198"/>
      <c r="F1" s="198"/>
      <c r="G1" s="1126">
        <f>MATCH(B1,'数据-取费表'!A6:A16,0)+5</f>
        <v>8</v>
      </c>
    </row>
    <row r="2" spans="1:9" s="200" customFormat="1" ht="18" customHeight="1">
      <c r="A2" s="201" t="s">
        <v>1461</v>
      </c>
      <c r="B2" s="202">
        <f ca="1">IF(D2="——",C52,C52-E2)</f>
        <v>14896</v>
      </c>
      <c r="C2" s="199" t="s">
        <v>1462</v>
      </c>
      <c r="D2" s="1853" t="s">
        <v>43</v>
      </c>
      <c r="E2" s="1169" t="e">
        <f ca="1">SUMIF(INDIRECT("'"&amp;G2&amp;"'"&amp;"!A:A"),"承租人权益价值",INDIRECT("'"&amp;G2&amp;"'"&amp;"!c:c"))</f>
        <v>#REF!</v>
      </c>
      <c r="F2" s="1854" t="s">
        <v>1462</v>
      </c>
      <c r="G2" s="1855"/>
    </row>
    <row r="3" spans="1:9" s="200" customFormat="1" ht="18" customHeight="1" thickBot="1">
      <c r="A3" s="203" t="s">
        <v>1463</v>
      </c>
      <c r="B3" s="204">
        <f ca="1">ROUND(B2*10000/(IF(B1="",'数据-汇总表'!E3,INDIRECT("'数据-取费表'!k"&amp;$G$1))),0)</f>
        <v>4294</v>
      </c>
      <c r="C3" s="199" t="s">
        <v>1464</v>
      </c>
      <c r="D3" s="199"/>
      <c r="E3" s="199"/>
      <c r="F3" s="199"/>
      <c r="G3" s="199"/>
    </row>
    <row r="4" spans="1:9" s="208" customFormat="1" ht="15.75">
      <c r="A4" s="205" t="s">
        <v>1465</v>
      </c>
      <c r="B4" s="206"/>
      <c r="C4" s="206"/>
      <c r="D4" s="206"/>
      <c r="E4" s="206"/>
      <c r="F4" s="206"/>
      <c r="G4" s="207"/>
    </row>
    <row r="5" spans="1:9" s="214" customFormat="1" ht="13.5" customHeight="1">
      <c r="A5" s="255" t="s">
        <v>1466</v>
      </c>
      <c r="B5" s="210" t="s">
        <v>1467</v>
      </c>
      <c r="C5" s="211">
        <f ca="1">C6+C7+C8</f>
        <v>3282</v>
      </c>
      <c r="D5" s="211" t="s">
        <v>1468</v>
      </c>
      <c r="E5" s="212" t="s">
        <v>1469</v>
      </c>
      <c r="F5" s="212" t="s">
        <v>1470</v>
      </c>
      <c r="G5" s="213"/>
    </row>
    <row r="6" spans="1:9" s="214" customFormat="1" ht="13.5" customHeight="1">
      <c r="A6" s="778" t="s">
        <v>1471</v>
      </c>
      <c r="B6" s="215" t="s">
        <v>1472</v>
      </c>
      <c r="C6" s="216">
        <f>'土地比较法-工业'!B2</f>
        <v>2511</v>
      </c>
      <c r="D6" s="217"/>
      <c r="E6" s="218"/>
      <c r="F6" s="218"/>
      <c r="G6" s="219"/>
    </row>
    <row r="7" spans="1:9" s="214" customFormat="1" ht="13.5" customHeight="1">
      <c r="A7" s="778" t="s">
        <v>1473</v>
      </c>
      <c r="B7" s="215" t="s">
        <v>1474</v>
      </c>
      <c r="C7" s="220">
        <f>ROUND(C6*F7,0)</f>
        <v>77</v>
      </c>
      <c r="D7" s="220"/>
      <c r="E7" s="218"/>
      <c r="F7" s="221">
        <f>IF(项目基本情况!B8="出让",0,'数据-取费表'!B48+'数据-取费表'!B49)</f>
        <v>3.0499999999999999E-2</v>
      </c>
      <c r="G7" s="219"/>
    </row>
    <row r="8" spans="1:9" s="223" customFormat="1">
      <c r="A8" s="778" t="s">
        <v>1475</v>
      </c>
      <c r="B8" s="215" t="s">
        <v>1476</v>
      </c>
      <c r="C8" s="220">
        <f ca="1">IF(G8="已包含在土地购买价格中","0",IF(B1="",'数据-取费表'!B29,IF(G9="全部缴纳",C9+C10,H9)))</f>
        <v>694</v>
      </c>
      <c r="D8" s="222"/>
      <c r="E8" s="220"/>
      <c r="F8" s="221"/>
      <c r="G8" s="1856" t="s">
        <v>3418</v>
      </c>
    </row>
    <row r="9" spans="1:9" s="214" customFormat="1" ht="13.5" customHeight="1">
      <c r="A9" s="779" t="s">
        <v>355</v>
      </c>
      <c r="B9" s="224" t="s">
        <v>1477</v>
      </c>
      <c r="C9" s="225">
        <f ca="1">ROUND(D9*E9/10000,0)</f>
        <v>0</v>
      </c>
      <c r="D9" s="845">
        <f ca="1">IF(B1="",'数据-汇总表'!E5,IF(INDIRECT("'数据-取费表'!c"&amp;$G$1)="住宅",INDIRECT("'数据-取费表'!k"&amp;$G$1),0))</f>
        <v>0</v>
      </c>
      <c r="E9" s="225">
        <f>'数据-取费表'!B27</f>
        <v>160</v>
      </c>
      <c r="F9" s="221"/>
      <c r="G9" s="1857" t="s">
        <v>3419</v>
      </c>
      <c r="H9" s="1137"/>
      <c r="I9" s="1858" t="s">
        <v>1478</v>
      </c>
    </row>
    <row r="10" spans="1:9" s="214" customFormat="1" ht="13.5" customHeight="1">
      <c r="A10" s="779" t="s">
        <v>356</v>
      </c>
      <c r="B10" s="224" t="s">
        <v>1479</v>
      </c>
      <c r="C10" s="225">
        <f ca="1">ROUND(D10*E10/10000,0)</f>
        <v>694</v>
      </c>
      <c r="D10" s="845">
        <f ca="1">IF(B1="",'数据-汇总表'!E6,IF(INDIRECT("'数据-取费表'!c"&amp;$G$1)="住宅",INDIRECT("'数据-取费表'!s"&amp;$G$1),INDIRECT("'数据-取费表'!k"&amp;$G$1)+INDIRECT("'数据-取费表'!s"&amp;$G$1)))</f>
        <v>34689.100000000006</v>
      </c>
      <c r="E10" s="225">
        <f>'数据-取费表'!B28</f>
        <v>200</v>
      </c>
      <c r="F10" s="221"/>
      <c r="G10" s="226"/>
    </row>
    <row r="11" spans="1:9" s="214" customFormat="1" ht="13.5" hidden="1" customHeight="1">
      <c r="A11" s="227" t="s">
        <v>4</v>
      </c>
      <c r="B11" s="215" t="s">
        <v>1480</v>
      </c>
      <c r="C11" s="211"/>
      <c r="D11" s="847"/>
      <c r="E11" s="218"/>
      <c r="F11" s="218"/>
      <c r="G11" s="219"/>
    </row>
    <row r="12" spans="1:9" s="214" customFormat="1" ht="13.5" hidden="1" customHeight="1">
      <c r="A12" s="227" t="s">
        <v>5</v>
      </c>
      <c r="B12" s="215" t="s">
        <v>1481</v>
      </c>
      <c r="C12" s="211">
        <v>0</v>
      </c>
      <c r="D12" s="847"/>
      <c r="E12" s="228"/>
      <c r="F12" s="221">
        <v>3.0499999999999999E-2</v>
      </c>
      <c r="G12" s="219"/>
    </row>
    <row r="13" spans="1:9" s="214" customFormat="1" ht="13.5" hidden="1" customHeight="1">
      <c r="A13" s="227" t="s">
        <v>6</v>
      </c>
      <c r="B13" s="215" t="s">
        <v>1482</v>
      </c>
      <c r="C13" s="211"/>
      <c r="D13" s="847"/>
      <c r="E13" s="218"/>
      <c r="F13" s="218"/>
      <c r="G13" s="219"/>
    </row>
    <row r="14" spans="1:9" s="214" customFormat="1" ht="13.5" hidden="1" customHeight="1">
      <c r="A14" s="227" t="s">
        <v>7</v>
      </c>
      <c r="B14" s="215" t="s">
        <v>1483</v>
      </c>
      <c r="C14" s="211"/>
      <c r="D14" s="847"/>
      <c r="E14" s="218"/>
      <c r="F14" s="218"/>
      <c r="G14" s="219" t="s">
        <v>1484</v>
      </c>
    </row>
    <row r="15" spans="1:9" s="214" customFormat="1" ht="13.5" hidden="1" customHeight="1">
      <c r="A15" s="227" t="s">
        <v>8</v>
      </c>
      <c r="B15" s="215" t="s">
        <v>1485</v>
      </c>
      <c r="C15" s="220"/>
      <c r="D15" s="847"/>
      <c r="E15" s="218"/>
      <c r="F15" s="218"/>
      <c r="G15" s="219" t="s">
        <v>1486</v>
      </c>
    </row>
    <row r="16" spans="1:9" s="214" customFormat="1" ht="13.5" hidden="1" customHeight="1">
      <c r="A16" s="227" t="s">
        <v>9</v>
      </c>
      <c r="B16" s="215" t="s">
        <v>1483</v>
      </c>
      <c r="C16" s="220"/>
      <c r="D16" s="847"/>
      <c r="E16" s="218"/>
      <c r="F16" s="218"/>
      <c r="G16" s="219"/>
    </row>
    <row r="17" spans="1:7" s="214" customFormat="1" ht="13.5" hidden="1" customHeight="1">
      <c r="A17" s="227" t="s">
        <v>10</v>
      </c>
      <c r="B17" s="215" t="s">
        <v>1487</v>
      </c>
      <c r="C17" s="229"/>
      <c r="D17" s="848"/>
      <c r="E17" s="229"/>
      <c r="F17" s="229"/>
      <c r="G17" s="219" t="s">
        <v>1486</v>
      </c>
    </row>
    <row r="18" spans="1:7" s="214" customFormat="1" ht="13.5" hidden="1" customHeight="1">
      <c r="A18" s="227" t="s">
        <v>11</v>
      </c>
      <c r="B18" s="215" t="s">
        <v>1488</v>
      </c>
      <c r="C18" s="220">
        <v>0</v>
      </c>
      <c r="D18" s="847"/>
      <c r="E18" s="218"/>
      <c r="F18" s="221">
        <v>3.0499999999999999E-2</v>
      </c>
      <c r="G18" s="219" t="s">
        <v>1489</v>
      </c>
    </row>
    <row r="19" spans="1:7" s="223" customFormat="1" ht="13.5" customHeight="1">
      <c r="A19" s="255" t="s">
        <v>1490</v>
      </c>
      <c r="B19" s="210" t="s">
        <v>1491</v>
      </c>
      <c r="C19" s="211" t="str">
        <f>IF(G19="已包含在土地取得成本中","0",ROUND(D19*E19/10000,0))</f>
        <v>0</v>
      </c>
      <c r="D19" s="849">
        <f ca="1">D9+D10</f>
        <v>34689.100000000006</v>
      </c>
      <c r="E19" s="211">
        <f>'数据-取费表'!B31</f>
        <v>200</v>
      </c>
      <c r="F19" s="231"/>
      <c r="G19" s="1856" t="s">
        <v>3420</v>
      </c>
    </row>
    <row r="20" spans="1:7" s="214" customFormat="1" ht="13.5" customHeight="1">
      <c r="A20" s="255" t="s">
        <v>1492</v>
      </c>
      <c r="B20" s="210" t="s">
        <v>1493</v>
      </c>
      <c r="C20" s="232">
        <f ca="1">ROUND((C5+C19)*F20,0)</f>
        <v>66</v>
      </c>
      <c r="D20" s="232"/>
      <c r="E20" s="232"/>
      <c r="F20" s="233">
        <f>'数据-取费表'!B37</f>
        <v>0.02</v>
      </c>
      <c r="G20" s="234" t="s">
        <v>1494</v>
      </c>
    </row>
    <row r="21" spans="1:7" s="214" customFormat="1" ht="13.5" customHeight="1">
      <c r="A21" s="255" t="s">
        <v>1495</v>
      </c>
      <c r="B21" s="210" t="s">
        <v>1496</v>
      </c>
      <c r="C21" s="235">
        <f>F21</f>
        <v>0.02</v>
      </c>
      <c r="D21" s="236" t="s">
        <v>1497</v>
      </c>
      <c r="E21" s="232"/>
      <c r="F21" s="233">
        <f>'数据-取费表'!B38</f>
        <v>0.02</v>
      </c>
      <c r="G21" s="234" t="s">
        <v>1498</v>
      </c>
    </row>
    <row r="22" spans="1:7" s="214" customFormat="1" ht="13.5" customHeight="1">
      <c r="A22" s="255" t="s">
        <v>1499</v>
      </c>
      <c r="B22" s="210" t="s">
        <v>1500</v>
      </c>
      <c r="C22" s="1104">
        <f ca="1">ROUND(SUM(C23:C25),0)</f>
        <v>151</v>
      </c>
      <c r="D22" s="235">
        <f ca="1">C26</f>
        <v>5.0000000000000001E-4</v>
      </c>
      <c r="E22" s="236" t="s">
        <v>1497</v>
      </c>
      <c r="F22" s="237">
        <f ca="1">'数据-取费表'!B40</f>
        <v>4.1499999999999995E-2</v>
      </c>
      <c r="G22" s="234" t="str">
        <f>IF('数据-取费表'!B22&lt;=1,"单利计息","复利计息")</f>
        <v>复利计息</v>
      </c>
    </row>
    <row r="23" spans="1:7" s="214" customFormat="1" ht="13.5" customHeight="1">
      <c r="A23" s="780" t="s">
        <v>1501</v>
      </c>
      <c r="B23" s="215" t="s">
        <v>1502</v>
      </c>
      <c r="C23" s="1105">
        <f ca="1">ROUND(IF('数据-取费表'!B22&lt;=1,C5*F22*'数据-取费表'!B23,C5*(POWER((1+F22),'数据-取费表'!B23)-1)),0)</f>
        <v>150</v>
      </c>
      <c r="D23" s="238"/>
      <c r="E23" s="238"/>
      <c r="F23" s="239"/>
      <c r="G23" s="240" t="s">
        <v>1503</v>
      </c>
    </row>
    <row r="24" spans="1:7" s="214" customFormat="1" ht="13.5" customHeight="1">
      <c r="A24" s="780" t="s">
        <v>1504</v>
      </c>
      <c r="B24" s="215" t="s">
        <v>1505</v>
      </c>
      <c r="C24" s="1105">
        <f ca="1">ROUND(IF('数据-取费表'!B22&lt;=1,C19*F22*('数据-取费表'!B19/2+'数据-取费表'!B21),C19*(POWER((1+F22),('数据-取费表'!B19/2+'数据-取费表'!B21))-1)),0)</f>
        <v>0</v>
      </c>
      <c r="D24" s="238"/>
      <c r="E24" s="238"/>
      <c r="F24" s="239"/>
      <c r="G24" s="240" t="s">
        <v>1506</v>
      </c>
    </row>
    <row r="25" spans="1:7" s="214" customFormat="1" ht="24">
      <c r="A25" s="780" t="s">
        <v>1507</v>
      </c>
      <c r="B25" s="215" t="s">
        <v>1508</v>
      </c>
      <c r="C25" s="1105">
        <f ca="1">ROUND(IF('数据-取费表'!B22&lt;=1,C20*F22*'数据-取费表'!B23/2,C20*(POWER((1+F22),'数据-取费表'!B23/2)-1)),0)</f>
        <v>1</v>
      </c>
      <c r="D25" s="238"/>
      <c r="E25" s="241"/>
      <c r="F25" s="239"/>
      <c r="G25" s="242" t="s">
        <v>1509</v>
      </c>
    </row>
    <row r="26" spans="1:7" s="214" customFormat="1">
      <c r="A26" s="780" t="s">
        <v>350</v>
      </c>
      <c r="B26" s="215" t="s">
        <v>1510</v>
      </c>
      <c r="C26" s="238">
        <f ca="1">ROUND(IF('数据-取费表'!B22&lt;=1,F21*F22*'数据-取费表'!B23/2,F21*(POWER((1+F22),'数据-取费表'!B23/2)-1)),4)</f>
        <v>5.0000000000000001E-4</v>
      </c>
      <c r="D26" s="238"/>
      <c r="E26" s="241"/>
      <c r="F26" s="239"/>
      <c r="G26" s="243"/>
    </row>
    <row r="27" spans="1:7" s="214" customFormat="1" ht="24.75">
      <c r="A27" s="255" t="s">
        <v>1511</v>
      </c>
      <c r="B27" s="244" t="s">
        <v>1512</v>
      </c>
      <c r="C27" s="245">
        <f ca="1">C28</f>
        <v>276</v>
      </c>
      <c r="D27" s="235">
        <f ca="1">C29</f>
        <v>1.6999999999999999E-3</v>
      </c>
      <c r="E27" s="236" t="s">
        <v>1513</v>
      </c>
      <c r="F27" s="246">
        <f ca="1">IF(B1="",'数据-取费表'!Q16,INDIRECT("'数据-取费表'!q"&amp;$G$1))</f>
        <v>0.15</v>
      </c>
      <c r="G27" s="247" t="s">
        <v>1514</v>
      </c>
    </row>
    <row r="28" spans="1:7" s="214" customFormat="1" ht="13.5" customHeight="1">
      <c r="A28" s="780" t="s">
        <v>346</v>
      </c>
      <c r="B28" s="248" t="s">
        <v>1515</v>
      </c>
      <c r="C28" s="249">
        <f ca="1">ROUND((C5+C19+C20)*F27*'数据-取费表'!B21/'数据-取费表'!B20,0)</f>
        <v>276</v>
      </c>
      <c r="D28" s="235"/>
      <c r="E28" s="236"/>
      <c r="F28" s="246"/>
      <c r="G28" s="247"/>
    </row>
    <row r="29" spans="1:7" s="214" customFormat="1" ht="13.5" customHeight="1">
      <c r="A29" s="780" t="s">
        <v>347</v>
      </c>
      <c r="B29" s="248" t="s">
        <v>1516</v>
      </c>
      <c r="C29" s="238">
        <f ca="1">ROUND(C21*F27*'数据-取费表'!B21/'数据-取费表'!B20,4)</f>
        <v>1.6999999999999999E-3</v>
      </c>
      <c r="D29" s="235"/>
      <c r="E29" s="236"/>
      <c r="F29" s="246"/>
      <c r="G29" s="247"/>
    </row>
    <row r="30" spans="1:7" s="214" customFormat="1" ht="13.5" customHeight="1">
      <c r="A30" s="255" t="s">
        <v>1517</v>
      </c>
      <c r="B30" s="210" t="s">
        <v>1518</v>
      </c>
      <c r="C30" s="235">
        <f>ROUND(F30/(1+'数据-取费表'!C42),4)</f>
        <v>5.2400000000000002E-2</v>
      </c>
      <c r="D30" s="236" t="s">
        <v>1513</v>
      </c>
      <c r="E30" s="241"/>
      <c r="F30" s="237">
        <f>'数据-取费表'!B41</f>
        <v>5.5000000000000007E-2</v>
      </c>
      <c r="G30" s="234" t="s">
        <v>1519</v>
      </c>
    </row>
    <row r="31" spans="1:7" ht="16.5" customHeight="1">
      <c r="A31" s="209">
        <v>1</v>
      </c>
      <c r="B31" s="210" t="s">
        <v>1520</v>
      </c>
      <c r="C31" s="211">
        <f ca="1">ROUND((C5+C19+C20+C22+C27)/(1-C21-D22-D27-C30),0)</f>
        <v>4079</v>
      </c>
      <c r="D31" s="230"/>
      <c r="E31" s="211"/>
      <c r="F31" s="250"/>
      <c r="G31" s="234" t="s">
        <v>1521</v>
      </c>
    </row>
    <row r="32" spans="1:7" s="208" customFormat="1" ht="15.75">
      <c r="A32" s="252" t="s">
        <v>1522</v>
      </c>
      <c r="B32" s="253"/>
      <c r="C32" s="253"/>
      <c r="D32" s="253"/>
      <c r="E32" s="253"/>
      <c r="F32" s="253"/>
      <c r="G32" s="254"/>
    </row>
    <row r="33" spans="1:7" s="214" customFormat="1" ht="13.5" customHeight="1">
      <c r="A33" s="255" t="s">
        <v>337</v>
      </c>
      <c r="B33" s="210" t="s">
        <v>1523</v>
      </c>
      <c r="C33" s="256">
        <f ca="1">SUM(C34:C38)</f>
        <v>8357</v>
      </c>
      <c r="D33" s="232"/>
      <c r="E33" s="212"/>
      <c r="F33" s="241"/>
      <c r="G33" s="234"/>
    </row>
    <row r="34" spans="1:7" s="258" customFormat="1" ht="13.5" customHeight="1">
      <c r="A34" s="780" t="s">
        <v>346</v>
      </c>
      <c r="B34" s="215" t="s">
        <v>1524</v>
      </c>
      <c r="C34" s="220">
        <f ca="1">IF(B1="",IF(F34=100%,'数据-取费表'!M16,'数据-取费表'!O16),IF(F34=100%,INDIRECT("'数据-取费表'!m"&amp;$G$1)+INDIRECT("'数据-取费表'!t"&amp;$G$1),INDIRECT("'数据-取费表'!o"&amp;$G$1)+INDIRECT("'数据-取费表'!aq"&amp;$G$1)))</f>
        <v>7632</v>
      </c>
      <c r="D34" s="217"/>
      <c r="E34" s="220"/>
      <c r="F34" s="257">
        <f ca="1">IF('数据-取费表'!B24=0,1,IF(B1="",'数据-取费表'!N16,INDIRECT("'数据-取费表'!n"&amp;$G$1)))</f>
        <v>0.55000000000000004</v>
      </c>
      <c r="G34" s="219" t="s">
        <v>1525</v>
      </c>
    </row>
    <row r="35" spans="1:7" ht="13.5" customHeight="1">
      <c r="A35" s="780" t="s">
        <v>351</v>
      </c>
      <c r="B35" s="215" t="s">
        <v>1526</v>
      </c>
      <c r="C35" s="220">
        <f ca="1">ROUND(C34*F35,0)</f>
        <v>229</v>
      </c>
      <c r="D35" s="220"/>
      <c r="E35" s="220"/>
      <c r="F35" s="259">
        <f>'数据-取费表'!B33</f>
        <v>0.03</v>
      </c>
      <c r="G35" s="219" t="s">
        <v>1527</v>
      </c>
    </row>
    <row r="36" spans="1:7" ht="24">
      <c r="A36" s="780" t="s">
        <v>352</v>
      </c>
      <c r="B36" s="215" t="s">
        <v>1528</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1529</v>
      </c>
    </row>
    <row r="37" spans="1:7" s="258" customFormat="1" ht="13.5" customHeight="1">
      <c r="A37" s="780" t="s">
        <v>353</v>
      </c>
      <c r="B37" s="215" t="s">
        <v>1530</v>
      </c>
      <c r="C37" s="249">
        <f ca="1">ROUND(E37*D37*F34/10000,0)</f>
        <v>382</v>
      </c>
      <c r="D37" s="217">
        <f ca="1">D19</f>
        <v>34689.100000000006</v>
      </c>
      <c r="E37" s="249">
        <f>'数据-取费表'!B35</f>
        <v>200</v>
      </c>
      <c r="F37" s="259"/>
      <c r="G37" s="261" t="s">
        <v>1531</v>
      </c>
    </row>
    <row r="38" spans="1:7" ht="13.5" customHeight="1">
      <c r="A38" s="780" t="s">
        <v>354</v>
      </c>
      <c r="B38" s="215" t="s">
        <v>1532</v>
      </c>
      <c r="C38" s="220">
        <f ca="1">ROUND(C34*F38,0)</f>
        <v>114</v>
      </c>
      <c r="D38" s="220"/>
      <c r="E38" s="220"/>
      <c r="F38" s="259">
        <f>'数据-取费表'!B36</f>
        <v>1.4999999999999999E-2</v>
      </c>
      <c r="G38" s="219" t="s">
        <v>1527</v>
      </c>
    </row>
    <row r="39" spans="1:7" s="214" customFormat="1" ht="13.5" customHeight="1">
      <c r="A39" s="255" t="s">
        <v>1533</v>
      </c>
      <c r="B39" s="210" t="s">
        <v>1534</v>
      </c>
      <c r="C39" s="232">
        <f ca="1">ROUND(C33*F20,0)</f>
        <v>167</v>
      </c>
      <c r="D39" s="232"/>
      <c r="E39" s="232"/>
      <c r="F39" s="233">
        <f>F20</f>
        <v>0.02</v>
      </c>
      <c r="G39" s="234" t="s">
        <v>1535</v>
      </c>
    </row>
    <row r="40" spans="1:7" s="214" customFormat="1" ht="13.5" customHeight="1">
      <c r="A40" s="255" t="s">
        <v>1536</v>
      </c>
      <c r="B40" s="210" t="s">
        <v>1537</v>
      </c>
      <c r="C40" s="1327">
        <f>F21</f>
        <v>0.02</v>
      </c>
      <c r="D40" s="236" t="s">
        <v>1538</v>
      </c>
      <c r="E40" s="232"/>
      <c r="F40" s="233">
        <f>F21</f>
        <v>0.02</v>
      </c>
      <c r="G40" s="234" t="s">
        <v>1539</v>
      </c>
    </row>
    <row r="41" spans="1:7" s="214" customFormat="1" ht="13.5" customHeight="1">
      <c r="A41" s="255" t="s">
        <v>1540</v>
      </c>
      <c r="B41" s="210" t="s">
        <v>1541</v>
      </c>
      <c r="C41" s="232">
        <f ca="1">ROUND(SUM(C42:C43),0)</f>
        <v>193</v>
      </c>
      <c r="D41" s="235">
        <f ca="1">C44</f>
        <v>5.0000000000000001E-4</v>
      </c>
      <c r="E41" s="236" t="s">
        <v>1538</v>
      </c>
      <c r="F41" s="237">
        <f ca="1">F22</f>
        <v>4.1499999999999995E-2</v>
      </c>
      <c r="G41" s="234" t="str">
        <f>IF('数据-取费表'!B22&lt;=1,"单利计息","复利计息")</f>
        <v>复利计息</v>
      </c>
    </row>
    <row r="42" spans="1:7" ht="13.5" customHeight="1">
      <c r="A42" s="780" t="s">
        <v>346</v>
      </c>
      <c r="B42" s="215" t="s">
        <v>1542</v>
      </c>
      <c r="C42" s="238">
        <f ca="1">ROUND(IF('数据-取费表'!B22&lt;=1,C33*F22*'数据-取费表'!B21/2,C33*(POWER((1+F22),'数据-取费表'!B21/2)-1)),0)</f>
        <v>189</v>
      </c>
      <c r="D42" s="238"/>
      <c r="E42" s="238"/>
      <c r="F42" s="239"/>
      <c r="G42" s="3644" t="s">
        <v>1543</v>
      </c>
    </row>
    <row r="43" spans="1:7" ht="13.5" customHeight="1">
      <c r="A43" s="780" t="s">
        <v>347</v>
      </c>
      <c r="B43" s="215" t="s">
        <v>1544</v>
      </c>
      <c r="C43" s="238">
        <f ca="1">ROUND(IF('数据-取费表'!B22&lt;=1,C39*F22*'数据-取费表'!B21/2,C39*(POWER((1+F22),'数据-取费表'!B21/2)-1)),0)</f>
        <v>4</v>
      </c>
      <c r="D43" s="238"/>
      <c r="E43" s="238"/>
      <c r="F43" s="239"/>
      <c r="G43" s="3645"/>
    </row>
    <row r="44" spans="1:7" ht="13.5" customHeight="1">
      <c r="A44" s="780" t="s">
        <v>348</v>
      </c>
      <c r="B44" s="215" t="s">
        <v>1545</v>
      </c>
      <c r="C44" s="238">
        <f ca="1">ROUND(IF('数据-取费表'!B22&lt;=1,C40*F22*'数据-取费表'!B21/2,C40*(POWER((1+F22),'数据-取费表'!B21/2)-1)),4)</f>
        <v>5.0000000000000001E-4</v>
      </c>
      <c r="D44" s="238"/>
      <c r="E44" s="238"/>
      <c r="F44" s="239"/>
      <c r="G44" s="3646"/>
    </row>
    <row r="45" spans="1:7" s="214" customFormat="1" ht="13.5" customHeight="1">
      <c r="A45" s="255" t="s">
        <v>1546</v>
      </c>
      <c r="B45" s="244" t="s">
        <v>1512</v>
      </c>
      <c r="C45" s="245">
        <f ca="1">C46</f>
        <v>1279</v>
      </c>
      <c r="D45" s="235">
        <f ca="1">C47</f>
        <v>3.0000000000000001E-3</v>
      </c>
      <c r="E45" s="236" t="s">
        <v>1538</v>
      </c>
      <c r="F45" s="246">
        <f ca="1">F27</f>
        <v>0.15</v>
      </c>
      <c r="G45" s="247" t="s">
        <v>1547</v>
      </c>
    </row>
    <row r="46" spans="1:7" s="214" customFormat="1" ht="13.5" customHeight="1">
      <c r="A46" s="780" t="s">
        <v>346</v>
      </c>
      <c r="B46" s="248" t="s">
        <v>1548</v>
      </c>
      <c r="C46" s="249">
        <f ca="1">ROUND((C33+C39)*F27,0)</f>
        <v>1279</v>
      </c>
      <c r="D46" s="263"/>
      <c r="E46" s="236"/>
      <c r="F46" s="246"/>
      <c r="G46" s="247"/>
    </row>
    <row r="47" spans="1:7" s="214" customFormat="1" ht="13.5" customHeight="1">
      <c r="A47" s="780" t="s">
        <v>347</v>
      </c>
      <c r="B47" s="248" t="s">
        <v>1549</v>
      </c>
      <c r="C47" s="238">
        <f ca="1">ROUND(C40*F27,4)</f>
        <v>3.0000000000000001E-3</v>
      </c>
      <c r="D47" s="263"/>
      <c r="E47" s="236"/>
      <c r="F47" s="246"/>
      <c r="G47" s="247"/>
    </row>
    <row r="48" spans="1:7" s="214" customFormat="1" ht="13.5" customHeight="1">
      <c r="A48" s="255" t="s">
        <v>1511</v>
      </c>
      <c r="B48" s="210" t="s">
        <v>1550</v>
      </c>
      <c r="C48" s="1327">
        <f>ROUND(F30/(1+'数据-取费表'!C42),4)</f>
        <v>5.2400000000000002E-2</v>
      </c>
      <c r="D48" s="236" t="s">
        <v>1538</v>
      </c>
      <c r="E48" s="232"/>
      <c r="F48" s="237">
        <f>F30</f>
        <v>5.5000000000000007E-2</v>
      </c>
      <c r="G48" s="234" t="s">
        <v>1551</v>
      </c>
    </row>
    <row r="49" spans="1:7" ht="16.5" customHeight="1">
      <c r="A49" s="255" t="s">
        <v>1517</v>
      </c>
      <c r="B49" s="210" t="s">
        <v>1552</v>
      </c>
      <c r="C49" s="232">
        <f ca="1">ROUND((C33+C39+C41+C45)/(1-C40-D41-D45-C48),0)</f>
        <v>10817</v>
      </c>
      <c r="D49" s="232"/>
      <c r="E49" s="232"/>
      <c r="F49" s="264"/>
      <c r="G49" s="234" t="s">
        <v>1553</v>
      </c>
    </row>
    <row r="50" spans="1:7" s="258" customFormat="1" ht="24">
      <c r="A50" s="255" t="s">
        <v>1554</v>
      </c>
      <c r="B50" s="210" t="s">
        <v>1555</v>
      </c>
      <c r="C50" s="232"/>
      <c r="D50" s="232"/>
      <c r="E50" s="232"/>
      <c r="F50" s="264">
        <f>IF('数据-取费表'!B24=0,'数据-取费表'!N16,1)</f>
        <v>1</v>
      </c>
      <c r="G50" s="247" t="s">
        <v>1556</v>
      </c>
    </row>
    <row r="51" spans="1:7" ht="16.5" customHeight="1">
      <c r="A51" s="255" t="s">
        <v>1557</v>
      </c>
      <c r="B51" s="210" t="s">
        <v>1558</v>
      </c>
      <c r="C51" s="232">
        <f ca="1">ROUND(C49*F50,0)</f>
        <v>10817</v>
      </c>
      <c r="D51" s="232"/>
      <c r="E51" s="232"/>
      <c r="F51" s="264"/>
      <c r="G51" s="234" t="s">
        <v>1559</v>
      </c>
    </row>
    <row r="52" spans="1:7" s="208" customFormat="1" ht="16.5" thickBot="1">
      <c r="A52" s="265" t="s">
        <v>1560</v>
      </c>
      <c r="B52" s="266"/>
      <c r="C52" s="267">
        <f ca="1">C31+C51</f>
        <v>14896</v>
      </c>
      <c r="D52" s="266"/>
      <c r="E52" s="266"/>
      <c r="F52" s="266"/>
      <c r="G52" s="268"/>
    </row>
    <row r="55" spans="1:7" ht="15">
      <c r="B55" s="270" t="s">
        <v>1561</v>
      </c>
      <c r="C55" s="271"/>
    </row>
    <row r="56" spans="1:7">
      <c r="B56" s="273" t="s">
        <v>802</v>
      </c>
      <c r="C56" s="275">
        <f ca="1">1-C57</f>
        <v>0.27400000000000002</v>
      </c>
    </row>
    <row r="57" spans="1:7">
      <c r="B57" s="273" t="s">
        <v>803</v>
      </c>
      <c r="C57" s="274">
        <f ca="1">ROUND(C51/C52,3)</f>
        <v>0.72599999999999998</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61" t="str">
        <f>项目基本情况!B1</f>
        <v>北京市出让国有建设用地使用权及在建建筑物房地产抵押价值预评估</v>
      </c>
      <c r="C37" s="3461"/>
      <c r="D37" s="3461"/>
      <c r="E37" s="3461"/>
      <c r="F37" s="3461"/>
      <c r="G37" s="3461"/>
      <c r="H37" s="3461"/>
      <c r="I37" s="3461"/>
    </row>
    <row r="38" spans="1:9">
      <c r="A38" s="844"/>
      <c r="B38" s="844"/>
    </row>
    <row r="39" spans="1:9">
      <c r="A39" s="842" t="s">
        <v>371</v>
      </c>
      <c r="B39" s="842" t="s">
        <v>373</v>
      </c>
    </row>
    <row r="40" spans="1:9">
      <c r="A40" s="842"/>
      <c r="B40" s="1474" t="str">
        <f>项目基本情况!B5</f>
        <v>工行翠微路</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郑燚（注册号：1120070131)、崔锴（注册号：1120100036)</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1460</v>
      </c>
      <c r="B1" s="1470"/>
      <c r="C1" s="1859" t="s">
        <v>1562</v>
      </c>
      <c r="D1" s="198"/>
      <c r="E1" s="198"/>
      <c r="F1" s="198"/>
      <c r="G1" s="1126">
        <f>MATCH(B1,'数据-取费表'!A6:A16,0)+5</f>
        <v>8</v>
      </c>
      <c r="H1" s="1061" t="str">
        <f>IF(ISERROR(FIND("住宅",B1)),"非住宅","住宅")</f>
        <v>非住宅</v>
      </c>
    </row>
    <row r="2" spans="1:8" s="200" customFormat="1" ht="18" customHeight="1">
      <c r="A2" s="201" t="s">
        <v>1461</v>
      </c>
      <c r="B2" s="3422">
        <f ca="1">ROUND(IF(D2="——",C52/10000,C52/10000-E2),4)</f>
        <v>21879.015100000001</v>
      </c>
      <c r="C2" s="199" t="s">
        <v>1462</v>
      </c>
      <c r="D2" s="1853" t="s">
        <v>43</v>
      </c>
      <c r="E2" s="1169" t="e">
        <f ca="1">SUMIF(INDIRECT("'"&amp;G2&amp;"'"&amp;"!A:A"),"承租人权益价值",INDIRECT("'"&amp;G2&amp;"'"&amp;"!c:c"))</f>
        <v>#REF!</v>
      </c>
      <c r="F2" s="1854" t="s">
        <v>1462</v>
      </c>
      <c r="G2" s="1855"/>
    </row>
    <row r="3" spans="1:8" s="200" customFormat="1" ht="18" customHeight="1" thickBot="1">
      <c r="A3" s="203" t="s">
        <v>1463</v>
      </c>
      <c r="B3" s="204">
        <f ca="1">ROUND(B2*10000/(IF(B1="",'数据-汇总表'!E3,INDIRECT("'数据-取费表'!k"&amp;$G$1))),0)</f>
        <v>6307</v>
      </c>
      <c r="C3" s="199" t="s">
        <v>1464</v>
      </c>
      <c r="D3" s="199"/>
      <c r="E3" s="199"/>
      <c r="F3" s="199"/>
      <c r="G3" s="199"/>
    </row>
    <row r="4" spans="1:8" s="208" customFormat="1" ht="15.75">
      <c r="A4" s="205" t="s">
        <v>1465</v>
      </c>
      <c r="B4" s="206"/>
      <c r="C4" s="206"/>
      <c r="D4" s="206"/>
      <c r="E4" s="206"/>
      <c r="F4" s="206"/>
      <c r="G4" s="207"/>
    </row>
    <row r="5" spans="1:8" s="214" customFormat="1" ht="13.5" customHeight="1">
      <c r="A5" s="255" t="s">
        <v>1466</v>
      </c>
      <c r="B5" s="210" t="s">
        <v>1467</v>
      </c>
      <c r="C5" s="211">
        <f ca="1">C6+C7+C8</f>
        <v>6937820</v>
      </c>
      <c r="D5" s="211" t="s">
        <v>1468</v>
      </c>
      <c r="E5" s="212" t="s">
        <v>1469</v>
      </c>
      <c r="F5" s="212" t="s">
        <v>1470</v>
      </c>
      <c r="G5" s="213"/>
    </row>
    <row r="6" spans="1:8" s="214" customFormat="1" ht="13.5" customHeight="1">
      <c r="A6" s="778" t="s">
        <v>1471</v>
      </c>
      <c r="B6" s="215" t="s">
        <v>1472</v>
      </c>
      <c r="C6" s="216"/>
      <c r="D6" s="217"/>
      <c r="E6" s="218"/>
      <c r="F6" s="218"/>
      <c r="G6" s="219"/>
    </row>
    <row r="7" spans="1:8" s="214" customFormat="1" ht="13.5" customHeight="1">
      <c r="A7" s="778" t="s">
        <v>1473</v>
      </c>
      <c r="B7" s="215" t="s">
        <v>1474</v>
      </c>
      <c r="C7" s="220">
        <f>ROUND(C6*F7,0)</f>
        <v>0</v>
      </c>
      <c r="D7" s="220"/>
      <c r="E7" s="218"/>
      <c r="F7" s="221">
        <f>IF(项目基本情况!B8="出让",0,'数据-取费表'!B48+'数据-取费表'!B49)</f>
        <v>3.0499999999999999E-2</v>
      </c>
      <c r="G7" s="219"/>
    </row>
    <row r="8" spans="1:8" s="223" customFormat="1">
      <c r="A8" s="778" t="s">
        <v>1475</v>
      </c>
      <c r="B8" s="215" t="s">
        <v>1476</v>
      </c>
      <c r="C8" s="220">
        <f ca="1">IF(G8="已包含在土地购买价格中",0,C9+C10)</f>
        <v>6937820</v>
      </c>
      <c r="D8" s="222"/>
      <c r="E8" s="220"/>
      <c r="F8" s="221"/>
      <c r="G8" s="1856"/>
    </row>
    <row r="9" spans="1:8" s="214" customFormat="1" ht="13.5" customHeight="1">
      <c r="A9" s="779" t="s">
        <v>355</v>
      </c>
      <c r="B9" s="224" t="s">
        <v>1477</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1479</v>
      </c>
      <c r="C10" s="225">
        <f ca="1">ROUND(D10*E10,0)</f>
        <v>6937820</v>
      </c>
      <c r="D10" s="845">
        <f ca="1">IF(B1="",'数据-汇总表'!E6,IF(INDIRECT("'数据-取费表'!c"&amp;$G$1)="住宅",INDIRECT("'数据-取费表'!s"&amp;$G$1),INDIRECT("'数据-取费表'!k"&amp;$G$1)+INDIRECT("'数据-取费表'!s"&amp;$G$1)))</f>
        <v>34689.100000000006</v>
      </c>
      <c r="E10" s="225">
        <f>'数据-取费表'!B28</f>
        <v>200</v>
      </c>
      <c r="F10" s="221"/>
      <c r="G10" s="226"/>
    </row>
    <row r="11" spans="1:8" s="214" customFormat="1" ht="13.5" hidden="1" customHeight="1">
      <c r="A11" s="227" t="s">
        <v>4</v>
      </c>
      <c r="B11" s="215" t="s">
        <v>1480</v>
      </c>
      <c r="C11" s="211"/>
      <c r="D11" s="847"/>
      <c r="E11" s="218"/>
      <c r="F11" s="218"/>
      <c r="G11" s="219"/>
    </row>
    <row r="12" spans="1:8" s="214" customFormat="1" ht="13.5" hidden="1" customHeight="1">
      <c r="A12" s="227" t="s">
        <v>5</v>
      </c>
      <c r="B12" s="215" t="s">
        <v>1563</v>
      </c>
      <c r="C12" s="211">
        <v>0</v>
      </c>
      <c r="D12" s="847"/>
      <c r="E12" s="228"/>
      <c r="F12" s="221">
        <v>3.0499999999999999E-2</v>
      </c>
      <c r="G12" s="219"/>
    </row>
    <row r="13" spans="1:8" s="214" customFormat="1" ht="13.5" hidden="1" customHeight="1">
      <c r="A13" s="227" t="s">
        <v>6</v>
      </c>
      <c r="B13" s="215" t="s">
        <v>1564</v>
      </c>
      <c r="C13" s="211"/>
      <c r="D13" s="847"/>
      <c r="E13" s="218"/>
      <c r="F13" s="218"/>
      <c r="G13" s="219"/>
    </row>
    <row r="14" spans="1:8" s="214" customFormat="1" ht="13.5" hidden="1" customHeight="1">
      <c r="A14" s="227" t="s">
        <v>7</v>
      </c>
      <c r="B14" s="215" t="s">
        <v>1476</v>
      </c>
      <c r="C14" s="211"/>
      <c r="D14" s="847"/>
      <c r="E14" s="218"/>
      <c r="F14" s="218"/>
      <c r="G14" s="219" t="s">
        <v>1565</v>
      </c>
    </row>
    <row r="15" spans="1:8" s="214" customFormat="1" ht="13.5" hidden="1" customHeight="1">
      <c r="A15" s="227" t="s">
        <v>8</v>
      </c>
      <c r="B15" s="215" t="s">
        <v>1566</v>
      </c>
      <c r="C15" s="220"/>
      <c r="D15" s="847"/>
      <c r="E15" s="218"/>
      <c r="F15" s="218"/>
      <c r="G15" s="219" t="s">
        <v>1567</v>
      </c>
    </row>
    <row r="16" spans="1:8" s="214" customFormat="1" ht="13.5" hidden="1" customHeight="1">
      <c r="A16" s="227" t="s">
        <v>9</v>
      </c>
      <c r="B16" s="215" t="s">
        <v>1476</v>
      </c>
      <c r="C16" s="220"/>
      <c r="D16" s="847"/>
      <c r="E16" s="218"/>
      <c r="F16" s="218"/>
      <c r="G16" s="219"/>
    </row>
    <row r="17" spans="1:7" s="214" customFormat="1" ht="13.5" hidden="1" customHeight="1">
      <c r="A17" s="227" t="s">
        <v>10</v>
      </c>
      <c r="B17" s="215" t="s">
        <v>1568</v>
      </c>
      <c r="C17" s="229"/>
      <c r="D17" s="848"/>
      <c r="E17" s="229"/>
      <c r="F17" s="229"/>
      <c r="G17" s="219" t="s">
        <v>1567</v>
      </c>
    </row>
    <row r="18" spans="1:7" s="214" customFormat="1" ht="13.5" hidden="1" customHeight="1">
      <c r="A18" s="227" t="s">
        <v>11</v>
      </c>
      <c r="B18" s="215" t="s">
        <v>1569</v>
      </c>
      <c r="C18" s="220">
        <v>0</v>
      </c>
      <c r="D18" s="847"/>
      <c r="E18" s="218"/>
      <c r="F18" s="221">
        <v>3.0499999999999999E-2</v>
      </c>
      <c r="G18" s="219" t="s">
        <v>1570</v>
      </c>
    </row>
    <row r="19" spans="1:7" s="223" customFormat="1" ht="13.5" customHeight="1">
      <c r="A19" s="255" t="s">
        <v>1571</v>
      </c>
      <c r="B19" s="210" t="s">
        <v>1572</v>
      </c>
      <c r="C19" s="211">
        <f ca="1">IF(G19="已包含在土地取得成本中","0",ROUND(D19*E19,0))</f>
        <v>6937820</v>
      </c>
      <c r="D19" s="849">
        <f ca="1">D9+D10</f>
        <v>34689.100000000006</v>
      </c>
      <c r="E19" s="211">
        <f>'数据-取费表'!B31</f>
        <v>200</v>
      </c>
      <c r="F19" s="231"/>
      <c r="G19" s="1856"/>
    </row>
    <row r="20" spans="1:7" s="214" customFormat="1" ht="13.5" customHeight="1">
      <c r="A20" s="255" t="s">
        <v>1573</v>
      </c>
      <c r="B20" s="210" t="s">
        <v>1574</v>
      </c>
      <c r="C20" s="232">
        <f ca="1">ROUND((C5+C19)*F20,0)</f>
        <v>277513</v>
      </c>
      <c r="D20" s="232"/>
      <c r="E20" s="232"/>
      <c r="F20" s="233">
        <f>'数据-取费表'!B37</f>
        <v>0.02</v>
      </c>
      <c r="G20" s="234" t="s">
        <v>1575</v>
      </c>
    </row>
    <row r="21" spans="1:7" s="214" customFormat="1" ht="13.5" customHeight="1">
      <c r="A21" s="255" t="s">
        <v>1576</v>
      </c>
      <c r="B21" s="210" t="s">
        <v>1577</v>
      </c>
      <c r="C21" s="235">
        <f>F21</f>
        <v>0.02</v>
      </c>
      <c r="D21" s="236" t="s">
        <v>1578</v>
      </c>
      <c r="E21" s="232"/>
      <c r="F21" s="233">
        <f>'数据-取费表'!B38</f>
        <v>0.02</v>
      </c>
      <c r="G21" s="234" t="s">
        <v>1579</v>
      </c>
    </row>
    <row r="22" spans="1:7" s="214" customFormat="1" ht="13.5" customHeight="1">
      <c r="A22" s="255" t="s">
        <v>1580</v>
      </c>
      <c r="B22" s="210" t="s">
        <v>1581</v>
      </c>
      <c r="C22" s="1127">
        <f ca="1">ROUND(SUM(C23:C25),0)</f>
        <v>1187093</v>
      </c>
      <c r="D22" s="235">
        <f ca="1">C26</f>
        <v>8.0000000000000004E-4</v>
      </c>
      <c r="E22" s="236" t="s">
        <v>1578</v>
      </c>
      <c r="F22" s="237">
        <f ca="1">'数据-取费表'!B40</f>
        <v>4.1499999999999995E-2</v>
      </c>
      <c r="G22" s="234" t="str">
        <f>IF('数据-取费表'!B22&lt;=1,"单利计息","复利计息")</f>
        <v>复利计息</v>
      </c>
    </row>
    <row r="23" spans="1:7" s="214" customFormat="1" ht="13.5" customHeight="1">
      <c r="A23" s="780" t="s">
        <v>1471</v>
      </c>
      <c r="B23" s="215" t="s">
        <v>1582</v>
      </c>
      <c r="C23" s="1128">
        <f ca="1">ROUND(IF('数据-取费表'!B22&lt;=1,C5*F22*'数据-取费表'!B22,C5*(POWER((1+F22),'数据-取费表'!B22)-1)),0)</f>
        <v>587788</v>
      </c>
      <c r="D23" s="238"/>
      <c r="E23" s="238"/>
      <c r="F23" s="239"/>
      <c r="G23" s="240" t="s">
        <v>1583</v>
      </c>
    </row>
    <row r="24" spans="1:7" s="214" customFormat="1" ht="13.5" customHeight="1">
      <c r="A24" s="780" t="s">
        <v>1473</v>
      </c>
      <c r="B24" s="215" t="s">
        <v>1584</v>
      </c>
      <c r="C24" s="1128">
        <f ca="1">ROUND(IF('数据-取费表'!B22&lt;=1,C19*F22*('数据-取费表'!B19/2+'数据-取费表'!B20),C19*(POWER((1+F22),('数据-取费表'!B19/2+'数据-取费表'!B20))-1)),0)</f>
        <v>587788</v>
      </c>
      <c r="D24" s="238"/>
      <c r="E24" s="238"/>
      <c r="F24" s="239"/>
      <c r="G24" s="240" t="s">
        <v>1585</v>
      </c>
    </row>
    <row r="25" spans="1:7" s="214" customFormat="1" ht="24">
      <c r="A25" s="780" t="s">
        <v>1475</v>
      </c>
      <c r="B25" s="215" t="s">
        <v>1586</v>
      </c>
      <c r="C25" s="1128">
        <f ca="1">ROUND(IF('数据-取费表'!B22&lt;=1,C20*F22*'数据-取费表'!B22/2,C20*(POWER((1+F22),'数据-取费表'!B22/2)-1)),0)</f>
        <v>11517</v>
      </c>
      <c r="D25" s="238"/>
      <c r="E25" s="241"/>
      <c r="F25" s="239"/>
      <c r="G25" s="242" t="s">
        <v>1587</v>
      </c>
    </row>
    <row r="26" spans="1:7" s="214" customFormat="1">
      <c r="A26" s="780" t="s">
        <v>350</v>
      </c>
      <c r="B26" s="215" t="s">
        <v>1510</v>
      </c>
      <c r="C26" s="238">
        <f ca="1">ROUND(IF('数据-取费表'!B22&lt;=1,F21*F22*'数据-取费表'!B22/2,F21*(POWER((1+F22),'数据-取费表'!B22/2)-1)),4)</f>
        <v>8.0000000000000004E-4</v>
      </c>
      <c r="D26" s="238"/>
      <c r="E26" s="241"/>
      <c r="F26" s="239"/>
      <c r="G26" s="243"/>
    </row>
    <row r="27" spans="1:7" s="214" customFormat="1" ht="24.75">
      <c r="A27" s="255" t="s">
        <v>1511</v>
      </c>
      <c r="B27" s="244" t="s">
        <v>1512</v>
      </c>
      <c r="C27" s="245">
        <f ca="1">C28</f>
        <v>2122973</v>
      </c>
      <c r="D27" s="235">
        <f ca="1">C29</f>
        <v>3.0000000000000001E-3</v>
      </c>
      <c r="E27" s="236" t="s">
        <v>1513</v>
      </c>
      <c r="F27" s="246">
        <f ca="1">IF(B1="",'数据-取费表'!Q16,INDIRECT("'数据-取费表'!q"&amp;$G$1))</f>
        <v>0.15</v>
      </c>
      <c r="G27" s="247" t="s">
        <v>1514</v>
      </c>
    </row>
    <row r="28" spans="1:7" s="214" customFormat="1" ht="13.5" customHeight="1">
      <c r="A28" s="780" t="s">
        <v>346</v>
      </c>
      <c r="B28" s="248" t="s">
        <v>1515</v>
      </c>
      <c r="C28" s="249">
        <f ca="1">ROUND((C5+C19+C20)*F27,0)</f>
        <v>2122973</v>
      </c>
      <c r="D28" s="235"/>
      <c r="E28" s="236"/>
      <c r="F28" s="246"/>
      <c r="G28" s="247"/>
    </row>
    <row r="29" spans="1:7" s="214" customFormat="1" ht="13.5" customHeight="1">
      <c r="A29" s="780" t="s">
        <v>347</v>
      </c>
      <c r="B29" s="248" t="s">
        <v>1516</v>
      </c>
      <c r="C29" s="238">
        <f ca="1">ROUND(C21*F27,4)</f>
        <v>3.0000000000000001E-3</v>
      </c>
      <c r="D29" s="235"/>
      <c r="E29" s="236"/>
      <c r="F29" s="246"/>
      <c r="G29" s="247"/>
    </row>
    <row r="30" spans="1:7" s="214" customFormat="1" ht="13.5" customHeight="1">
      <c r="A30" s="255" t="s">
        <v>1517</v>
      </c>
      <c r="B30" s="210" t="s">
        <v>1518</v>
      </c>
      <c r="C30" s="235">
        <f>ROUND(F30/(1+'数据-取费表'!C42),4)</f>
        <v>5.2400000000000002E-2</v>
      </c>
      <c r="D30" s="236" t="s">
        <v>1513</v>
      </c>
      <c r="E30" s="241"/>
      <c r="F30" s="237">
        <f>'数据-取费表'!B41</f>
        <v>5.5000000000000007E-2</v>
      </c>
      <c r="G30" s="234" t="s">
        <v>1519</v>
      </c>
    </row>
    <row r="31" spans="1:7" ht="16.5" customHeight="1">
      <c r="A31" s="209">
        <v>1</v>
      </c>
      <c r="B31" s="210" t="s">
        <v>1520</v>
      </c>
      <c r="C31" s="211">
        <f ca="1">ROUND((C5+C19+C20+C22+C27)/(1-C21-D22-D27-C30),0)</f>
        <v>18903679</v>
      </c>
      <c r="D31" s="230"/>
      <c r="E31" s="211"/>
      <c r="F31" s="250"/>
      <c r="G31" s="234" t="s">
        <v>1521</v>
      </c>
    </row>
    <row r="32" spans="1:7" s="208" customFormat="1" ht="15.75">
      <c r="A32" s="252" t="s">
        <v>1588</v>
      </c>
      <c r="B32" s="253"/>
      <c r="C32" s="253"/>
      <c r="D32" s="253"/>
      <c r="E32" s="253"/>
      <c r="F32" s="253"/>
      <c r="G32" s="254"/>
    </row>
    <row r="33" spans="1:7" s="214" customFormat="1" ht="13.5" customHeight="1">
      <c r="A33" s="255" t="s">
        <v>337</v>
      </c>
      <c r="B33" s="210" t="s">
        <v>1589</v>
      </c>
      <c r="C33" s="256">
        <f ca="1">SUM(C34:C38)</f>
        <v>151938258</v>
      </c>
      <c r="D33" s="232"/>
      <c r="E33" s="212"/>
      <c r="F33" s="241"/>
      <c r="G33" s="234"/>
    </row>
    <row r="34" spans="1:7" s="258" customFormat="1" ht="13.5" customHeight="1">
      <c r="A34" s="780" t="s">
        <v>346</v>
      </c>
      <c r="B34" s="215" t="s">
        <v>1524</v>
      </c>
      <c r="C34" s="220">
        <f ca="1">ROUND(IF(B1="",SUMPRODUCT('数据-取费表'!K6:K14,'数据-取费表'!L6:L14),INDIRECT("'数据-取费表'!l"&amp;$G$1)*INDIRECT("'数据-取费表'!k"&amp;$G$1)+'数据-取费表'!L14*INDIRECT("'数据-取费表'!S"&amp;$G$1)),0)</f>
        <v>138756400</v>
      </c>
      <c r="D34" s="217"/>
      <c r="E34" s="220"/>
      <c r="F34" s="257"/>
      <c r="G34" s="219"/>
    </row>
    <row r="35" spans="1:7" ht="13.5" customHeight="1">
      <c r="A35" s="780" t="s">
        <v>351</v>
      </c>
      <c r="B35" s="215" t="s">
        <v>1526</v>
      </c>
      <c r="C35" s="220">
        <f ca="1">ROUND(C34*F35,0)</f>
        <v>4162692</v>
      </c>
      <c r="D35" s="220"/>
      <c r="E35" s="220"/>
      <c r="F35" s="259">
        <f>'数据-取费表'!B33</f>
        <v>0.03</v>
      </c>
      <c r="G35" s="219" t="s">
        <v>1527</v>
      </c>
    </row>
    <row r="36" spans="1:7" ht="24">
      <c r="A36" s="780" t="s">
        <v>352</v>
      </c>
      <c r="B36" s="215" t="s">
        <v>1528</v>
      </c>
      <c r="C36" s="220">
        <f ca="1">ROUND(IF(B1="",SUM('数据-取费表'!AP6:AP13)*F36,IF(INDIRECT("'数据-取费表'!c"&amp;$G$1)="住宅",INDIRECT("'数据-取费表'!k"&amp;$G$1)*INDIRECT("'数据-取费表'!l"&amp;$G$1)*F36,0)),0)</f>
        <v>0</v>
      </c>
      <c r="D36" s="220"/>
      <c r="E36" s="220"/>
      <c r="F36" s="259">
        <f>'数据-取费表'!B34</f>
        <v>0</v>
      </c>
      <c r="G36" s="260" t="s">
        <v>1529</v>
      </c>
    </row>
    <row r="37" spans="1:7" s="258" customFormat="1" ht="13.5" customHeight="1">
      <c r="A37" s="780" t="s">
        <v>353</v>
      </c>
      <c r="B37" s="215" t="s">
        <v>1530</v>
      </c>
      <c r="C37" s="249">
        <f ca="1">ROUND(E37*D37,0)</f>
        <v>6937820</v>
      </c>
      <c r="D37" s="217">
        <f ca="1">D19</f>
        <v>34689.100000000006</v>
      </c>
      <c r="E37" s="249">
        <f>'数据-取费表'!B35</f>
        <v>200</v>
      </c>
      <c r="F37" s="259"/>
      <c r="G37" s="261"/>
    </row>
    <row r="38" spans="1:7" ht="13.5" customHeight="1">
      <c r="A38" s="780" t="s">
        <v>354</v>
      </c>
      <c r="B38" s="215" t="s">
        <v>1532</v>
      </c>
      <c r="C38" s="220">
        <f ca="1">ROUND(C34*F38,0)</f>
        <v>2081346</v>
      </c>
      <c r="D38" s="220"/>
      <c r="E38" s="220"/>
      <c r="F38" s="259">
        <f>'数据-取费表'!B36</f>
        <v>1.4999999999999999E-2</v>
      </c>
      <c r="G38" s="219" t="s">
        <v>1527</v>
      </c>
    </row>
    <row r="39" spans="1:7" s="214" customFormat="1" ht="13.5" customHeight="1">
      <c r="A39" s="255" t="s">
        <v>1533</v>
      </c>
      <c r="B39" s="210" t="s">
        <v>1534</v>
      </c>
      <c r="C39" s="232">
        <f ca="1">ROUND(C33*F20,0)</f>
        <v>3038765</v>
      </c>
      <c r="D39" s="232"/>
      <c r="E39" s="232"/>
      <c r="F39" s="233">
        <f>F20</f>
        <v>0.02</v>
      </c>
      <c r="G39" s="234" t="s">
        <v>1535</v>
      </c>
    </row>
    <row r="40" spans="1:7" s="214" customFormat="1" ht="13.5" customHeight="1">
      <c r="A40" s="255" t="s">
        <v>1536</v>
      </c>
      <c r="B40" s="210" t="s">
        <v>1537</v>
      </c>
      <c r="C40" s="1327">
        <f>F21</f>
        <v>0.02</v>
      </c>
      <c r="D40" s="236" t="s">
        <v>1538</v>
      </c>
      <c r="E40" s="232"/>
      <c r="F40" s="233">
        <f>F21</f>
        <v>0.02</v>
      </c>
      <c r="G40" s="234" t="s">
        <v>1539</v>
      </c>
    </row>
    <row r="41" spans="1:7" s="214" customFormat="1" ht="13.5" customHeight="1">
      <c r="A41" s="255" t="s">
        <v>1540</v>
      </c>
      <c r="B41" s="210" t="s">
        <v>1541</v>
      </c>
      <c r="C41" s="232">
        <f ca="1">ROUND(SUM(C42:C43),0)</f>
        <v>6431547</v>
      </c>
      <c r="D41" s="235">
        <f ca="1">C44</f>
        <v>8.0000000000000004E-4</v>
      </c>
      <c r="E41" s="236" t="s">
        <v>1538</v>
      </c>
      <c r="F41" s="237">
        <f ca="1">F22</f>
        <v>4.1499999999999995E-2</v>
      </c>
      <c r="G41" s="234" t="str">
        <f>IF('数据-取费表'!B22&lt;=1,"单利计息","复利计息")</f>
        <v>复利计息</v>
      </c>
    </row>
    <row r="42" spans="1:7" ht="13.5" customHeight="1">
      <c r="A42" s="780" t="s">
        <v>346</v>
      </c>
      <c r="B42" s="215" t="s">
        <v>1542</v>
      </c>
      <c r="C42" s="238">
        <f ca="1">ROUND(IF('数据-取费表'!B22&lt;=1,C33*F22*'数据-取费表'!B20/2,C33*(POWER((1+F22),'数据-取费表'!B20/2)-1)),0)</f>
        <v>6305438</v>
      </c>
      <c r="D42" s="238"/>
      <c r="E42" s="238"/>
      <c r="F42" s="239"/>
      <c r="G42" s="3644" t="s">
        <v>1590</v>
      </c>
    </row>
    <row r="43" spans="1:7" ht="13.5" customHeight="1">
      <c r="A43" s="780" t="s">
        <v>347</v>
      </c>
      <c r="B43" s="215" t="s">
        <v>1544</v>
      </c>
      <c r="C43" s="238">
        <f ca="1">ROUND(IF('数据-取费表'!B22&lt;=1,C39*F22*'数据-取费表'!B20/2,C39*(POWER((1+F22),'数据-取费表'!B20/2)-1)),0)</f>
        <v>126109</v>
      </c>
      <c r="D43" s="238"/>
      <c r="E43" s="238"/>
      <c r="F43" s="239"/>
      <c r="G43" s="3645"/>
    </row>
    <row r="44" spans="1:7" ht="13.5" customHeight="1">
      <c r="A44" s="780" t="s">
        <v>348</v>
      </c>
      <c r="B44" s="215" t="s">
        <v>1545</v>
      </c>
      <c r="C44" s="238">
        <f ca="1">ROUND(IF('数据-取费表'!B22&lt;=1,C40*F22*'数据-取费表'!B20/2,C40*(POWER((1+F22),'数据-取费表'!B20/2)-1)),4)</f>
        <v>8.0000000000000004E-4</v>
      </c>
      <c r="D44" s="238"/>
      <c r="E44" s="238"/>
      <c r="F44" s="239"/>
      <c r="G44" s="3646"/>
    </row>
    <row r="45" spans="1:7" s="214" customFormat="1" ht="13.5" customHeight="1">
      <c r="A45" s="255" t="s">
        <v>1546</v>
      </c>
      <c r="B45" s="244" t="s">
        <v>1512</v>
      </c>
      <c r="C45" s="245">
        <f ca="1">C46</f>
        <v>23246553</v>
      </c>
      <c r="D45" s="235">
        <f ca="1">C47</f>
        <v>3.0000000000000001E-3</v>
      </c>
      <c r="E45" s="236" t="s">
        <v>1538</v>
      </c>
      <c r="F45" s="246">
        <f ca="1">F27</f>
        <v>0.15</v>
      </c>
      <c r="G45" s="247" t="s">
        <v>1547</v>
      </c>
    </row>
    <row r="46" spans="1:7" s="214" customFormat="1" ht="13.5" customHeight="1">
      <c r="A46" s="780" t="s">
        <v>346</v>
      </c>
      <c r="B46" s="248" t="s">
        <v>1548</v>
      </c>
      <c r="C46" s="249">
        <f ca="1">ROUND((C33+C39)*F27,0)</f>
        <v>23246553</v>
      </c>
      <c r="D46" s="263"/>
      <c r="E46" s="236"/>
      <c r="F46" s="246"/>
      <c r="G46" s="247"/>
    </row>
    <row r="47" spans="1:7" s="214" customFormat="1" ht="13.5" customHeight="1">
      <c r="A47" s="780" t="s">
        <v>347</v>
      </c>
      <c r="B47" s="248" t="s">
        <v>1549</v>
      </c>
      <c r="C47" s="238">
        <f ca="1">ROUND(C40*F27,4)</f>
        <v>3.0000000000000001E-3</v>
      </c>
      <c r="D47" s="263"/>
      <c r="E47" s="236"/>
      <c r="F47" s="246"/>
      <c r="G47" s="247"/>
    </row>
    <row r="48" spans="1:7" s="214" customFormat="1" ht="13.5" customHeight="1">
      <c r="A48" s="255" t="s">
        <v>1511</v>
      </c>
      <c r="B48" s="210" t="s">
        <v>1550</v>
      </c>
      <c r="C48" s="262">
        <f>ROUND(F30/(1+'数据-取费表'!C42),4)</f>
        <v>5.2400000000000002E-2</v>
      </c>
      <c r="D48" s="236" t="s">
        <v>1538</v>
      </c>
      <c r="E48" s="232"/>
      <c r="F48" s="237">
        <f>F30</f>
        <v>5.5000000000000007E-2</v>
      </c>
      <c r="G48" s="234" t="s">
        <v>1551</v>
      </c>
    </row>
    <row r="49" spans="1:7" ht="16.5" customHeight="1">
      <c r="A49" s="255" t="s">
        <v>1517</v>
      </c>
      <c r="B49" s="210" t="s">
        <v>1591</v>
      </c>
      <c r="C49" s="232">
        <f ca="1">ROUND((C33+C39+C41+C45)/(1-C40-D41-D45-C48),0)</f>
        <v>199886472</v>
      </c>
      <c r="D49" s="232"/>
      <c r="E49" s="232"/>
      <c r="F49" s="264"/>
      <c r="G49" s="234" t="s">
        <v>1553</v>
      </c>
    </row>
    <row r="50" spans="1:7" s="258" customFormat="1">
      <c r="A50" s="255" t="s">
        <v>1554</v>
      </c>
      <c r="B50" s="210" t="s">
        <v>1555</v>
      </c>
      <c r="C50" s="232"/>
      <c r="D50" s="232"/>
      <c r="E50" s="232"/>
      <c r="F50" s="264">
        <f>IF('数据-取费表'!B24=0,'数据-取费表'!N16,1)</f>
        <v>1</v>
      </c>
      <c r="G50" s="247"/>
    </row>
    <row r="51" spans="1:7" ht="16.5" customHeight="1">
      <c r="A51" s="255" t="s">
        <v>1557</v>
      </c>
      <c r="B51" s="210" t="s">
        <v>1592</v>
      </c>
      <c r="C51" s="232">
        <f ca="1">ROUND(C49*F50,0)</f>
        <v>199886472</v>
      </c>
      <c r="D51" s="232"/>
      <c r="E51" s="232"/>
      <c r="F51" s="264"/>
      <c r="G51" s="234" t="s">
        <v>1559</v>
      </c>
    </row>
    <row r="52" spans="1:7" s="208" customFormat="1" ht="16.5" thickBot="1">
      <c r="A52" s="265" t="s">
        <v>1560</v>
      </c>
      <c r="B52" s="266"/>
      <c r="C52" s="267">
        <f ca="1">C31+C51</f>
        <v>218790151</v>
      </c>
      <c r="D52" s="266"/>
      <c r="E52" s="266"/>
      <c r="F52" s="266"/>
      <c r="G52" s="268"/>
    </row>
    <row r="55" spans="1:7" ht="15">
      <c r="B55" s="270" t="s">
        <v>1561</v>
      </c>
      <c r="C55" s="271"/>
    </row>
    <row r="56" spans="1:7">
      <c r="B56" s="273" t="s">
        <v>802</v>
      </c>
      <c r="C56" s="275">
        <f ca="1">1-C57</f>
        <v>8.5999999999999965E-2</v>
      </c>
    </row>
    <row r="57" spans="1:7">
      <c r="B57" s="273" t="s">
        <v>803</v>
      </c>
      <c r="C57" s="274">
        <f ca="1">ROUND(C51/C52,3)</f>
        <v>0.91400000000000003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85" zoomScaleNormal="70" zoomScaleSheetLayoutView="85" workbookViewId="0">
      <selection activeCell="H37" sqref="H37"/>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1593</v>
      </c>
      <c r="B1" s="1191"/>
      <c r="C1" s="1192"/>
      <c r="D1" s="1190"/>
      <c r="E1" s="2804"/>
      <c r="F1" s="2804"/>
      <c r="G1" s="2669"/>
      <c r="H1" s="2804"/>
      <c r="I1" s="2804"/>
      <c r="J1" s="2804"/>
      <c r="K1" s="2805">
        <f>MATCH(C1,'数据-取费表'!A6:A16,0)+5</f>
        <v>8</v>
      </c>
    </row>
    <row r="2" spans="1:33" ht="18" customHeight="1">
      <c r="A2" s="201" t="s">
        <v>1461</v>
      </c>
      <c r="B2" s="204">
        <f ca="1">C32</f>
        <v>10529</v>
      </c>
      <c r="C2" s="276" t="s">
        <v>1594</v>
      </c>
      <c r="D2" s="276"/>
      <c r="E2" s="2804"/>
      <c r="F2" s="2804"/>
      <c r="G2" s="2804"/>
      <c r="H2" s="2804"/>
      <c r="I2" s="2804"/>
      <c r="J2" s="2804"/>
      <c r="K2" s="2804"/>
    </row>
    <row r="3" spans="1:33" ht="18" customHeight="1" thickBot="1">
      <c r="A3" s="203" t="s">
        <v>1463</v>
      </c>
      <c r="B3" s="204">
        <f ca="1">ROUND(B2*10000/IF(C1="",'数据-汇总表'!E3,INDIRECT("'数据-取费表'!K"&amp;$K$1)),0)</f>
        <v>3035</v>
      </c>
      <c r="C3" s="276" t="s">
        <v>1595</v>
      </c>
      <c r="D3" s="276"/>
      <c r="E3" s="2804"/>
      <c r="F3" s="2804"/>
      <c r="G3" s="2804"/>
      <c r="H3" s="2804"/>
      <c r="I3" s="2804"/>
      <c r="J3" s="2804"/>
      <c r="K3" s="2804"/>
    </row>
    <row r="4" spans="1:33" s="785" customFormat="1" ht="16.5" customHeight="1">
      <c r="A4" s="782" t="s">
        <v>1596</v>
      </c>
      <c r="B4" s="783"/>
      <c r="C4" s="824">
        <f ca="1">SUM(C8:K8)</f>
        <v>21468</v>
      </c>
      <c r="D4" s="783"/>
      <c r="E4" s="783"/>
      <c r="F4" s="783"/>
      <c r="G4" s="783"/>
      <c r="H4" s="783"/>
      <c r="I4" s="783"/>
      <c r="J4" s="783"/>
      <c r="K4" s="784"/>
    </row>
    <row r="5" spans="1:33" s="789" customFormat="1" ht="15">
      <c r="A5" s="786" t="s">
        <v>1597</v>
      </c>
      <c r="B5" s="787" t="s">
        <v>1598</v>
      </c>
      <c r="C5" s="1860" t="s">
        <v>3</v>
      </c>
      <c r="D5" s="1860" t="s">
        <v>3402</v>
      </c>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1599</v>
      </c>
      <c r="C6" s="791">
        <f ca="1">收益法!B3</f>
        <v>9473</v>
      </c>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1600</v>
      </c>
      <c r="B7" s="131" t="s">
        <v>1601</v>
      </c>
      <c r="C7" s="277">
        <f>SUMIF('数据-汇总表'!$C19:$C33,假设开发法!C5,'数据-汇总表'!$E19:$E33)</f>
        <v>22663.3</v>
      </c>
      <c r="D7" s="277">
        <f>SUMIF('数据-汇总表'!$C19:$C33,假设开发法!D5,'数据-汇总表'!$E19:$E33)</f>
        <v>7113.3</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1602</v>
      </c>
      <c r="B8" s="164" t="s">
        <v>1603</v>
      </c>
      <c r="C8" s="825">
        <f ca="1">收益法!B2</f>
        <v>21468</v>
      </c>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1604</v>
      </c>
      <c r="B9" s="783"/>
      <c r="C9" s="783"/>
      <c r="D9" s="783"/>
      <c r="E9" s="783"/>
      <c r="F9" s="783"/>
      <c r="G9" s="783"/>
      <c r="H9" s="783"/>
      <c r="I9" s="783"/>
      <c r="J9" s="783"/>
      <c r="K9" s="784"/>
    </row>
    <row r="10" spans="1:33" s="799" customFormat="1" ht="13.5" customHeight="1">
      <c r="A10" s="786" t="s">
        <v>1605</v>
      </c>
      <c r="B10" s="5" t="s">
        <v>1606</v>
      </c>
      <c r="C10" s="795" t="s">
        <v>1607</v>
      </c>
      <c r="D10" s="796" t="s">
        <v>1608</v>
      </c>
      <c r="E10" s="796" t="s">
        <v>1609</v>
      </c>
      <c r="F10" s="796" t="s">
        <v>1610</v>
      </c>
      <c r="G10" s="5"/>
      <c r="H10" s="797"/>
      <c r="I10" s="797"/>
      <c r="J10" s="797"/>
      <c r="K10" s="798"/>
    </row>
    <row r="11" spans="1:33" s="803" customFormat="1" ht="13.5" customHeight="1">
      <c r="A11" s="800" t="s">
        <v>635</v>
      </c>
      <c r="B11" s="801" t="s">
        <v>1611</v>
      </c>
      <c r="C11" s="279">
        <f ca="1">IF(C1="",'数据-取费表'!P16,INDIRECT("'数据-取费表'!p"&amp;$K$1)+INDIRECT("'数据-取费表'!ar"&amp;$K$1))</f>
        <v>6243</v>
      </c>
      <c r="D11" s="802"/>
      <c r="E11" s="329"/>
      <c r="F11" s="812">
        <f ca="1">1-IF('数据-取费表'!B24=0,1,IF(C1="",'数据-取费表'!N16,INDIRECT("'数据-取费表'!n"&amp;$K$1)))</f>
        <v>0.44999999999999996</v>
      </c>
      <c r="G11" s="5"/>
      <c r="H11" s="797"/>
      <c r="I11" s="797"/>
      <c r="J11" s="797"/>
      <c r="K11" s="798"/>
    </row>
    <row r="12" spans="1:33" s="803" customFormat="1" ht="13.5" customHeight="1">
      <c r="A12" s="800" t="s">
        <v>636</v>
      </c>
      <c r="B12" s="801" t="s">
        <v>1612</v>
      </c>
      <c r="C12" s="21">
        <f ca="1">ROUND(C11*F12,0)</f>
        <v>187</v>
      </c>
      <c r="D12" s="802"/>
      <c r="E12" s="329"/>
      <c r="F12" s="812">
        <f>'数据-取费表'!B33</f>
        <v>0.03</v>
      </c>
      <c r="G12" s="5" t="s">
        <v>1613</v>
      </c>
      <c r="H12" s="797"/>
      <c r="I12" s="797"/>
      <c r="J12" s="797"/>
      <c r="K12" s="798"/>
    </row>
    <row r="13" spans="1:33" s="803" customFormat="1" ht="13.5" customHeight="1">
      <c r="A13" s="800" t="s">
        <v>637</v>
      </c>
      <c r="B13" s="801" t="s">
        <v>1614</v>
      </c>
      <c r="C13" s="21">
        <f ca="1">ROUND(IF(C1="",SUMIF('数据-取费表'!C:C,"住宅",'数据-取费表'!P:P)*F13,IF(INDIRECT("'数据-取费表'!c"&amp;$K$1)="住宅",INDIRECT("'数据-取费表'!P"&amp;$K$1)*F13,0)),0)</f>
        <v>0</v>
      </c>
      <c r="D13" s="846"/>
      <c r="E13" s="329"/>
      <c r="F13" s="812">
        <f>'数据-取费表'!B34</f>
        <v>0</v>
      </c>
      <c r="G13" s="5" t="s">
        <v>1615</v>
      </c>
      <c r="H13" s="797"/>
      <c r="I13" s="797"/>
      <c r="J13" s="797"/>
      <c r="K13" s="798"/>
    </row>
    <row r="14" spans="1:33" s="805" customFormat="1" ht="13.5" customHeight="1">
      <c r="A14" s="800" t="s">
        <v>638</v>
      </c>
      <c r="B14" s="801" t="s">
        <v>1616</v>
      </c>
      <c r="C14" s="21">
        <f ca="1">ROUND(D14*E14*F11/10000,0)</f>
        <v>312</v>
      </c>
      <c r="D14" s="846">
        <f ca="1">IF(C1="",'数据-汇总表'!E3,INDIRECT("'数据-取费表'!K"&amp;$K$1)+INDIRECT("'数据-取费表'!S"&amp;$K$1))</f>
        <v>34689.100000000006</v>
      </c>
      <c r="E14" s="21">
        <f>'数据-取费表'!B35</f>
        <v>200</v>
      </c>
      <c r="F14" s="804"/>
      <c r="G14" s="5" t="s">
        <v>1617</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1618</v>
      </c>
      <c r="C15" s="811">
        <f ca="1">ROUND(C11*F15,0)</f>
        <v>94</v>
      </c>
      <c r="D15" s="806"/>
      <c r="E15" s="811"/>
      <c r="F15" s="812">
        <f>'数据-取费表'!B36</f>
        <v>1.4999999999999999E-2</v>
      </c>
      <c r="G15" s="131" t="s">
        <v>1619</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1620</v>
      </c>
      <c r="C16" s="811">
        <f ca="1">SUM(C11:C15)</f>
        <v>6836</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1621</v>
      </c>
      <c r="C17" s="21">
        <f ca="1">ROUND(D17*E17/10000,0)</f>
        <v>0</v>
      </c>
      <c r="D17" s="846">
        <f ca="1">D14</f>
        <v>34689.100000000006</v>
      </c>
      <c r="E17" s="21">
        <f>'数据-取费表'!B32</f>
        <v>0</v>
      </c>
      <c r="F17" s="806"/>
      <c r="G17" s="131" t="s">
        <v>1622</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1623</v>
      </c>
      <c r="C18" s="21">
        <f ca="1">C19+C20-IF(C1="",'数据-取费表'!B29,IF(G18="已全部缴纳",C19+C20,H18))</f>
        <v>0</v>
      </c>
      <c r="D18" s="846"/>
      <c r="E18" s="21"/>
      <c r="F18" s="804"/>
      <c r="G18" s="1862"/>
      <c r="H18" s="1187"/>
      <c r="I18" s="1863" t="s">
        <v>1624</v>
      </c>
      <c r="J18" s="807"/>
      <c r="K18" s="808"/>
    </row>
    <row r="19" spans="1:33" s="803" customFormat="1" ht="13.5" customHeight="1">
      <c r="A19" s="800" t="s">
        <v>360</v>
      </c>
      <c r="B19" s="801" t="s">
        <v>1625</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1626</v>
      </c>
      <c r="C20" s="21">
        <f ca="1">ROUND(D20*E20/10000,0)</f>
        <v>694</v>
      </c>
      <c r="D20" s="846">
        <f ca="1">IF(C1="",'数据-汇总表'!E6,IF(INDIRECT("'数据-取费表'!c"&amp;$K$1)="住宅",INDIRECT("'数据-取费表'!s"&amp;$K$1),INDIRECT("'数据-取费表'!k"&amp;$K$1)+INDIRECT("'数据-取费表'!s"&amp;$K$1)))</f>
        <v>34689.100000000006</v>
      </c>
      <c r="E20" s="21">
        <f>'数据-取费表'!B28</f>
        <v>200</v>
      </c>
      <c r="F20" s="804"/>
      <c r="G20" s="12"/>
      <c r="H20" s="809"/>
      <c r="I20" s="809"/>
      <c r="J20" s="809"/>
      <c r="K20" s="810"/>
    </row>
    <row r="21" spans="1:33" s="803" customFormat="1" ht="13.5" customHeight="1">
      <c r="A21" s="790" t="s">
        <v>357</v>
      </c>
      <c r="B21" s="813" t="s">
        <v>1627</v>
      </c>
      <c r="C21" s="814">
        <f ca="1">C16+C17+C18</f>
        <v>6836</v>
      </c>
      <c r="D21" s="815"/>
      <c r="E21" s="281"/>
      <c r="F21" s="281"/>
      <c r="G21" s="131" t="s">
        <v>1628</v>
      </c>
      <c r="H21" s="807"/>
      <c r="I21" s="807"/>
      <c r="J21" s="807"/>
      <c r="K21" s="808"/>
    </row>
    <row r="22" spans="1:33" s="803" customFormat="1" ht="13.5" customHeight="1">
      <c r="A22" s="790" t="s">
        <v>1600</v>
      </c>
      <c r="B22" s="813" t="s">
        <v>1629</v>
      </c>
      <c r="C22" s="814">
        <f ca="1">ROUND(C21*F22,0)</f>
        <v>137</v>
      </c>
      <c r="D22" s="281"/>
      <c r="E22" s="281"/>
      <c r="F22" s="816">
        <f>'数据-取费表'!B37</f>
        <v>0.02</v>
      </c>
      <c r="G22" s="5" t="s">
        <v>1630</v>
      </c>
      <c r="H22" s="797"/>
      <c r="I22" s="797"/>
      <c r="J22" s="797"/>
      <c r="K22" s="798"/>
    </row>
    <row r="23" spans="1:33" s="803" customFormat="1" ht="13.5" customHeight="1">
      <c r="A23" s="790" t="s">
        <v>1602</v>
      </c>
      <c r="B23" s="813" t="s">
        <v>1631</v>
      </c>
      <c r="C23" s="814">
        <f ca="1">ROUND(C4*F23*F11,0)</f>
        <v>193</v>
      </c>
      <c r="D23" s="281"/>
      <c r="E23" s="281"/>
      <c r="F23" s="816">
        <f>'数据-取费表'!B38</f>
        <v>0.02</v>
      </c>
      <c r="G23" s="5" t="s">
        <v>1632</v>
      </c>
      <c r="H23" s="797"/>
      <c r="I23" s="797"/>
      <c r="J23" s="797"/>
      <c r="K23" s="798"/>
    </row>
    <row r="24" spans="1:33" s="803" customFormat="1" ht="13.5" customHeight="1">
      <c r="A24" s="790" t="s">
        <v>1633</v>
      </c>
      <c r="B24" s="813" t="s">
        <v>1634</v>
      </c>
      <c r="C24" s="280">
        <f>ROUND(F24/(1+'数据-取费表'!C42),4)</f>
        <v>2.9000000000000001E-2</v>
      </c>
      <c r="D24" s="281" t="s">
        <v>12</v>
      </c>
      <c r="E24" s="281"/>
      <c r="F24" s="816">
        <f>IF(项目基本情况!B8="出让",0,'数据-取费表'!B48+'数据-取费表'!B49)</f>
        <v>3.0499999999999999E-2</v>
      </c>
      <c r="G24" s="5" t="s">
        <v>1635</v>
      </c>
      <c r="H24" s="818"/>
      <c r="I24" s="818"/>
      <c r="J24" s="818"/>
      <c r="K24" s="819"/>
    </row>
    <row r="25" spans="1:33" s="803" customFormat="1" ht="13.5" customHeight="1">
      <c r="A25" s="790" t="s">
        <v>1636</v>
      </c>
      <c r="B25" s="815" t="s">
        <v>1637</v>
      </c>
      <c r="C25" s="1106">
        <f ca="1">C27</f>
        <v>132</v>
      </c>
      <c r="D25" s="280">
        <f ca="1">C26</f>
        <v>3.8399999999999997E-2</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1638</v>
      </c>
      <c r="C26" s="1107">
        <f ca="1">ROUND(IF('数据-取费表'!B22&lt;=1,(1+C24)*F25*'数据-取费表'!B24,(1+C24)*(POWER((1+F25),'数据-取费表'!B24)-1)),4)</f>
        <v>3.8399999999999997E-2</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1639</v>
      </c>
      <c r="C27" s="1108">
        <f ca="1">ROUND(IF('数据-取费表'!B22&lt;=1,(C21+C22+C23)*F25*'数据-取费表'!B24/2,(C21+C22+C23)*(POWER((1+F25),'数据-取费表'!B24/2)-1)),0)</f>
        <v>132</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1640</v>
      </c>
      <c r="B28" s="1865" t="s">
        <v>1641</v>
      </c>
      <c r="C28" s="287">
        <f ca="1">C30</f>
        <v>1075</v>
      </c>
      <c r="D28" s="280">
        <f ca="1">C29</f>
        <v>6.9500000000000006E-2</v>
      </c>
      <c r="E28" s="282" t="s">
        <v>12</v>
      </c>
      <c r="F28" s="288">
        <f ca="1">IF(C1="",'数据-取费表'!Q16,INDIRECT("'数据-取费表'!q"&amp;$K$1))</f>
        <v>0.15</v>
      </c>
      <c r="G28" s="817"/>
      <c r="H28" s="818"/>
      <c r="I28" s="818"/>
      <c r="J28" s="818"/>
      <c r="K28" s="819"/>
    </row>
    <row r="29" spans="1:33" s="291" customFormat="1" ht="13.5" customHeight="1">
      <c r="A29" s="800" t="s">
        <v>358</v>
      </c>
      <c r="B29" s="822" t="s">
        <v>1642</v>
      </c>
      <c r="C29" s="284">
        <f ca="1">ROUND((1+C24)*F28*'数据-取费表'!B24/'数据-取费表'!B20,4)</f>
        <v>6.9500000000000006E-2</v>
      </c>
      <c r="D29" s="284"/>
      <c r="E29" s="285"/>
      <c r="F29" s="290"/>
      <c r="G29" s="131" t="s">
        <v>1643</v>
      </c>
      <c r="H29" s="807"/>
      <c r="I29" s="807"/>
      <c r="J29" s="807"/>
      <c r="K29" s="808"/>
    </row>
    <row r="30" spans="1:33" s="291" customFormat="1" ht="13.5" customHeight="1">
      <c r="A30" s="800" t="s">
        <v>359</v>
      </c>
      <c r="B30" s="822" t="s">
        <v>1644</v>
      </c>
      <c r="C30" s="292">
        <f ca="1">ROUND((C21+C22+C23)*F28,0)</f>
        <v>1075</v>
      </c>
      <c r="D30" s="284"/>
      <c r="E30" s="285"/>
      <c r="F30" s="290"/>
      <c r="G30" s="131"/>
      <c r="H30" s="807"/>
      <c r="I30" s="807"/>
      <c r="J30" s="807"/>
      <c r="K30" s="808"/>
    </row>
    <row r="31" spans="1:33" s="803" customFormat="1" ht="13.5" customHeight="1" thickBot="1">
      <c r="A31" s="1866" t="s">
        <v>1645</v>
      </c>
      <c r="B31" s="833" t="s">
        <v>1646</v>
      </c>
      <c r="C31" s="834">
        <f ca="1">ROUND(C4*F31/(1+'数据-取费表'!C42),0)</f>
        <v>1125</v>
      </c>
      <c r="D31" s="835"/>
      <c r="E31" s="836"/>
      <c r="F31" s="837">
        <f>'数据-取费表'!B41</f>
        <v>5.5000000000000007E-2</v>
      </c>
      <c r="G31" s="838" t="s">
        <v>1647</v>
      </c>
      <c r="H31" s="839"/>
      <c r="I31" s="839"/>
      <c r="J31" s="839"/>
      <c r="K31" s="840"/>
    </row>
    <row r="32" spans="1:33" s="799" customFormat="1" ht="13.5" customHeight="1" thickBot="1">
      <c r="A32" s="828" t="s">
        <v>1648</v>
      </c>
      <c r="B32" s="829"/>
      <c r="C32" s="830">
        <f ca="1">ROUND((C4-C21-C22-C23-C25-C28-C31)/(1+C24+D25+D28),0)</f>
        <v>10529</v>
      </c>
      <c r="D32" s="829"/>
      <c r="E32" s="829"/>
      <c r="F32" s="829"/>
      <c r="G32" s="831" t="s">
        <v>1649</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4" zoomScale="85" zoomScaleNormal="70" zoomScaleSheetLayoutView="85" workbookViewId="0">
      <selection activeCell="C38" sqref="C3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v>
      </c>
      <c r="D1" s="1362" t="s">
        <v>3414</v>
      </c>
      <c r="E1" s="1363" t="s">
        <v>678</v>
      </c>
      <c r="F1" s="1062">
        <f ca="1">J53</f>
        <v>17.62</v>
      </c>
      <c r="G1" s="1378">
        <f>MATCH(C1,'数据-取费表'!A6:A16,0)+5</f>
        <v>6</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21468</v>
      </c>
      <c r="C2" s="1387" t="s">
        <v>805</v>
      </c>
      <c r="D2" s="1387"/>
      <c r="E2" s="1388"/>
      <c r="F2" s="1389"/>
      <c r="G2" s="2704"/>
      <c r="H2" s="2693"/>
      <c r="I2" s="2693"/>
      <c r="J2" s="2693"/>
      <c r="K2" s="2694"/>
      <c r="L2" s="2693"/>
      <c r="M2" s="2693"/>
    </row>
    <row r="3" spans="1:37" ht="18" customHeight="1" thickBot="1">
      <c r="A3" s="1390" t="s">
        <v>806</v>
      </c>
      <c r="B3" s="1391">
        <f ca="1">IF(ISERROR(B2*10000/F43),0,ROUND(B2*10000/F43,0))</f>
        <v>9473</v>
      </c>
      <c r="C3" s="1387" t="s">
        <v>807</v>
      </c>
      <c r="D3" s="1387"/>
      <c r="E3" s="1388"/>
      <c r="F3" s="1389"/>
      <c r="G3" s="2704"/>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1863</v>
      </c>
      <c r="D5" s="1364" t="s">
        <v>693</v>
      </c>
      <c r="E5" s="1071"/>
      <c r="F5" s="1072"/>
      <c r="G5" s="1384"/>
      <c r="H5" s="299">
        <v>1</v>
      </c>
      <c r="I5" s="300" t="s">
        <v>692</v>
      </c>
      <c r="J5" s="1070">
        <f ca="1">J6+J10+J12</f>
        <v>0</v>
      </c>
      <c r="K5" s="1364" t="s">
        <v>693</v>
      </c>
      <c r="L5" s="1071"/>
      <c r="M5" s="1072"/>
    </row>
    <row r="6" spans="1:37" ht="18" customHeight="1">
      <c r="A6" s="1069" t="s">
        <v>398</v>
      </c>
      <c r="B6" s="3649" t="s">
        <v>694</v>
      </c>
      <c r="C6" s="1074">
        <f ca="1">ROUND(F6*F8*F7*(1-F9)/10000,0)</f>
        <v>1861</v>
      </c>
      <c r="D6" s="155" t="s">
        <v>2107</v>
      </c>
      <c r="E6" s="302" t="s">
        <v>696</v>
      </c>
      <c r="F6" s="303">
        <f ca="1">INDIRECT("'数据-取费表'!u"&amp;$G$1)</f>
        <v>2.5</v>
      </c>
      <c r="G6" s="1384"/>
      <c r="H6" s="1069" t="s">
        <v>398</v>
      </c>
      <c r="I6" s="3649" t="s">
        <v>694</v>
      </c>
      <c r="J6" s="301">
        <f ca="1">ROUND(M6*M8*M7*(1-M9)/10000,0)</f>
        <v>0</v>
      </c>
      <c r="K6" s="155" t="s">
        <v>2106</v>
      </c>
      <c r="L6" s="302" t="s">
        <v>696</v>
      </c>
      <c r="M6" s="303">
        <f ca="1">INDIRECT("'数据-取费表'!z"&amp;$G$1)</f>
        <v>0</v>
      </c>
    </row>
    <row r="7" spans="1:37" ht="18" customHeight="1">
      <c r="A7" s="1073"/>
      <c r="B7" s="3650"/>
      <c r="C7" s="1075"/>
      <c r="D7" s="307"/>
      <c r="E7" s="1076" t="s">
        <v>697</v>
      </c>
      <c r="F7" s="303">
        <f ca="1">IF(INDIRECT("'数据-取费表'!ah"&amp;$G$1)="",INDIRECT("'数据-取费表'!k"&amp;$G$1),INDIRECT("'数据-取费表'!ah"&amp;$G$1))</f>
        <v>22663.3</v>
      </c>
      <c r="G7" s="1384"/>
      <c r="H7" s="304"/>
      <c r="I7" s="3650"/>
      <c r="J7" s="306"/>
      <c r="K7" s="307"/>
      <c r="L7" s="302" t="s">
        <v>697</v>
      </c>
      <c r="M7" s="303">
        <f ca="1">F7</f>
        <v>22663.3</v>
      </c>
    </row>
    <row r="8" spans="1:37" ht="18" customHeight="1">
      <c r="A8" s="304"/>
      <c r="B8" s="3650"/>
      <c r="C8" s="306"/>
      <c r="D8" s="307"/>
      <c r="E8" s="302" t="s">
        <v>698</v>
      </c>
      <c r="F8" s="303">
        <f ca="1">INDIRECT("'数据-取费表'!ai"&amp;$G$1)</f>
        <v>365</v>
      </c>
      <c r="G8" s="1384"/>
      <c r="H8" s="304"/>
      <c r="I8" s="3650"/>
      <c r="J8" s="306"/>
      <c r="K8" s="307"/>
      <c r="L8" s="302" t="s">
        <v>698</v>
      </c>
      <c r="M8" s="303">
        <f ca="1">INDIRECT("'数据-取费表'!ai"&amp;$G$1)</f>
        <v>365</v>
      </c>
    </row>
    <row r="9" spans="1:37" ht="18" customHeight="1">
      <c r="A9" s="304"/>
      <c r="B9" s="3651"/>
      <c r="C9" s="306"/>
      <c r="D9" s="307"/>
      <c r="E9" s="302" t="s">
        <v>699</v>
      </c>
      <c r="F9" s="312">
        <f ca="1">INDIRECT("'数据-取费表'!w"&amp;$G$1)</f>
        <v>0.1</v>
      </c>
      <c r="G9" s="1384"/>
      <c r="H9" s="304"/>
      <c r="I9" s="3651"/>
      <c r="J9" s="306"/>
      <c r="K9" s="307"/>
      <c r="L9" s="313" t="s">
        <v>699</v>
      </c>
      <c r="M9" s="314">
        <f ca="1">INDIRECT("'数据-取费表'!ab"&amp;$G$1)</f>
        <v>0</v>
      </c>
    </row>
    <row r="10" spans="1:37" ht="18" customHeight="1">
      <c r="A10" s="1069" t="s">
        <v>402</v>
      </c>
      <c r="B10" s="1365" t="s">
        <v>700</v>
      </c>
      <c r="C10" s="316">
        <f ca="1">ROUND(IF(F10="押一",C6/12*F11,IF(F10="押二",C6/12*2*F11,IF(F10="押三",C6/12*3*F11,C11*F11))),0)</f>
        <v>2</v>
      </c>
      <c r="D10" s="1366" t="s">
        <v>2115</v>
      </c>
      <c r="E10" s="313" t="s">
        <v>701</v>
      </c>
      <c r="F10" s="1116" t="s">
        <v>3413</v>
      </c>
      <c r="G10" s="1384"/>
      <c r="H10" s="1069" t="s">
        <v>402</v>
      </c>
      <c r="I10" s="1365" t="s">
        <v>700</v>
      </c>
      <c r="J10" s="301">
        <f ca="1">ROUND(IF(M10="押一",J6/12*M11,IF(M10="押二",J6/12*2*M11,IF(M10="押三",J6/12*3*M11,J11*M11))),0)</f>
        <v>0</v>
      </c>
      <c r="K10" s="1366" t="s">
        <v>2114</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15213</v>
      </c>
      <c r="D13" s="1081" t="s">
        <v>705</v>
      </c>
      <c r="E13" s="1081" t="s">
        <v>706</v>
      </c>
      <c r="F13" s="1082">
        <f ca="1">INDIRECT("'数据-取费表'!y"&amp;$G$1)</f>
        <v>1</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10561</v>
      </c>
      <c r="D14" s="1345" t="s">
        <v>708</v>
      </c>
      <c r="E14" s="1342"/>
      <c r="F14" s="319"/>
      <c r="G14" s="1384"/>
      <c r="H14" s="982" t="s">
        <v>398</v>
      </c>
      <c r="I14" s="302" t="s">
        <v>709</v>
      </c>
      <c r="J14" s="21">
        <f ca="1">C29</f>
        <v>15213</v>
      </c>
      <c r="K14" s="12"/>
      <c r="L14" s="807"/>
      <c r="M14" s="808"/>
    </row>
    <row r="15" spans="1:37" s="1397" customFormat="1" ht="18" customHeight="1" thickBot="1">
      <c r="A15" s="982" t="s">
        <v>399</v>
      </c>
      <c r="B15" s="302" t="s">
        <v>710</v>
      </c>
      <c r="C15" s="21">
        <f ca="1">ROUND(C14*F15,0)</f>
        <v>317</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79</v>
      </c>
      <c r="K16" s="1087" t="s">
        <v>715</v>
      </c>
      <c r="L16" s="1088"/>
      <c r="M16" s="1072"/>
    </row>
    <row r="17" spans="1:37" s="1397" customFormat="1" ht="18" customHeight="1">
      <c r="A17" s="982" t="s">
        <v>681</v>
      </c>
      <c r="B17" s="302" t="s">
        <v>716</v>
      </c>
      <c r="C17" s="21">
        <f ca="1">ROUND(F17*(F43+INDIRECT("'数据-取费表'!S"&amp;$G$1))/10000,0)</f>
        <v>528</v>
      </c>
      <c r="D17" s="302" t="s">
        <v>717</v>
      </c>
      <c r="E17" s="302" t="s">
        <v>718</v>
      </c>
      <c r="F17" s="23">
        <f>'数据-取费表'!B35</f>
        <v>200</v>
      </c>
      <c r="G17" s="1396"/>
      <c r="H17" s="982" t="s">
        <v>398</v>
      </c>
      <c r="I17" s="302" t="s">
        <v>719</v>
      </c>
      <c r="J17" s="2316">
        <f ca="1">ROUND(IF(AND(项目基本情况!B11="自然人",项目基本情况!B10="北京市"),J6*M17/(1+'数据-取费表'!C42),J18+J19+J20),2)</f>
        <v>2.65</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158</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11564</v>
      </c>
      <c r="D19" s="131" t="s">
        <v>726</v>
      </c>
      <c r="E19" s="1360"/>
      <c r="F19" s="23"/>
      <c r="G19" s="1384"/>
      <c r="H19" s="982" t="s">
        <v>399</v>
      </c>
      <c r="I19" s="302" t="s">
        <v>727</v>
      </c>
      <c r="J19" s="21">
        <f ca="1">IF(K19="按租金收入计税",ROUND(J6*M19/(1+'数据-取费表'!C42),2),ROUND(C29*M19*0.7,2))</f>
        <v>0</v>
      </c>
      <c r="K19" s="1370" t="s">
        <v>3339</v>
      </c>
      <c r="L19" s="302" t="s">
        <v>712</v>
      </c>
      <c r="M19" s="322">
        <f>IF(K19="按租金收入计税",'数据-取费表'!B51,'数据-取费表'!B50)</f>
        <v>0.12</v>
      </c>
    </row>
    <row r="20" spans="1:37" s="1397" customFormat="1" ht="18" customHeight="1">
      <c r="A20" s="982" t="s">
        <v>402</v>
      </c>
      <c r="B20" s="302" t="s">
        <v>728</v>
      </c>
      <c r="C20" s="21">
        <f ca="1">ROUND(C19*F20,0)</f>
        <v>231</v>
      </c>
      <c r="D20" s="323" t="s">
        <v>729</v>
      </c>
      <c r="E20" s="302" t="s">
        <v>712</v>
      </c>
      <c r="F20" s="322">
        <f>'数据-取费表'!B37</f>
        <v>0.02</v>
      </c>
      <c r="G20" s="1396"/>
      <c r="H20" s="982" t="s">
        <v>680</v>
      </c>
      <c r="I20" s="155" t="s">
        <v>730</v>
      </c>
      <c r="J20" s="22">
        <f ca="1">ROUND(M20*M21/10000,2)</f>
        <v>2.65</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17699.22</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76.069999999999993</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490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-79</v>
      </c>
      <c r="K25" s="1095" t="s">
        <v>753</v>
      </c>
      <c r="L25" s="1096"/>
      <c r="M25" s="1097"/>
    </row>
    <row r="26" spans="1:37">
      <c r="A26" s="982" t="s">
        <v>397</v>
      </c>
      <c r="B26" s="302" t="s">
        <v>754</v>
      </c>
      <c r="C26" s="21">
        <f ca="1">ROUND((C19+C20)*F26,0)</f>
        <v>1769</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15213</v>
      </c>
      <c r="D29" s="1092"/>
      <c r="E29" s="1090"/>
      <c r="F29" s="1093"/>
      <c r="G29" s="1396"/>
      <c r="H29" s="334" t="s">
        <v>396</v>
      </c>
      <c r="I29" s="335" t="s">
        <v>768</v>
      </c>
      <c r="J29" s="336">
        <f ca="1">ROUND(J26/(1+F40)^F41,0)</f>
        <v>0</v>
      </c>
      <c r="K29" s="337" t="s">
        <v>769</v>
      </c>
      <c r="L29" s="338"/>
      <c r="M29" s="339">
        <f ca="1">INDIRECT("'数据-取费表'!k"&amp;$G$1)</f>
        <v>22663.3</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423</v>
      </c>
      <c r="D30" s="1087" t="s">
        <v>715</v>
      </c>
      <c r="E30" s="1088"/>
      <c r="F30" s="1072"/>
      <c r="G30" s="1384"/>
      <c r="H30" s="2695"/>
      <c r="I30" s="1398"/>
      <c r="J30" s="1399"/>
      <c r="K30" s="2473"/>
      <c r="L30" s="2696"/>
      <c r="M30" s="2697"/>
    </row>
    <row r="31" spans="1:37" ht="18" customHeight="1">
      <c r="A31" s="982" t="s">
        <v>398</v>
      </c>
      <c r="B31" s="302" t="s">
        <v>719</v>
      </c>
      <c r="C31" s="2316">
        <f ca="1">ROUND(IF(AND(项目基本情况!B11="自然人",项目基本情况!B10="北京市"),C6*F31/(1+'数据-取费表'!C42),C32+C33+C34),2)</f>
        <v>312.82</v>
      </c>
      <c r="D31" s="1345" t="s">
        <v>720</v>
      </c>
      <c r="E31" s="1344" t="s">
        <v>770</v>
      </c>
      <c r="F31" s="2315" t="str">
        <f>IF(项目基本情况!B11="企业","——",IF(M47="住宅",IF(F6*F7*F8/12/(1+'数据-取费表'!F30)&gt;100000,4%,2.5%),IF(F6*F7*F8/12/(1+'数据-取费表'!F30)&gt;100000,12%,7%)))</f>
        <v>——</v>
      </c>
      <c r="G31" s="1384"/>
      <c r="H31" s="2806" t="s">
        <v>2308</v>
      </c>
      <c r="I31" s="1398"/>
      <c r="J31" s="1399"/>
      <c r="K31" s="2473"/>
      <c r="L31" s="2696"/>
      <c r="M31" s="2697"/>
    </row>
    <row r="32" spans="1:37" ht="18" customHeight="1">
      <c r="A32" s="982" t="s">
        <v>397</v>
      </c>
      <c r="B32" s="302" t="s">
        <v>723</v>
      </c>
      <c r="C32" s="21">
        <f ca="1">IF(项目基本情况!B11="自然人","——",ROUND(C6*F32/(1+'数据-取费表'!C42),2))</f>
        <v>97.48</v>
      </c>
      <c r="D32" s="1344" t="s">
        <v>724</v>
      </c>
      <c r="E32" s="302" t="s">
        <v>712</v>
      </c>
      <c r="F32" s="331">
        <f>'数据-取费表'!B41</f>
        <v>5.5000000000000007E-2</v>
      </c>
      <c r="G32" s="1384"/>
      <c r="H32" s="2695"/>
      <c r="I32" s="1398"/>
      <c r="J32" s="1399"/>
      <c r="K32" s="2473"/>
      <c r="L32" s="2696"/>
      <c r="M32" s="2697"/>
    </row>
    <row r="33" spans="1:18" ht="18" customHeight="1">
      <c r="A33" s="982" t="s">
        <v>399</v>
      </c>
      <c r="B33" s="302" t="s">
        <v>727</v>
      </c>
      <c r="C33" s="21">
        <f ca="1">IF(项目基本情况!B11="自然人","——",IF(D33="按租金收入计税",ROUND(C6*F33/(1+'数据-取费表'!C42),2),IF(D33="按房产原值计税",ROUND(C29*F33*0.7,2),INDIRECT("'数据-取费表'!Aj"&amp;$G$1))))</f>
        <v>212.69</v>
      </c>
      <c r="D33" s="1370" t="s">
        <v>3339</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IF(项目基本情况!B11="自然人","——",ROUND(F34*F35/10000,2))</f>
        <v>2.65</v>
      </c>
      <c r="D34" s="324" t="s">
        <v>731</v>
      </c>
      <c r="E34" s="302" t="s">
        <v>732</v>
      </c>
      <c r="F34" s="325">
        <f>'数据-取费表'!B52</f>
        <v>1.5</v>
      </c>
      <c r="G34" s="1384"/>
      <c r="H34" s="2695"/>
      <c r="I34" s="1398"/>
      <c r="J34" s="1399"/>
      <c r="K34" s="2700"/>
      <c r="L34" s="2701"/>
      <c r="M34" s="2701"/>
    </row>
    <row r="35" spans="1:18" ht="18" customHeight="1">
      <c r="A35" s="1103"/>
      <c r="B35" s="1101"/>
      <c r="C35" s="26"/>
      <c r="D35" s="327"/>
      <c r="E35" s="302" t="s">
        <v>736</v>
      </c>
      <c r="F35" s="303">
        <f ca="1">INDIRECT("'数据-取费表'!r"&amp;$G$1)</f>
        <v>17699.22</v>
      </c>
      <c r="G35" s="1384"/>
      <c r="H35" s="2695"/>
      <c r="I35" s="1398"/>
      <c r="J35" s="1399"/>
      <c r="K35" s="2699"/>
      <c r="L35" s="2698"/>
      <c r="M35" s="2698"/>
    </row>
    <row r="36" spans="1:18" ht="18" customHeight="1">
      <c r="A36" s="1102" t="s">
        <v>402</v>
      </c>
      <c r="B36" s="302" t="s">
        <v>738</v>
      </c>
      <c r="C36" s="21">
        <f ca="1">ROUND(C29*F36,2)</f>
        <v>76.069999999999993</v>
      </c>
      <c r="D36" s="1344" t="s">
        <v>771</v>
      </c>
      <c r="E36" s="302" t="s">
        <v>712</v>
      </c>
      <c r="F36" s="328">
        <f ca="1">INDIRECT("'数据-取费表'!Ak"&amp;$G$1)</f>
        <v>5.0000000000000001E-3</v>
      </c>
      <c r="G36" s="1384"/>
      <c r="H36" s="2698"/>
      <c r="I36" s="1398"/>
      <c r="J36" s="1399"/>
      <c r="K36" s="2542"/>
      <c r="L36" s="2698"/>
      <c r="M36" s="2698"/>
    </row>
    <row r="37" spans="1:18" ht="18" customHeight="1">
      <c r="A37" s="982" t="s">
        <v>437</v>
      </c>
      <c r="B37" s="302" t="s">
        <v>742</v>
      </c>
      <c r="C37" s="21">
        <f ca="1">ROUND(C13*F37,2)</f>
        <v>15.21</v>
      </c>
      <c r="D37" s="1344" t="s">
        <v>743</v>
      </c>
      <c r="E37" s="302" t="s">
        <v>744</v>
      </c>
      <c r="F37" s="330">
        <f ca="1">INDIRECT("'数据-取费表'!Al"&amp;$G$1)</f>
        <v>1E-3</v>
      </c>
      <c r="G37" s="1384"/>
      <c r="H37" s="2698"/>
      <c r="I37" s="1398"/>
      <c r="J37" s="1399"/>
      <c r="K37" s="2542"/>
      <c r="L37" s="2698"/>
      <c r="M37" s="2698"/>
    </row>
    <row r="38" spans="1:18" ht="18" customHeight="1" thickBot="1">
      <c r="A38" s="1089" t="s">
        <v>684</v>
      </c>
      <c r="B38" s="1090" t="s">
        <v>728</v>
      </c>
      <c r="C38" s="1091">
        <f ca="1">ROUND(C5*F38,2)</f>
        <v>18.63</v>
      </c>
      <c r="D38" s="1092" t="s">
        <v>748</v>
      </c>
      <c r="E38" s="1090" t="s">
        <v>744</v>
      </c>
      <c r="F38" s="1086">
        <f ca="1">INDIRECT("'数据-取费表'!Am"&amp;$G$1)</f>
        <v>0.01</v>
      </c>
      <c r="G38" s="1384"/>
      <c r="H38" s="2698"/>
      <c r="I38" s="1398"/>
      <c r="J38" s="1399"/>
      <c r="K38" s="2702"/>
      <c r="L38" s="2698"/>
      <c r="M38" s="2698"/>
    </row>
    <row r="39" spans="1:18" ht="24.6" customHeight="1" thickTop="1">
      <c r="A39" s="1079" t="s">
        <v>394</v>
      </c>
      <c r="B39" s="1094" t="s">
        <v>772</v>
      </c>
      <c r="C39" s="310">
        <f ca="1">C5-C30</f>
        <v>1440</v>
      </c>
      <c r="D39" s="1095" t="s">
        <v>773</v>
      </c>
      <c r="E39" s="1096"/>
      <c r="F39" s="1097"/>
      <c r="G39" s="1384"/>
      <c r="H39" s="2698">
        <f ca="1">C39/C5</f>
        <v>0.77294685990338163</v>
      </c>
      <c r="I39" s="1398"/>
      <c r="J39" s="1399"/>
      <c r="K39" s="2702"/>
      <c r="L39" s="2698"/>
      <c r="M39" s="2698"/>
    </row>
    <row r="40" spans="1:18" ht="18" customHeight="1">
      <c r="A40" s="299" t="s">
        <v>395</v>
      </c>
      <c r="B40" s="300" t="s">
        <v>774</v>
      </c>
      <c r="C40" s="301">
        <f ca="1">ROUND(C39*(1-((1+F42)/(1+F40))^F41)/(F40-F42),0)</f>
        <v>18438</v>
      </c>
      <c r="D40" s="324" t="s">
        <v>758</v>
      </c>
      <c r="E40" s="302" t="s">
        <v>759</v>
      </c>
      <c r="F40" s="312">
        <f ca="1">INDIRECT("'数据-取费表'!I"&amp;$G$1)</f>
        <v>5.5E-2</v>
      </c>
      <c r="G40" s="1384"/>
      <c r="H40" s="1461"/>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17.62</v>
      </c>
      <c r="G41" s="1384"/>
      <c r="H41" s="1191"/>
      <c r="I41" s="1398"/>
      <c r="J41" s="1399"/>
      <c r="K41" s="2542"/>
      <c r="L41" s="1191"/>
      <c r="M41" s="1191"/>
    </row>
    <row r="42" spans="1:18" ht="18" customHeight="1">
      <c r="A42" s="308"/>
      <c r="B42" s="309"/>
      <c r="C42" s="310"/>
      <c r="D42" s="327"/>
      <c r="E42" s="302" t="s">
        <v>766</v>
      </c>
      <c r="F42" s="312">
        <f ca="1">INDIRECT("'数据-取费表'!v"&amp;$G$1)</f>
        <v>0.02</v>
      </c>
      <c r="G42" s="1384"/>
      <c r="H42" s="1191"/>
      <c r="I42" s="1398"/>
      <c r="J42" s="1399"/>
      <c r="K42" s="2542"/>
      <c r="L42" s="1191"/>
      <c r="M42" s="1191"/>
    </row>
    <row r="43" spans="1:18" ht="18" customHeight="1" thickBot="1">
      <c r="A43" s="334" t="s">
        <v>396</v>
      </c>
      <c r="B43" s="335" t="s">
        <v>776</v>
      </c>
      <c r="C43" s="336">
        <f ca="1">ROUND(C40*10000/F43,0)</f>
        <v>8136</v>
      </c>
      <c r="D43" s="337" t="s">
        <v>777</v>
      </c>
      <c r="E43" s="338" t="s">
        <v>778</v>
      </c>
      <c r="F43" s="339">
        <f ca="1">INDIRECT("'数据-取费表'!k"&amp;$G$1)</f>
        <v>22663.3</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3" t="s">
        <v>808</v>
      </c>
      <c r="P45" s="1461"/>
      <c r="Q45" s="1461"/>
      <c r="R45" s="1461"/>
    </row>
    <row r="46" spans="1:18" s="1384" customFormat="1" ht="13.5" thickBot="1">
      <c r="A46" s="1404" t="s">
        <v>809</v>
      </c>
      <c r="C46" s="1405">
        <f ca="1">C68-C40</f>
        <v>-19482</v>
      </c>
      <c r="D46" s="1406" t="str">
        <f>C2</f>
        <v>万元</v>
      </c>
      <c r="E46" s="1400"/>
      <c r="F46" s="1400"/>
      <c r="I46" s="1407" t="s">
        <v>810</v>
      </c>
      <c r="J46" s="1408"/>
      <c r="K46" s="1409"/>
      <c r="L46" s="1410">
        <f ca="1">IF(M47="住宅",0,IF(L48&gt;J51,L60,J60))</f>
        <v>3030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3415</v>
      </c>
      <c r="K47" s="1416" t="s">
        <v>816</v>
      </c>
      <c r="L47" s="1417">
        <f ca="1">INDIRECT("'数据-取费表'!d"&amp;$G$1)</f>
        <v>20</v>
      </c>
      <c r="M47" s="1380" t="str">
        <f>IF(ISNUMBER(FIND("住宅",C1)),"住宅","非住宅")</f>
        <v>非住宅</v>
      </c>
      <c r="O47" s="1418" t="s">
        <v>403</v>
      </c>
      <c r="P47" s="1419" t="s">
        <v>817</v>
      </c>
      <c r="Q47" s="1420">
        <f ca="1">C40+J29</f>
        <v>18438</v>
      </c>
      <c r="R47" s="1420" t="s">
        <v>818</v>
      </c>
    </row>
    <row r="48" spans="1:18" s="1384" customFormat="1" ht="28.5" thickBot="1">
      <c r="A48" s="1110" t="s">
        <v>438</v>
      </c>
      <c r="B48" s="300" t="s">
        <v>692</v>
      </c>
      <c r="C48" s="1359">
        <f ca="1">C49+C53+C55</f>
        <v>0</v>
      </c>
      <c r="D48" s="1112"/>
      <c r="E48" s="1113"/>
      <c r="F48" s="962"/>
      <c r="G48" s="722"/>
      <c r="H48" s="723"/>
      <c r="I48" s="1421" t="s">
        <v>819</v>
      </c>
      <c r="J48" s="1422" t="s">
        <v>3416</v>
      </c>
      <c r="K48" s="1423" t="s">
        <v>820</v>
      </c>
      <c r="L48" s="1424">
        <f ca="1">INDIRECT("'数据-取费表'!f"&amp;$G$1)</f>
        <v>18.52</v>
      </c>
      <c r="O48" s="1418" t="s">
        <v>404</v>
      </c>
      <c r="P48" s="1419" t="s">
        <v>821</v>
      </c>
      <c r="Q48" s="1420">
        <f ca="1">J60</f>
        <v>3030</v>
      </c>
      <c r="R48" s="1420" t="s">
        <v>822</v>
      </c>
    </row>
    <row r="49" spans="1:18" s="1384" customFormat="1" ht="13.5" thickBot="1">
      <c r="A49" s="975" t="s">
        <v>439</v>
      </c>
      <c r="B49" s="1371" t="s">
        <v>779</v>
      </c>
      <c r="C49" s="1114">
        <f ca="1">ROUND(F49*F51*F50*(1-F52)/10000,0)</f>
        <v>0</v>
      </c>
      <c r="D49" s="1055" t="s">
        <v>2108</v>
      </c>
      <c r="E49" s="1372" t="s">
        <v>780</v>
      </c>
      <c r="F49" s="1060"/>
      <c r="G49" s="1425"/>
      <c r="H49" s="723"/>
      <c r="I49" s="1421" t="s">
        <v>823</v>
      </c>
      <c r="J49" s="1426">
        <v>2023</v>
      </c>
      <c r="K49" s="1423" t="s">
        <v>824</v>
      </c>
      <c r="L49" s="1427"/>
      <c r="O49" s="1428" t="s">
        <v>405</v>
      </c>
      <c r="P49" s="1419" t="s">
        <v>825</v>
      </c>
      <c r="Q49" s="1420">
        <f ca="1">C29</f>
        <v>15213</v>
      </c>
      <c r="R49" s="1420" t="s">
        <v>818</v>
      </c>
    </row>
    <row r="50" spans="1:18" s="1384" customFormat="1" ht="13.5" thickBot="1">
      <c r="A50" s="976"/>
      <c r="B50" s="979"/>
      <c r="C50" s="1118"/>
      <c r="D50" s="953"/>
      <c r="E50" s="1056" t="s">
        <v>697</v>
      </c>
      <c r="F50" s="1057">
        <f ca="1">F7</f>
        <v>22663.3</v>
      </c>
      <c r="H50" s="723"/>
      <c r="I50" s="1421" t="s">
        <v>826</v>
      </c>
      <c r="J50" s="1429">
        <f>SUMPRODUCT((I63:I65=J47)*(J62:L62=J48)*(J63:L65))</f>
        <v>80</v>
      </c>
      <c r="K50" s="1423" t="s">
        <v>827</v>
      </c>
      <c r="L50" s="1427"/>
      <c r="M50" s="1430"/>
      <c r="O50" s="1428" t="s">
        <v>406</v>
      </c>
      <c r="P50" s="1419" t="s">
        <v>828</v>
      </c>
      <c r="Q50" s="1431">
        <f ca="1">J58</f>
        <v>0.77300000000000002</v>
      </c>
      <c r="R50" s="1420"/>
    </row>
    <row r="51" spans="1:18" s="1384" customFormat="1" ht="13.5" thickBot="1">
      <c r="A51" s="977"/>
      <c r="B51" s="979"/>
      <c r="C51" s="980"/>
      <c r="D51" s="953"/>
      <c r="E51" s="981" t="s">
        <v>698</v>
      </c>
      <c r="F51" s="303">
        <f ca="1">F8</f>
        <v>365</v>
      </c>
      <c r="I51" s="1432" t="s">
        <v>829</v>
      </c>
      <c r="J51" s="1433">
        <f>IF(J49="",J50,J49+J50-YEAR('数据-取费表'!B2))</f>
        <v>80</v>
      </c>
      <c r="K51" s="1434" t="s">
        <v>830</v>
      </c>
      <c r="L51" s="1435">
        <f ca="1">ROUND(-PV(INDIRECT("'数据-取费表'!h"&amp;$G$1),J51,(C39-C13*C76),0),0)</f>
        <v>5860</v>
      </c>
      <c r="M51" s="1436"/>
      <c r="O51" s="1428" t="s">
        <v>407</v>
      </c>
      <c r="P51" s="1419" t="s">
        <v>831</v>
      </c>
      <c r="Q51" s="1431">
        <f>J52</f>
        <v>0.08</v>
      </c>
      <c r="R51" s="1420"/>
    </row>
    <row r="52" spans="1:18" s="1384" customFormat="1" ht="13.5" thickBot="1">
      <c r="A52" s="977"/>
      <c r="B52" s="979"/>
      <c r="C52" s="980"/>
      <c r="D52" s="953"/>
      <c r="E52" s="981" t="s">
        <v>699</v>
      </c>
      <c r="F52" s="1054"/>
      <c r="I52" s="1437" t="s">
        <v>832</v>
      </c>
      <c r="J52" s="1438">
        <v>0.08</v>
      </c>
      <c r="K52" s="1437" t="s">
        <v>833</v>
      </c>
      <c r="L52" s="1438"/>
      <c r="O52" s="1428" t="s">
        <v>408</v>
      </c>
      <c r="P52" s="1419" t="s">
        <v>834</v>
      </c>
      <c r="Q52" s="1420">
        <f ca="1">J53</f>
        <v>17.62</v>
      </c>
      <c r="R52" s="1420" t="s">
        <v>835</v>
      </c>
    </row>
    <row r="53" spans="1:18" s="1384" customFormat="1" ht="24.75" thickBot="1">
      <c r="A53" s="1152" t="s">
        <v>440</v>
      </c>
      <c r="B53" s="1373" t="s">
        <v>700</v>
      </c>
      <c r="C53" s="316">
        <f ca="1">ROUND(IF(F53="押一",C49/12*F11,IF(F53="押二",C49/12*2*F11,IF(F53="押三",C49/12*3*F11,C54*F11))),0)</f>
        <v>0</v>
      </c>
      <c r="D53" s="1366" t="s">
        <v>2114</v>
      </c>
      <c r="E53" s="313" t="s">
        <v>701</v>
      </c>
      <c r="F53" s="1116"/>
      <c r="I53" s="1439" t="s">
        <v>836</v>
      </c>
      <c r="J53" s="2168">
        <f ca="1">IF(M47="住宅",IF(D1="——",MAX(J51,L48),MAX(J51,L48-'数据-取费表'!B24)),IF(D1="——",MIN(J51,L48),MIN(J51,L48-'数据-取费表'!B24)))</f>
        <v>17.62</v>
      </c>
      <c r="K53" s="3647" t="s">
        <v>837</v>
      </c>
      <c r="L53" s="3648"/>
      <c r="O53" s="1418" t="s">
        <v>409</v>
      </c>
      <c r="P53" s="1419" t="s">
        <v>838</v>
      </c>
      <c r="Q53" s="1420">
        <f ca="1">Q47+Q48</f>
        <v>21468</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0.77300000000000002</v>
      </c>
      <c r="K55" s="1445" t="s">
        <v>841</v>
      </c>
      <c r="L55" s="1446"/>
      <c r="O55" s="1411" t="s">
        <v>811</v>
      </c>
      <c r="P55" s="1412" t="s">
        <v>812</v>
      </c>
      <c r="Q55" s="1413" t="s">
        <v>813</v>
      </c>
      <c r="R55" s="1413" t="s">
        <v>814</v>
      </c>
    </row>
    <row r="56" spans="1:18" s="1384" customFormat="1" ht="25.5" thickTop="1" thickBot="1">
      <c r="A56" s="957">
        <v>2</v>
      </c>
      <c r="B56" s="958" t="s">
        <v>704</v>
      </c>
      <c r="C56" s="232">
        <f ca="1">C13</f>
        <v>15213</v>
      </c>
      <c r="D56" s="1447"/>
      <c r="E56" s="1448"/>
      <c r="F56" s="1440"/>
      <c r="I56" s="1449" t="s">
        <v>842</v>
      </c>
      <c r="J56" s="1450" t="s">
        <v>3417</v>
      </c>
      <c r="K56" s="1421" t="s">
        <v>843</v>
      </c>
      <c r="L56" s="1424" t="str">
        <f ca="1">IF(L48&lt;J51,"——",L48-J53)</f>
        <v>——</v>
      </c>
      <c r="O56" s="1418" t="s">
        <v>403</v>
      </c>
      <c r="P56" s="1419" t="s">
        <v>817</v>
      </c>
      <c r="Q56" s="1420">
        <f ca="1">C40+J29</f>
        <v>18438</v>
      </c>
      <c r="R56" s="1420" t="s">
        <v>818</v>
      </c>
    </row>
    <row r="57" spans="1:18" s="1384" customFormat="1" ht="24.75" thickBot="1">
      <c r="A57" s="1451"/>
      <c r="B57" s="950" t="s">
        <v>767</v>
      </c>
      <c r="C57" s="238">
        <f ca="1">C29</f>
        <v>15213</v>
      </c>
      <c r="D57" s="1452"/>
      <c r="E57" s="1453"/>
      <c r="F57" s="1454"/>
      <c r="I57" s="1455" t="s">
        <v>844</v>
      </c>
      <c r="J57" s="1456">
        <f ca="1">IF(OR(M47="住宅",J51&lt;L48,J56="是"),"——",J51-L48)</f>
        <v>61.480000000000004</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94</v>
      </c>
      <c r="D58" s="960" t="s">
        <v>715</v>
      </c>
      <c r="E58" s="961"/>
      <c r="F58" s="962"/>
      <c r="I58" s="1455" t="s">
        <v>848</v>
      </c>
      <c r="J58" s="1457">
        <f ca="1">IF(J55&lt;0.4,0.4,J55)</f>
        <v>0.77300000000000002</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3</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11760</v>
      </c>
      <c r="K59" s="1421"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f ca="1">IF(OR(M47="住宅",J51&lt;L48,J56="是"),"0",ROUND(J59/(1+J52)^J53,0))</f>
        <v>3030</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3339</v>
      </c>
      <c r="E61" s="950" t="s">
        <v>783</v>
      </c>
      <c r="F61" s="322">
        <f t="shared" si="0"/>
        <v>0.12</v>
      </c>
      <c r="I61" s="1461"/>
      <c r="J61" s="1461"/>
      <c r="K61" s="1461"/>
      <c r="L61" s="1461"/>
      <c r="O61" s="1428" t="s">
        <v>408</v>
      </c>
      <c r="P61" s="1419" t="str">
        <f>K59</f>
        <v>续建工期及建筑物耐用年限下的土地年期修正系数Kn</v>
      </c>
      <c r="Q61" s="1420" t="e">
        <f ca="1">L59</f>
        <v>#DIV/0!</v>
      </c>
      <c r="R61" s="1420" t="s">
        <v>857</v>
      </c>
    </row>
    <row r="62" spans="1:18" s="1384" customFormat="1" ht="13.5" thickBot="1">
      <c r="A62" s="982" t="s">
        <v>784</v>
      </c>
      <c r="B62" s="949" t="s">
        <v>785</v>
      </c>
      <c r="C62" s="22">
        <f ca="1">IF(项目基本情况!B11="自然人","——",ROUND(F62*F63/10000,2))</f>
        <v>2.65</v>
      </c>
      <c r="D62" s="965" t="s">
        <v>786</v>
      </c>
      <c r="E62" s="950" t="s">
        <v>787</v>
      </c>
      <c r="F62" s="325">
        <f t="shared" si="0"/>
        <v>1.5</v>
      </c>
      <c r="I62" s="1462" t="s">
        <v>858</v>
      </c>
      <c r="J62" s="1463" t="s">
        <v>859</v>
      </c>
      <c r="K62" s="1463" t="s">
        <v>860</v>
      </c>
      <c r="L62" s="1463" t="s">
        <v>861</v>
      </c>
      <c r="M62" s="1464" t="s">
        <v>862</v>
      </c>
      <c r="O62" s="1418" t="s">
        <v>409</v>
      </c>
      <c r="P62" s="1419" t="s">
        <v>863</v>
      </c>
      <c r="Q62" s="1420">
        <f ca="1">Q56+Q57</f>
        <v>18438</v>
      </c>
      <c r="R62" s="1420" t="s">
        <v>410</v>
      </c>
    </row>
    <row r="63" spans="1:18" s="1384" customFormat="1" ht="13.5" thickBot="1">
      <c r="A63" s="326"/>
      <c r="B63" s="956"/>
      <c r="C63" s="26"/>
      <c r="D63" s="966"/>
      <c r="E63" s="950" t="s">
        <v>788</v>
      </c>
      <c r="F63" s="303">
        <f t="shared" ca="1" si="0"/>
        <v>17699.22</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76.069999999999993</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15.21</v>
      </c>
      <c r="D65" s="964" t="s">
        <v>743</v>
      </c>
      <c r="E65" s="950" t="s">
        <v>744</v>
      </c>
      <c r="F65" s="330">
        <f t="shared" ca="1" si="0"/>
        <v>1E-3</v>
      </c>
      <c r="I65" s="1462" t="s">
        <v>867</v>
      </c>
      <c r="J65" s="1463">
        <v>40</v>
      </c>
      <c r="K65" s="1463">
        <v>30</v>
      </c>
      <c r="L65" s="1463">
        <v>50</v>
      </c>
      <c r="M65" s="1465">
        <v>0.02</v>
      </c>
      <c r="O65" s="1418" t="s">
        <v>403</v>
      </c>
      <c r="P65" s="1419" t="s">
        <v>868</v>
      </c>
      <c r="Q65" s="1420">
        <f ca="1">C40+J29</f>
        <v>18438</v>
      </c>
      <c r="R65" s="1420" t="s">
        <v>818</v>
      </c>
    </row>
    <row r="66" spans="1:18" s="1384" customFormat="1" ht="16.5" thickBot="1">
      <c r="A66" s="982" t="s">
        <v>793</v>
      </c>
      <c r="B66" s="950" t="s">
        <v>728</v>
      </c>
      <c r="C66" s="21">
        <f ca="1">ROUND(C48*F66,2)</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-94</v>
      </c>
      <c r="D67" s="963" t="s">
        <v>753</v>
      </c>
      <c r="E67" s="968"/>
      <c r="F67" s="969"/>
      <c r="O67" s="1428" t="s">
        <v>405</v>
      </c>
      <c r="P67" s="1419" t="s">
        <v>850</v>
      </c>
      <c r="Q67" s="1466">
        <f ca="1">L51</f>
        <v>5860</v>
      </c>
      <c r="R67" s="1420" t="s">
        <v>870</v>
      </c>
    </row>
    <row r="68" spans="1:18" s="1384" customFormat="1" ht="16.5" thickBot="1">
      <c r="A68" s="947" t="s">
        <v>395</v>
      </c>
      <c r="B68" s="948" t="s">
        <v>774</v>
      </c>
      <c r="C68" s="301">
        <f ca="1">ROUND(C67*(1-((1+F70)/(1+F68))^F69)/(F68-F70),0)</f>
        <v>-1044</v>
      </c>
      <c r="D68" s="965" t="s">
        <v>758</v>
      </c>
      <c r="E68" s="950" t="s">
        <v>759</v>
      </c>
      <c r="F68" s="312">
        <f ca="1">F40</f>
        <v>5.5E-2</v>
      </c>
      <c r="O68" s="1428" t="s">
        <v>406</v>
      </c>
      <c r="P68" s="1467" t="s">
        <v>871</v>
      </c>
      <c r="Q68" s="1420">
        <f ca="1">ROUND(Q69-Q70*Q71,0)</f>
        <v>299</v>
      </c>
      <c r="R68" s="1420" t="s">
        <v>414</v>
      </c>
    </row>
    <row r="69" spans="1:18" s="1384" customFormat="1" ht="13.5" thickBot="1">
      <c r="A69" s="951"/>
      <c r="B69" s="952"/>
      <c r="C69" s="306"/>
      <c r="D69" s="970" t="s">
        <v>762</v>
      </c>
      <c r="E69" s="950" t="s">
        <v>763</v>
      </c>
      <c r="F69" s="333">
        <f ca="1">F41</f>
        <v>17.62</v>
      </c>
      <c r="O69" s="1428" t="s">
        <v>411</v>
      </c>
      <c r="P69" s="1467" t="s">
        <v>872</v>
      </c>
      <c r="Q69" s="1420">
        <f ca="1">C39</f>
        <v>1440</v>
      </c>
      <c r="R69" s="1420" t="s">
        <v>818</v>
      </c>
    </row>
    <row r="70" spans="1:18" s="1384" customFormat="1" ht="13.5" thickBot="1">
      <c r="A70" s="954"/>
      <c r="B70" s="955"/>
      <c r="C70" s="310"/>
      <c r="D70" s="966"/>
      <c r="E70" s="950" t="s">
        <v>766</v>
      </c>
      <c r="F70" s="1054"/>
      <c r="O70" s="1428" t="s">
        <v>412</v>
      </c>
      <c r="P70" s="1467" t="s">
        <v>873</v>
      </c>
      <c r="Q70" s="1420">
        <f ca="1">C13</f>
        <v>15213</v>
      </c>
      <c r="R70" s="1420" t="s">
        <v>818</v>
      </c>
    </row>
    <row r="71" spans="1:18" s="1384" customFormat="1" ht="13.5" thickBot="1">
      <c r="A71" s="971" t="s">
        <v>396</v>
      </c>
      <c r="B71" s="972" t="s">
        <v>776</v>
      </c>
      <c r="C71" s="336">
        <f ca="1">ROUND(C68*10000/F71,0)</f>
        <v>-461</v>
      </c>
      <c r="D71" s="973" t="s">
        <v>777</v>
      </c>
      <c r="E71" s="974" t="s">
        <v>778</v>
      </c>
      <c r="F71" s="339">
        <f ca="1">F43</f>
        <v>22663.3</v>
      </c>
      <c r="O71" s="1428" t="s">
        <v>413</v>
      </c>
      <c r="P71" s="1467" t="s">
        <v>874</v>
      </c>
      <c r="Q71" s="1431">
        <f ca="1">C76</f>
        <v>7.4999999999999997E-2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续建工期及建筑物耐用年限下的土地年期修正系数Kn</v>
      </c>
      <c r="Q74" s="1420" t="e">
        <f ca="1">L59</f>
        <v>#DIV/0!</v>
      </c>
      <c r="R74" s="1420" t="s">
        <v>857</v>
      </c>
    </row>
    <row r="75" spans="1:18" ht="13.5" thickBot="1">
      <c r="A75" s="1384"/>
      <c r="B75" s="340" t="s">
        <v>795</v>
      </c>
      <c r="C75" s="341">
        <f ca="1">ROUND(C13*C76,0)</f>
        <v>1141</v>
      </c>
      <c r="D75" s="1384"/>
      <c r="E75" s="1384"/>
      <c r="F75" s="1384"/>
      <c r="K75" s="1402"/>
      <c r="L75" s="1384"/>
      <c r="O75" s="1418" t="s">
        <v>409</v>
      </c>
      <c r="P75" s="1419" t="s">
        <v>838</v>
      </c>
      <c r="Q75" s="1420">
        <f ca="1">Q65+Q66</f>
        <v>18438</v>
      </c>
      <c r="R75" s="1420" t="s">
        <v>410</v>
      </c>
    </row>
    <row r="76" spans="1:18">
      <c r="B76" s="342" t="s">
        <v>796</v>
      </c>
      <c r="C76" s="343">
        <f ca="1">INDIRECT("'数据-取费表'!j"&amp;$G$1)</f>
        <v>7.4999999999999997E-2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0.20799999999999996</v>
      </c>
    </row>
    <row r="80" spans="1:18">
      <c r="B80" s="340" t="s">
        <v>800</v>
      </c>
      <c r="C80" s="274">
        <f ca="1">ROUND(C75/C39,3)</f>
        <v>0.79200000000000004</v>
      </c>
    </row>
    <row r="81" spans="2:3">
      <c r="B81" s="270" t="s">
        <v>801</v>
      </c>
      <c r="C81" s="238"/>
    </row>
    <row r="82" spans="2:3">
      <c r="B82" s="273" t="s">
        <v>802</v>
      </c>
      <c r="C82" s="275">
        <f ca="1">1-C83</f>
        <v>0.17500000000000004</v>
      </c>
    </row>
    <row r="83" spans="2:3">
      <c r="B83" s="273" t="s">
        <v>803</v>
      </c>
      <c r="C83" s="274">
        <f ca="1">ROUND(C13/C40,3)</f>
        <v>0.82499999999999996</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8</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3" t="e">
        <f ca="1">ROUND(D2/10000,4)</f>
        <v>#DIV/0!</v>
      </c>
      <c r="C2" s="1387" t="s">
        <v>879</v>
      </c>
      <c r="D2" s="1471" t="e">
        <f ca="1">C40+J29+L46</f>
        <v>#DIV/0!</v>
      </c>
      <c r="E2" s="1388" t="s">
        <v>880</v>
      </c>
      <c r="F2" s="1389"/>
      <c r="G2" s="2704"/>
      <c r="H2" s="2693"/>
      <c r="I2" s="2693"/>
      <c r="J2" s="2693"/>
      <c r="K2" s="2694"/>
      <c r="L2" s="2693"/>
      <c r="M2" s="2693"/>
    </row>
    <row r="3" spans="1:37" ht="18" customHeight="1" thickBot="1">
      <c r="A3" s="1390" t="s">
        <v>881</v>
      </c>
      <c r="B3" s="1391">
        <f ca="1">IF(ISERROR(D2/F43),0,ROUND(D2/F43,0))</f>
        <v>0</v>
      </c>
      <c r="C3" s="1387" t="s">
        <v>882</v>
      </c>
      <c r="D3" s="1387"/>
      <c r="E3" s="1388"/>
      <c r="F3" s="1389"/>
      <c r="G3" s="2704"/>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49" t="s">
        <v>694</v>
      </c>
      <c r="C6" s="1074">
        <f ca="1">ROUND(F6*F8*F7*(1-F9),0)</f>
        <v>0</v>
      </c>
      <c r="D6" s="155" t="s">
        <v>2104</v>
      </c>
      <c r="E6" s="302" t="s">
        <v>696</v>
      </c>
      <c r="F6" s="303">
        <f ca="1">INDIRECT("'数据-取费表'!u"&amp;$G$1)</f>
        <v>0</v>
      </c>
      <c r="G6" s="1384"/>
      <c r="H6" s="1069" t="s">
        <v>398</v>
      </c>
      <c r="I6" s="3649" t="s">
        <v>694</v>
      </c>
      <c r="J6" s="301">
        <f ca="1">ROUND(M6*M8*M7*(1-M9),0)</f>
        <v>0</v>
      </c>
      <c r="K6" s="1376" t="s">
        <v>2105</v>
      </c>
      <c r="L6" s="302" t="s">
        <v>696</v>
      </c>
      <c r="M6" s="303">
        <f ca="1">INDIRECT("'数据-取费表'!z"&amp;$G$1)</f>
        <v>0</v>
      </c>
    </row>
    <row r="7" spans="1:37" ht="18" customHeight="1">
      <c r="A7" s="1073"/>
      <c r="B7" s="3650"/>
      <c r="C7" s="1075"/>
      <c r="D7" s="307"/>
      <c r="E7" s="1076" t="s">
        <v>697</v>
      </c>
      <c r="F7" s="303">
        <f ca="1">IF(INDIRECT("'数据-取费表'!ah"&amp;$G$1)="",INDIRECT("'数据-取费表'!k"&amp;$G$1),INDIRECT("'数据-取费表'!ah"&amp;$G$1))</f>
        <v>0</v>
      </c>
      <c r="G7" s="1384"/>
      <c r="H7" s="304"/>
      <c r="I7" s="3650"/>
      <c r="J7" s="306"/>
      <c r="K7" s="307"/>
      <c r="L7" s="302" t="s">
        <v>697</v>
      </c>
      <c r="M7" s="303">
        <f ca="1">F7</f>
        <v>0</v>
      </c>
    </row>
    <row r="8" spans="1:37" ht="18" customHeight="1">
      <c r="A8" s="304"/>
      <c r="B8" s="3650"/>
      <c r="C8" s="306"/>
      <c r="D8" s="307"/>
      <c r="E8" s="302" t="s">
        <v>698</v>
      </c>
      <c r="F8" s="303">
        <f ca="1">INDIRECT("'数据-取费表'!ai"&amp;$G$1)</f>
        <v>0</v>
      </c>
      <c r="G8" s="1384"/>
      <c r="H8" s="304"/>
      <c r="I8" s="3650"/>
      <c r="J8" s="306"/>
      <c r="K8" s="307"/>
      <c r="L8" s="302" t="s">
        <v>698</v>
      </c>
      <c r="M8" s="303">
        <f ca="1">INDIRECT("'数据-取费表'!ai"&amp;$G$1)</f>
        <v>0</v>
      </c>
    </row>
    <row r="9" spans="1:37" ht="18" customHeight="1">
      <c r="A9" s="304"/>
      <c r="B9" s="3651"/>
      <c r="C9" s="306"/>
      <c r="D9" s="307"/>
      <c r="E9" s="302" t="s">
        <v>699</v>
      </c>
      <c r="F9" s="312">
        <f ca="1">INDIRECT("'数据-取费表'!w"&amp;$G$1)</f>
        <v>0</v>
      </c>
      <c r="G9" s="1384"/>
      <c r="H9" s="304"/>
      <c r="I9" s="365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2114</v>
      </c>
      <c r="E10" s="313" t="s">
        <v>701</v>
      </c>
      <c r="F10" s="1116"/>
      <c r="G10" s="1384"/>
      <c r="H10" s="1069" t="s">
        <v>402</v>
      </c>
      <c r="I10" s="1365" t="s">
        <v>700</v>
      </c>
      <c r="J10" s="301">
        <f ca="1">ROUND(IF(M10="押一",J6/12*M11,IF(M10="押二",J6/12*2*M11,IF(M10="押三",J6/12*3*M11,J11*M11))),0)</f>
        <v>0</v>
      </c>
      <c r="K10" s="1377" t="s">
        <v>2116</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3339</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5"/>
      <c r="I30" s="1398"/>
      <c r="J30" s="1399"/>
      <c r="K30" s="2473"/>
      <c r="L30" s="2696"/>
      <c r="M30" s="2697"/>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6" t="s">
        <v>2308</v>
      </c>
      <c r="I31" s="1398"/>
      <c r="J31" s="1399"/>
      <c r="K31" s="2473"/>
      <c r="L31" s="2696"/>
      <c r="M31" s="2697"/>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5"/>
      <c r="I32" s="1398"/>
      <c r="J32" s="1399"/>
      <c r="K32" s="2473"/>
      <c r="L32" s="2696"/>
      <c r="M32" s="2697"/>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3339</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IF(项目基本情况!B11="自然人","——",ROUND(F34*F35,0))</f>
        <v>0</v>
      </c>
      <c r="D34" s="324" t="s">
        <v>731</v>
      </c>
      <c r="E34" s="302" t="s">
        <v>732</v>
      </c>
      <c r="F34" s="325">
        <f>'数据-取费表'!B52</f>
        <v>1.5</v>
      </c>
      <c r="G34" s="1384"/>
      <c r="H34" s="2695"/>
      <c r="I34" s="1398"/>
      <c r="J34" s="1399"/>
      <c r="K34" s="2700"/>
      <c r="L34" s="2701"/>
      <c r="M34" s="2701"/>
    </row>
    <row r="35" spans="1:18" ht="18" customHeight="1">
      <c r="A35" s="1103"/>
      <c r="B35" s="1101"/>
      <c r="C35" s="26"/>
      <c r="D35" s="327"/>
      <c r="E35" s="302" t="s">
        <v>736</v>
      </c>
      <c r="F35" s="303">
        <f ca="1">INDIRECT("'数据-取费表'!r"&amp;$G$1)</f>
        <v>0</v>
      </c>
      <c r="G35" s="1384"/>
      <c r="H35" s="2695"/>
      <c r="I35" s="1398"/>
      <c r="J35" s="1399"/>
      <c r="K35" s="2699"/>
      <c r="L35" s="2698"/>
      <c r="M35" s="2698"/>
    </row>
    <row r="36" spans="1:18" ht="18" customHeight="1">
      <c r="A36" s="1102" t="s">
        <v>402</v>
      </c>
      <c r="B36" s="302" t="s">
        <v>738</v>
      </c>
      <c r="C36" s="21">
        <f ca="1">ROUND(C29*F36,0)</f>
        <v>0</v>
      </c>
      <c r="D36" s="1344" t="s">
        <v>771</v>
      </c>
      <c r="E36" s="302" t="s">
        <v>712</v>
      </c>
      <c r="F36" s="328">
        <f ca="1">INDIRECT("'数据-取费表'!Ak"&amp;$G$1)</f>
        <v>0</v>
      </c>
      <c r="G36" s="1384"/>
      <c r="H36" s="2698"/>
      <c r="I36" s="1398"/>
      <c r="J36" s="1399"/>
      <c r="K36" s="2542"/>
      <c r="L36" s="2698"/>
      <c r="M36" s="2698"/>
    </row>
    <row r="37" spans="1:18" ht="18" customHeight="1">
      <c r="A37" s="982" t="s">
        <v>437</v>
      </c>
      <c r="B37" s="302" t="s">
        <v>742</v>
      </c>
      <c r="C37" s="21">
        <f ca="1">ROUND(C13*F37,0)</f>
        <v>0</v>
      </c>
      <c r="D37" s="1344" t="s">
        <v>743</v>
      </c>
      <c r="E37" s="302" t="s">
        <v>744</v>
      </c>
      <c r="F37" s="330">
        <f ca="1">INDIRECT("'数据-取费表'!Al"&amp;$G$1)</f>
        <v>0</v>
      </c>
      <c r="G37" s="1384"/>
      <c r="H37" s="2698"/>
      <c r="I37" s="1398"/>
      <c r="J37" s="1399"/>
      <c r="K37" s="2542"/>
      <c r="L37" s="2698"/>
      <c r="M37" s="2698"/>
    </row>
    <row r="38" spans="1:18" ht="18" customHeight="1" thickBot="1">
      <c r="A38" s="1089" t="s">
        <v>684</v>
      </c>
      <c r="B38" s="1090" t="s">
        <v>728</v>
      </c>
      <c r="C38" s="1091">
        <f ca="1">ROUND(C5*F38,0)</f>
        <v>0</v>
      </c>
      <c r="D38" s="1092" t="s">
        <v>748</v>
      </c>
      <c r="E38" s="1090" t="s">
        <v>744</v>
      </c>
      <c r="F38" s="1086">
        <f ca="1">INDIRECT("'数据-取费表'!Am"&amp;$G$1)</f>
        <v>0</v>
      </c>
      <c r="G38" s="1384"/>
      <c r="H38" s="2698"/>
      <c r="I38" s="1398"/>
      <c r="J38" s="1399"/>
      <c r="K38" s="2702"/>
      <c r="L38" s="2698"/>
      <c r="M38" s="2698"/>
    </row>
    <row r="39" spans="1:18" ht="24.6" customHeight="1" thickTop="1">
      <c r="A39" s="1079" t="s">
        <v>394</v>
      </c>
      <c r="B39" s="1094" t="s">
        <v>772</v>
      </c>
      <c r="C39" s="310">
        <f ca="1">C5-C30</f>
        <v>0</v>
      </c>
      <c r="D39" s="1095" t="s">
        <v>773</v>
      </c>
      <c r="E39" s="1096"/>
      <c r="F39" s="1097"/>
      <c r="G39" s="1384"/>
      <c r="H39" s="2698"/>
      <c r="I39" s="1398"/>
      <c r="J39" s="1399"/>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2"/>
      <c r="L41" s="1191"/>
      <c r="M41" s="1191"/>
    </row>
    <row r="42" spans="1:18" ht="18" customHeight="1">
      <c r="A42" s="308"/>
      <c r="B42" s="309"/>
      <c r="C42" s="310"/>
      <c r="D42" s="327"/>
      <c r="E42" s="302" t="s">
        <v>766</v>
      </c>
      <c r="F42" s="312">
        <f ca="1">INDIRECT("'数据-取费表'!v"&amp;$G$1)</f>
        <v>0</v>
      </c>
      <c r="G42" s="1384"/>
      <c r="H42" s="1191"/>
      <c r="I42" s="1398"/>
      <c r="J42" s="1399"/>
      <c r="K42" s="2542"/>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3429" t="s">
        <v>3355</v>
      </c>
      <c r="B45" s="1400"/>
      <c r="C45" s="1472" t="e">
        <f ca="1">ROUND((C68-C40)/10000,4)</f>
        <v>#DIV/0!</v>
      </c>
      <c r="D45" s="3430" t="s">
        <v>3356</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2117</v>
      </c>
      <c r="E53" s="313" t="s">
        <v>701</v>
      </c>
      <c r="F53" s="1116"/>
      <c r="I53" s="1439" t="s">
        <v>836</v>
      </c>
      <c r="J53" s="2168">
        <f ca="1">IF(M47="住宅",IF(D1="——",MAX(J51,L48),MAX(J51,L48-'数据-取费表'!B24)),IF(D1="——",MIN(J51,L48),MIN(J51,L48-'数据-取费表'!B24)))</f>
        <v>0</v>
      </c>
      <c r="K53" s="3647" t="s">
        <v>837</v>
      </c>
      <c r="L53" s="3648"/>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3339</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J47" sqref="J47:J49"/>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2436</v>
      </c>
      <c r="B1" s="2830"/>
      <c r="C1" s="2842"/>
      <c r="D1" s="2842"/>
      <c r="E1" s="2831"/>
      <c r="F1" s="2832"/>
      <c r="G1" s="2833"/>
      <c r="J1" s="2836" t="s">
        <v>2315</v>
      </c>
      <c r="K1" s="2837"/>
      <c r="L1" s="2837"/>
      <c r="M1" s="2837"/>
      <c r="N1" s="2837"/>
      <c r="O1" s="2837"/>
      <c r="P1" s="2837"/>
      <c r="Q1" s="2837"/>
      <c r="R1" s="2838"/>
      <c r="S1" s="2839"/>
      <c r="T1" s="2839"/>
      <c r="U1" s="2839"/>
    </row>
    <row r="2" spans="1:22" s="2851" customFormat="1" ht="13.15" customHeight="1">
      <c r="A2" s="1385" t="s">
        <v>2316</v>
      </c>
      <c r="B2" s="2841" t="e">
        <f>IF(D2="——",C40,C40+E2)</f>
        <v>#DIV/0!</v>
      </c>
      <c r="C2" s="2842" t="s">
        <v>2317</v>
      </c>
      <c r="D2" s="3441" t="s">
        <v>3362</v>
      </c>
      <c r="E2" s="3442"/>
      <c r="F2" s="2844"/>
      <c r="G2" s="2845"/>
      <c r="H2" s="2846"/>
      <c r="I2" s="2847"/>
      <c r="J2" s="3658" t="s">
        <v>2318</v>
      </c>
      <c r="K2" s="3659"/>
      <c r="L2" s="2848" t="s">
        <v>2319</v>
      </c>
      <c r="M2" s="2848" t="s">
        <v>2320</v>
      </c>
      <c r="N2" s="2848" t="s">
        <v>2321</v>
      </c>
      <c r="O2" s="2848" t="s">
        <v>2322</v>
      </c>
      <c r="P2" s="2848" t="s">
        <v>2323</v>
      </c>
      <c r="Q2" s="2849" t="s">
        <v>2324</v>
      </c>
      <c r="R2" s="2850" t="s">
        <v>2325</v>
      </c>
      <c r="S2" s="2839"/>
      <c r="T2" s="2839"/>
      <c r="U2" s="2839"/>
      <c r="V2" s="2847"/>
    </row>
    <row r="3" spans="1:22" s="2851" customFormat="1" ht="13.15" customHeight="1">
      <c r="A3" s="2852" t="s">
        <v>2326</v>
      </c>
      <c r="B3" s="2853" t="e">
        <f>ROUND(B2*10000/B4,0)</f>
        <v>#DIV/0!</v>
      </c>
      <c r="C3" s="2842" t="s">
        <v>2327</v>
      </c>
      <c r="D3" s="2842"/>
      <c r="E3" s="2843"/>
      <c r="F3" s="2844"/>
      <c r="G3" s="2845"/>
      <c r="H3" s="2846"/>
      <c r="I3" s="2847"/>
      <c r="J3" s="3660" t="s">
        <v>2328</v>
      </c>
      <c r="K3" s="3661"/>
      <c r="L3" s="2854"/>
      <c r="M3" s="2854"/>
      <c r="N3" s="2854"/>
      <c r="O3" s="2854"/>
      <c r="P3" s="2854"/>
      <c r="Q3" s="2855"/>
      <c r="R3" s="2856">
        <f>SUM(L3:Q3)</f>
        <v>0</v>
      </c>
      <c r="S3" s="2839"/>
      <c r="T3" s="2839"/>
      <c r="U3" s="2839"/>
      <c r="V3" s="2847"/>
    </row>
    <row r="4" spans="1:22" s="2851" customFormat="1" ht="13.15" customHeight="1">
      <c r="A4" s="2857" t="s">
        <v>2329</v>
      </c>
      <c r="B4" s="2858"/>
      <c r="C4" s="2842"/>
      <c r="D4" s="2842"/>
      <c r="E4" s="2843"/>
      <c r="F4" s="2844"/>
      <c r="G4" s="2845"/>
      <c r="H4" s="2846"/>
      <c r="I4" s="2847"/>
      <c r="J4" s="3660" t="s">
        <v>2330</v>
      </c>
      <c r="K4" s="3661"/>
      <c r="L4" s="2859"/>
      <c r="M4" s="2859"/>
      <c r="N4" s="2859"/>
      <c r="O4" s="2859"/>
      <c r="P4" s="2859"/>
      <c r="Q4" s="2860"/>
      <c r="R4" s="2861">
        <f>SUM(L4:Q4)</f>
        <v>0</v>
      </c>
      <c r="S4" s="2839"/>
      <c r="T4" s="2839"/>
      <c r="U4" s="2839"/>
      <c r="V4" s="2847"/>
    </row>
    <row r="5" spans="1:22" s="2851" customFormat="1" ht="13.15" customHeight="1" thickBot="1">
      <c r="A5" s="2862" t="s">
        <v>2331</v>
      </c>
      <c r="B5" s="2863"/>
      <c r="C5" s="2842"/>
      <c r="D5" s="2864"/>
      <c r="E5" s="2844"/>
      <c r="F5" s="2844"/>
      <c r="G5" s="2845"/>
      <c r="H5" s="2846"/>
      <c r="I5" s="2847"/>
      <c r="J5" s="2865" t="s">
        <v>2332</v>
      </c>
      <c r="K5" s="2866"/>
      <c r="L5" s="2866"/>
      <c r="M5" s="2867"/>
      <c r="N5" s="2867"/>
      <c r="O5" s="2867"/>
      <c r="P5" s="2867"/>
      <c r="Q5" s="2867"/>
      <c r="R5" s="2850">
        <f>SUM(R14,R19,R24,R25,R27,R28)</f>
        <v>0</v>
      </c>
      <c r="S5" s="2839"/>
      <c r="T5" s="2839" t="s">
        <v>2333</v>
      </c>
      <c r="U5" s="2839" t="e">
        <f>ROUND(R5*10000/365/R3,1)</f>
        <v>#DIV/0!</v>
      </c>
      <c r="V5" s="2847"/>
    </row>
    <row r="6" spans="1:22" s="2851" customFormat="1" ht="13.15" customHeight="1" thickBot="1">
      <c r="A6" s="3666" t="s">
        <v>2334</v>
      </c>
      <c r="B6" s="3667"/>
      <c r="C6" s="3668"/>
      <c r="D6" s="2868"/>
      <c r="E6" s="2869"/>
      <c r="F6" s="2870"/>
      <c r="G6" s="2871"/>
      <c r="H6" s="2846"/>
      <c r="I6" s="2847"/>
      <c r="J6" s="3652">
        <v>1</v>
      </c>
      <c r="K6" s="3653" t="s">
        <v>2335</v>
      </c>
      <c r="L6" s="2872" t="s">
        <v>2336</v>
      </c>
      <c r="M6" s="2873" t="s">
        <v>2337</v>
      </c>
      <c r="N6" s="2873" t="s">
        <v>2338</v>
      </c>
      <c r="O6" s="2873" t="s">
        <v>2339</v>
      </c>
      <c r="P6" s="2873" t="s">
        <v>2340</v>
      </c>
      <c r="Q6" s="2873" t="s">
        <v>2341</v>
      </c>
      <c r="R6" s="2856" t="s">
        <v>2342</v>
      </c>
      <c r="S6" s="2839"/>
      <c r="T6" s="2839" t="s">
        <v>2343</v>
      </c>
      <c r="U6" s="2839"/>
      <c r="V6" s="2847"/>
    </row>
    <row r="7" spans="1:22" s="2851" customFormat="1" ht="13.15" customHeight="1">
      <c r="A7" s="2874" t="s">
        <v>2344</v>
      </c>
      <c r="B7" s="2875"/>
      <c r="C7" s="2876"/>
      <c r="D7" s="2877">
        <f>SUM(D9,D10,D11,D17,0)</f>
        <v>0</v>
      </c>
      <c r="E7" s="2878" t="e">
        <f>E9+E10+E11+E17</f>
        <v>#DIV/0!</v>
      </c>
      <c r="F7" s="2879"/>
      <c r="G7" s="2880"/>
      <c r="H7" s="2846"/>
      <c r="I7" s="2847"/>
      <c r="J7" s="3652"/>
      <c r="K7" s="3654"/>
      <c r="L7" s="2881" t="s">
        <v>2345</v>
      </c>
      <c r="M7" s="2882"/>
      <c r="N7" s="2858"/>
      <c r="O7" s="2883"/>
      <c r="P7" s="2883"/>
      <c r="Q7" s="2884">
        <v>365</v>
      </c>
      <c r="R7" s="2885">
        <f>ROUND(M7*N7*O7*P7*Q7/10000,0)</f>
        <v>0</v>
      </c>
      <c r="S7" s="2839"/>
      <c r="T7" s="2839" t="s">
        <v>2346</v>
      </c>
      <c r="U7" s="2839"/>
      <c r="V7" s="2847"/>
    </row>
    <row r="8" spans="1:22" s="2851" customFormat="1" ht="13.15" customHeight="1">
      <c r="A8" s="2886" t="s">
        <v>2347</v>
      </c>
      <c r="B8" s="3669" t="s">
        <v>2348</v>
      </c>
      <c r="C8" s="3670"/>
      <c r="D8" s="2887" t="s">
        <v>2349</v>
      </c>
      <c r="E8" s="2888" t="s">
        <v>2350</v>
      </c>
      <c r="F8" s="2889" t="s">
        <v>2351</v>
      </c>
      <c r="G8" s="2890"/>
      <c r="H8" s="2846"/>
      <c r="I8" s="2847"/>
      <c r="J8" s="3652"/>
      <c r="K8" s="3654"/>
      <c r="L8" s="2881" t="s">
        <v>2352</v>
      </c>
      <c r="M8" s="2882"/>
      <c r="N8" s="2858"/>
      <c r="O8" s="2883"/>
      <c r="P8" s="2883"/>
      <c r="Q8" s="2884">
        <v>365</v>
      </c>
      <c r="R8" s="2885">
        <f t="shared" ref="R8:R13" si="0">ROUND(M8*N8*O8*P8*Q8/10000,0)</f>
        <v>0</v>
      </c>
      <c r="S8" s="2839"/>
      <c r="T8" s="2839" t="s">
        <v>2353</v>
      </c>
      <c r="U8" s="2839"/>
      <c r="V8" s="2847"/>
    </row>
    <row r="9" spans="1:22" s="2851" customFormat="1" ht="13.15" customHeight="1">
      <c r="A9" s="2886">
        <v>1</v>
      </c>
      <c r="B9" s="3669" t="s">
        <v>2354</v>
      </c>
      <c r="C9" s="3670"/>
      <c r="D9" s="2887">
        <f>ROUND(D6*E9,0)</f>
        <v>0</v>
      </c>
      <c r="E9" s="2891"/>
      <c r="F9" s="2892" t="s">
        <v>2355</v>
      </c>
      <c r="G9" s="2871"/>
      <c r="H9" s="2846"/>
      <c r="I9" s="2847"/>
      <c r="J9" s="3652"/>
      <c r="K9" s="3654"/>
      <c r="L9" s="2881" t="s">
        <v>2356</v>
      </c>
      <c r="M9" s="2882"/>
      <c r="N9" s="2858"/>
      <c r="O9" s="2883"/>
      <c r="P9" s="2883"/>
      <c r="Q9" s="2884">
        <v>365</v>
      </c>
      <c r="R9" s="2885">
        <f t="shared" si="0"/>
        <v>0</v>
      </c>
      <c r="S9" s="2839"/>
      <c r="T9" s="2839"/>
      <c r="U9" s="2839"/>
      <c r="V9" s="2847"/>
    </row>
    <row r="10" spans="1:22" s="2851" customFormat="1" ht="13.15" customHeight="1">
      <c r="A10" s="2886">
        <v>2</v>
      </c>
      <c r="B10" s="3669" t="s">
        <v>2357</v>
      </c>
      <c r="C10" s="3670"/>
      <c r="D10" s="2887">
        <f>ROUND(D6*E10,0)</f>
        <v>0</v>
      </c>
      <c r="E10" s="2891"/>
      <c r="F10" s="2892" t="s">
        <v>2358</v>
      </c>
      <c r="G10" s="2871"/>
      <c r="H10" s="2846"/>
      <c r="I10" s="2847"/>
      <c r="J10" s="3652"/>
      <c r="K10" s="3654"/>
      <c r="L10" s="2881" t="s">
        <v>2359</v>
      </c>
      <c r="M10" s="2882"/>
      <c r="N10" s="2858"/>
      <c r="O10" s="2883"/>
      <c r="P10" s="2883"/>
      <c r="Q10" s="2884">
        <v>365</v>
      </c>
      <c r="R10" s="2885">
        <f t="shared" si="0"/>
        <v>0</v>
      </c>
      <c r="S10" s="2839"/>
      <c r="T10" s="2839"/>
      <c r="U10" s="2839"/>
      <c r="V10" s="2847"/>
    </row>
    <row r="11" spans="1:22" s="2851" customFormat="1" ht="13.15" customHeight="1">
      <c r="A11" s="2886">
        <v>3</v>
      </c>
      <c r="B11" s="3669" t="s">
        <v>2360</v>
      </c>
      <c r="C11" s="3670"/>
      <c r="D11" s="2887">
        <f>D12+D14+D15+D16</f>
        <v>0</v>
      </c>
      <c r="E11" s="2893" t="e">
        <f>D11/D6</f>
        <v>#DIV/0!</v>
      </c>
      <c r="F11" s="2889"/>
      <c r="G11" s="2890"/>
      <c r="H11" s="2846"/>
      <c r="I11" s="2847"/>
      <c r="J11" s="3652"/>
      <c r="K11" s="3654"/>
      <c r="L11" s="2881" t="s">
        <v>2361</v>
      </c>
      <c r="M11" s="2882"/>
      <c r="N11" s="2858"/>
      <c r="O11" s="2883"/>
      <c r="P11" s="2883"/>
      <c r="Q11" s="2884">
        <v>365</v>
      </c>
      <c r="R11" s="2885">
        <f t="shared" si="0"/>
        <v>0</v>
      </c>
      <c r="S11" s="2839"/>
      <c r="T11" s="2839"/>
      <c r="U11" s="2839"/>
      <c r="V11" s="2847"/>
    </row>
    <row r="12" spans="1:22" s="2851" customFormat="1" ht="13.15" customHeight="1">
      <c r="A12" s="2894" t="s">
        <v>2362</v>
      </c>
      <c r="B12" s="3662" t="s">
        <v>2363</v>
      </c>
      <c r="C12" s="3663"/>
      <c r="D12" s="2895">
        <f>ROUND(D13*1.2%*(1-30%),0)</f>
        <v>0</v>
      </c>
      <c r="E12" s="2896">
        <v>1.2E-2</v>
      </c>
      <c r="F12" s="2889" t="s">
        <v>2364</v>
      </c>
      <c r="G12" s="2890"/>
      <c r="H12" s="2846"/>
      <c r="I12" s="2847"/>
      <c r="J12" s="3652"/>
      <c r="K12" s="3654"/>
      <c r="L12" s="2881" t="s">
        <v>2365</v>
      </c>
      <c r="M12" s="2882"/>
      <c r="N12" s="2858"/>
      <c r="O12" s="2883"/>
      <c r="P12" s="2883"/>
      <c r="Q12" s="2884">
        <v>365</v>
      </c>
      <c r="R12" s="2885">
        <f t="shared" si="0"/>
        <v>0</v>
      </c>
      <c r="S12" s="2839"/>
      <c r="T12" s="2839"/>
      <c r="U12" s="2839"/>
      <c r="V12" s="2847"/>
    </row>
    <row r="13" spans="1:22" s="2851" customFormat="1" ht="13.15" customHeight="1">
      <c r="A13" s="2894"/>
      <c r="B13" s="2897"/>
      <c r="C13" s="2898" t="s">
        <v>2366</v>
      </c>
      <c r="D13" s="2899"/>
      <c r="E13" s="2900"/>
      <c r="F13" s="2889"/>
      <c r="G13" s="2890"/>
      <c r="H13" s="2846"/>
      <c r="I13" s="2847"/>
      <c r="J13" s="3652"/>
      <c r="K13" s="3654"/>
      <c r="L13" s="2881" t="s">
        <v>2367</v>
      </c>
      <c r="M13" s="2882"/>
      <c r="N13" s="2858"/>
      <c r="O13" s="2883"/>
      <c r="P13" s="2883"/>
      <c r="Q13" s="2884">
        <v>365</v>
      </c>
      <c r="R13" s="2885">
        <f t="shared" si="0"/>
        <v>0</v>
      </c>
      <c r="S13" s="2839"/>
      <c r="T13" s="2839"/>
      <c r="U13" s="2839"/>
      <c r="V13" s="2847"/>
    </row>
    <row r="14" spans="1:22" s="2851" customFormat="1" ht="13.15" customHeight="1">
      <c r="A14" s="2894" t="s">
        <v>2368</v>
      </c>
      <c r="B14" s="3662" t="s">
        <v>2369</v>
      </c>
      <c r="C14" s="3663"/>
      <c r="D14" s="2895">
        <f>ROUND(E14*B5/10000,0)</f>
        <v>0</v>
      </c>
      <c r="E14" s="2884"/>
      <c r="F14" s="2889" t="s">
        <v>2370</v>
      </c>
      <c r="G14" s="2890"/>
      <c r="H14" s="2846"/>
      <c r="I14" s="2847"/>
      <c r="J14" s="3652"/>
      <c r="K14" s="3655"/>
      <c r="L14" s="2901" t="s">
        <v>2371</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2372</v>
      </c>
      <c r="B15" s="3662" t="s">
        <v>2373</v>
      </c>
      <c r="C15" s="3663"/>
      <c r="D15" s="2895">
        <f>ROUND(D6*E15,0)</f>
        <v>0</v>
      </c>
      <c r="E15" s="2896">
        <v>5.5E-2</v>
      </c>
      <c r="F15" s="2889" t="s">
        <v>2374</v>
      </c>
      <c r="G15" s="2871"/>
      <c r="H15" s="2846"/>
      <c r="I15" s="2847"/>
      <c r="J15" s="3652">
        <v>2</v>
      </c>
      <c r="K15" s="3653" t="s">
        <v>2375</v>
      </c>
      <c r="L15" s="2881" t="s">
        <v>2376</v>
      </c>
      <c r="M15" s="2882" t="s">
        <v>2377</v>
      </c>
      <c r="N15" s="2882" t="s">
        <v>2378</v>
      </c>
      <c r="O15" s="2883" t="s">
        <v>2379</v>
      </c>
      <c r="P15" s="2883" t="s">
        <v>2341</v>
      </c>
      <c r="Q15" s="2858" t="s">
        <v>2380</v>
      </c>
      <c r="R15" s="2905" t="s">
        <v>2342</v>
      </c>
      <c r="S15" s="2839"/>
      <c r="T15" s="2839"/>
      <c r="U15" s="2839"/>
      <c r="V15" s="2847"/>
    </row>
    <row r="16" spans="1:22" s="2851" customFormat="1" ht="13.15" customHeight="1">
      <c r="A16" s="2894" t="s">
        <v>2381</v>
      </c>
      <c r="B16" s="3662" t="s">
        <v>2382</v>
      </c>
      <c r="C16" s="3663"/>
      <c r="D16" s="2906">
        <f>D6*E16</f>
        <v>0</v>
      </c>
      <c r="E16" s="2907"/>
      <c r="F16" s="2892" t="s">
        <v>2383</v>
      </c>
      <c r="G16" s="2871"/>
      <c r="H16" s="2846"/>
      <c r="I16" s="2847"/>
      <c r="J16" s="3652"/>
      <c r="K16" s="3654"/>
      <c r="L16" s="2881" t="s">
        <v>2384</v>
      </c>
      <c r="M16" s="2882"/>
      <c r="N16" s="2882"/>
      <c r="O16" s="2883"/>
      <c r="P16" s="2884">
        <v>365</v>
      </c>
      <c r="Q16" s="2858"/>
      <c r="R16" s="2905">
        <f>ROUND(M16*N16*O16*P16/10000,0)</f>
        <v>0</v>
      </c>
      <c r="S16" s="2839"/>
      <c r="T16" s="2839"/>
      <c r="U16" s="2839"/>
      <c r="V16" s="2847"/>
    </row>
    <row r="17" spans="1:22" s="2851" customFormat="1" ht="13.15" customHeight="1" thickBot="1">
      <c r="A17" s="2908">
        <v>4</v>
      </c>
      <c r="B17" s="3664" t="s">
        <v>2385</v>
      </c>
      <c r="C17" s="3665"/>
      <c r="D17" s="2909">
        <f>ROUND(D6*E17,0)</f>
        <v>0</v>
      </c>
      <c r="E17" s="2910"/>
      <c r="F17" s="2911" t="s">
        <v>2386</v>
      </c>
      <c r="G17" s="2871"/>
      <c r="H17" s="2846"/>
      <c r="I17" s="2847"/>
      <c r="J17" s="3652"/>
      <c r="K17" s="3654"/>
      <c r="L17" s="2881" t="s">
        <v>2387</v>
      </c>
      <c r="M17" s="2882"/>
      <c r="N17" s="2882"/>
      <c r="O17" s="2883"/>
      <c r="P17" s="2884">
        <v>365</v>
      </c>
      <c r="Q17" s="2858"/>
      <c r="R17" s="2905">
        <f>ROUND(M17*N17*O17*P17/10000,0)</f>
        <v>0</v>
      </c>
      <c r="S17" s="2839"/>
      <c r="T17" s="2839"/>
      <c r="U17" s="2839"/>
      <c r="V17" s="2847"/>
    </row>
    <row r="18" spans="1:22" s="2851" customFormat="1" ht="13.15" customHeight="1" thickBot="1">
      <c r="A18" s="2874" t="s">
        <v>2388</v>
      </c>
      <c r="B18" s="2875"/>
      <c r="C18" s="2875"/>
      <c r="D18" s="2912">
        <f>ROUND(D6*E18,0)</f>
        <v>0</v>
      </c>
      <c r="E18" s="2913"/>
      <c r="F18" s="2914" t="s">
        <v>2389</v>
      </c>
      <c r="G18" s="2871"/>
      <c r="H18" s="2846"/>
      <c r="I18" s="2847"/>
      <c r="J18" s="3652"/>
      <c r="K18" s="3654"/>
      <c r="L18" s="2881" t="s">
        <v>2390</v>
      </c>
      <c r="M18" s="2882"/>
      <c r="N18" s="2882"/>
      <c r="O18" s="2883"/>
      <c r="P18" s="2884">
        <v>365</v>
      </c>
      <c r="Q18" s="2858"/>
      <c r="R18" s="2905">
        <f>ROUND(M18*N18*O18*P18/10000,0)</f>
        <v>0</v>
      </c>
      <c r="S18" s="2839"/>
      <c r="T18" s="2839"/>
      <c r="U18" s="2839"/>
      <c r="V18" s="2847"/>
    </row>
    <row r="19" spans="1:22" s="2851" customFormat="1" ht="13.15" customHeight="1" thickBot="1">
      <c r="A19" s="2915" t="s">
        <v>2391</v>
      </c>
      <c r="B19" s="2869"/>
      <c r="C19" s="2869"/>
      <c r="D19" s="2869"/>
      <c r="E19" s="2869"/>
      <c r="F19" s="2870"/>
      <c r="G19" s="2890"/>
      <c r="H19" s="2846"/>
      <c r="I19" s="2847"/>
      <c r="J19" s="3652"/>
      <c r="K19" s="3655"/>
      <c r="L19" s="2901" t="s">
        <v>2371</v>
      </c>
      <c r="M19" s="2902"/>
      <c r="N19" s="2902">
        <f>SUM(N16:N18)</f>
        <v>0</v>
      </c>
      <c r="O19" s="2903"/>
      <c r="P19" s="2916" t="s">
        <v>2435</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652">
        <v>3</v>
      </c>
      <c r="K20" s="3653" t="s">
        <v>2392</v>
      </c>
      <c r="L20" s="2881" t="s">
        <v>2393</v>
      </c>
      <c r="M20" s="2882" t="s">
        <v>2394</v>
      </c>
      <c r="N20" s="2919" t="s">
        <v>2395</v>
      </c>
      <c r="O20" s="2883" t="s">
        <v>2396</v>
      </c>
      <c r="P20" s="2884" t="s">
        <v>2397</v>
      </c>
      <c r="Q20" s="2858" t="s">
        <v>2398</v>
      </c>
      <c r="R20" s="2905" t="s">
        <v>2399</v>
      </c>
      <c r="S20" s="2920"/>
      <c r="T20" s="2920"/>
      <c r="U20" s="2920"/>
      <c r="V20" s="2847"/>
    </row>
    <row r="21" spans="1:22" s="2851" customFormat="1" ht="13.15" customHeight="1">
      <c r="A21" s="2874"/>
      <c r="B21" s="2875"/>
      <c r="C21" s="2921" t="s">
        <v>2400</v>
      </c>
      <c r="D21" s="2922" t="s">
        <v>2401</v>
      </c>
      <c r="E21" s="2923" t="s">
        <v>2402</v>
      </c>
      <c r="F21" s="2918"/>
      <c r="G21" s="2890"/>
      <c r="H21" s="2846"/>
      <c r="I21" s="2847"/>
      <c r="J21" s="3652"/>
      <c r="K21" s="3654"/>
      <c r="L21" s="2881" t="s">
        <v>2403</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2404</v>
      </c>
      <c r="D22" s="2926" t="s">
        <v>2405</v>
      </c>
      <c r="E22" s="2927" t="s">
        <v>2406</v>
      </c>
      <c r="F22" s="2918"/>
      <c r="G22" s="2928"/>
      <c r="H22" s="2846"/>
      <c r="I22" s="2847"/>
      <c r="J22" s="3652"/>
      <c r="K22" s="3654"/>
      <c r="L22" s="2881" t="s">
        <v>2407</v>
      </c>
      <c r="M22" s="2882"/>
      <c r="N22" s="2882"/>
      <c r="O22" s="2883"/>
      <c r="P22" s="2884">
        <v>365</v>
      </c>
      <c r="Q22" s="2858"/>
      <c r="R22" s="2924">
        <f>ROUND(M22*N22*O22*P22/10000,0)</f>
        <v>0</v>
      </c>
      <c r="S22" s="2920"/>
      <c r="T22" s="2920"/>
      <c r="U22" s="2920"/>
      <c r="V22" s="2847"/>
    </row>
    <row r="23" spans="1:22" s="2851" customFormat="1" ht="13.15" customHeight="1">
      <c r="A23" s="2929">
        <v>1</v>
      </c>
      <c r="B23" s="2930" t="s">
        <v>2408</v>
      </c>
      <c r="C23" s="2931">
        <f>D6</f>
        <v>0</v>
      </c>
      <c r="D23" s="2932">
        <f>C23*(1+D24)</f>
        <v>0</v>
      </c>
      <c r="E23" s="2933">
        <f>D23*(1+E24)</f>
        <v>0</v>
      </c>
      <c r="F23" s="2934"/>
      <c r="G23" s="2935"/>
      <c r="H23" s="2846"/>
      <c r="I23" s="2847"/>
      <c r="J23" s="3652"/>
      <c r="K23" s="3654"/>
      <c r="L23" s="2881" t="s">
        <v>2409</v>
      </c>
      <c r="M23" s="2882"/>
      <c r="N23" s="2882"/>
      <c r="O23" s="2883"/>
      <c r="P23" s="2884">
        <v>365</v>
      </c>
      <c r="Q23" s="2858"/>
      <c r="R23" s="2924">
        <f>ROUND(M23*N23*O23*P23/10000,0)</f>
        <v>0</v>
      </c>
      <c r="S23" s="2839"/>
      <c r="T23" s="2839"/>
      <c r="U23" s="2839"/>
      <c r="V23" s="2847"/>
    </row>
    <row r="24" spans="1:22" s="2851" customFormat="1" ht="13.15" customHeight="1">
      <c r="A24" s="2936"/>
      <c r="B24" s="2937" t="s">
        <v>2410</v>
      </c>
      <c r="C24" s="2938"/>
      <c r="D24" s="2939"/>
      <c r="E24" s="2940"/>
      <c r="F24" s="2941"/>
      <c r="G24" s="2935"/>
      <c r="H24" s="2846"/>
      <c r="I24" s="2847"/>
      <c r="J24" s="3652"/>
      <c r="K24" s="3655"/>
      <c r="L24" s="2901" t="s">
        <v>2371</v>
      </c>
      <c r="M24" s="2902">
        <f>SUM(M21:M23)</f>
        <v>0</v>
      </c>
      <c r="N24" s="2902"/>
      <c r="O24" s="2903"/>
      <c r="P24" s="2916" t="s">
        <v>2435</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2411</v>
      </c>
      <c r="L25" s="2944"/>
      <c r="M25" s="2944"/>
      <c r="N25" s="2944"/>
      <c r="O25" s="2944"/>
      <c r="P25" s="2945"/>
      <c r="Q25" s="2946">
        <v>0</v>
      </c>
      <c r="R25" s="2917">
        <f>ROUND(R14*Q25,0)</f>
        <v>0</v>
      </c>
      <c r="S25" s="2839"/>
      <c r="T25" s="2839"/>
      <c r="U25" s="2839"/>
      <c r="V25" s="2947"/>
    </row>
    <row r="26" spans="1:22" s="2948" customFormat="1" ht="13.15" customHeight="1">
      <c r="A26" s="2929">
        <v>2</v>
      </c>
      <c r="B26" s="2930" t="s">
        <v>2412</v>
      </c>
      <c r="C26" s="2931">
        <f>D7</f>
        <v>0</v>
      </c>
      <c r="D26" s="2932">
        <f>D23*D27</f>
        <v>0</v>
      </c>
      <c r="E26" s="2933">
        <f>E23*E27</f>
        <v>0</v>
      </c>
      <c r="F26" s="2934"/>
      <c r="G26" s="2935"/>
      <c r="H26" s="2846"/>
      <c r="I26" s="2847"/>
      <c r="J26" s="3656">
        <v>5</v>
      </c>
      <c r="K26" s="2949" t="s">
        <v>2413</v>
      </c>
      <c r="L26" s="2950"/>
      <c r="M26" s="2951"/>
      <c r="N26" s="2952" t="s">
        <v>2414</v>
      </c>
      <c r="O26" s="2952" t="s">
        <v>2415</v>
      </c>
      <c r="P26" s="2953" t="s">
        <v>2416</v>
      </c>
      <c r="Q26" s="2953" t="s">
        <v>2417</v>
      </c>
      <c r="R26" s="2856" t="s">
        <v>2342</v>
      </c>
      <c r="S26" s="2954"/>
      <c r="T26" s="2954"/>
      <c r="U26" s="2954"/>
      <c r="V26" s="2947"/>
    </row>
    <row r="27" spans="1:22" s="2851" customFormat="1" ht="13.15" customHeight="1">
      <c r="A27" s="2936"/>
      <c r="B27" s="2937" t="s">
        <v>2418</v>
      </c>
      <c r="C27" s="2955" t="e">
        <f>E7</f>
        <v>#DIV/0!</v>
      </c>
      <c r="D27" s="2939"/>
      <c r="E27" s="2940"/>
      <c r="F27" s="2941"/>
      <c r="G27" s="2935"/>
      <c r="H27" s="2956"/>
      <c r="I27" s="2947"/>
      <c r="J27" s="3657"/>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2419</v>
      </c>
      <c r="F28" s="2941"/>
      <c r="G28" s="2928"/>
      <c r="H28" s="2956"/>
      <c r="I28" s="2947"/>
      <c r="J28" s="2962">
        <v>6</v>
      </c>
      <c r="K28" s="2963" t="s">
        <v>2420</v>
      </c>
      <c r="L28" s="2964" t="s">
        <v>2421</v>
      </c>
      <c r="M28" s="2965"/>
      <c r="N28" s="2964" t="s">
        <v>2422</v>
      </c>
      <c r="O28" s="2966"/>
      <c r="P28" s="2964" t="s">
        <v>2423</v>
      </c>
      <c r="Q28" s="2967">
        <v>1.4999999999999999E-2</v>
      </c>
      <c r="R28" s="2968"/>
      <c r="S28" s="2920"/>
      <c r="T28" s="2920"/>
      <c r="U28" s="2920"/>
      <c r="V28" s="2947"/>
    </row>
    <row r="29" spans="1:22" s="2948" customFormat="1" ht="13.15" customHeight="1">
      <c r="A29" s="2929">
        <v>3</v>
      </c>
      <c r="B29" s="2930" t="s">
        <v>2424</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2418</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2425</v>
      </c>
      <c r="K31" s="2837"/>
      <c r="L31" s="2837"/>
      <c r="M31" s="2837"/>
      <c r="N31" s="2837"/>
      <c r="O31" s="2837"/>
      <c r="P31" s="2837"/>
      <c r="Q31" s="2837"/>
      <c r="R31" s="2838"/>
      <c r="S31" s="2920"/>
      <c r="T31" s="2839"/>
      <c r="U31" s="2839"/>
      <c r="V31" s="2947"/>
    </row>
    <row r="32" spans="1:22" s="2948" customFormat="1" ht="13.15" customHeight="1">
      <c r="A32" s="2929">
        <v>4</v>
      </c>
      <c r="B32" s="2930" t="s">
        <v>2426</v>
      </c>
      <c r="C32" s="2931">
        <f>C23-C26-C29</f>
        <v>0</v>
      </c>
      <c r="D32" s="2932">
        <f>D23-D26-D29</f>
        <v>0</v>
      </c>
      <c r="E32" s="2933">
        <f>E23-E26-E29</f>
        <v>0</v>
      </c>
      <c r="F32" s="2934"/>
      <c r="G32" s="2928"/>
      <c r="H32" s="2846"/>
      <c r="I32" s="2847"/>
      <c r="J32" s="3658" t="s">
        <v>2318</v>
      </c>
      <c r="K32" s="3659"/>
      <c r="L32" s="2848" t="s">
        <v>2319</v>
      </c>
      <c r="M32" s="2848" t="s">
        <v>2320</v>
      </c>
      <c r="N32" s="2848" t="s">
        <v>2321</v>
      </c>
      <c r="O32" s="2848" t="s">
        <v>2322</v>
      </c>
      <c r="P32" s="2848" t="s">
        <v>2323</v>
      </c>
      <c r="Q32" s="2849" t="s">
        <v>2324</v>
      </c>
      <c r="R32" s="2971" t="s">
        <v>2325</v>
      </c>
      <c r="S32" s="2920"/>
      <c r="T32" s="2839"/>
      <c r="U32" s="2839"/>
      <c r="V32" s="2947"/>
    </row>
    <row r="33" spans="1:23" s="2851" customFormat="1" ht="13.15" customHeight="1">
      <c r="A33" s="2929"/>
      <c r="B33" s="2930"/>
      <c r="C33" s="2931"/>
      <c r="D33" s="2972"/>
      <c r="E33" s="2973"/>
      <c r="F33" s="2934"/>
      <c r="G33" s="2928"/>
      <c r="H33" s="2956"/>
      <c r="I33" s="2947"/>
      <c r="J33" s="3660" t="s">
        <v>2328</v>
      </c>
      <c r="K33" s="3661"/>
      <c r="L33" s="2854"/>
      <c r="M33" s="2854"/>
      <c r="N33" s="2854"/>
      <c r="O33" s="2854"/>
      <c r="P33" s="2854"/>
      <c r="Q33" s="2855"/>
      <c r="R33" s="2974">
        <f>SUM(L33:Q33)</f>
        <v>0</v>
      </c>
      <c r="S33" s="2920"/>
      <c r="T33" s="2839"/>
      <c r="U33" s="2839"/>
      <c r="V33" s="2847"/>
    </row>
    <row r="34" spans="1:23" s="2851" customFormat="1" ht="13.15" customHeight="1">
      <c r="A34" s="2929">
        <v>5</v>
      </c>
      <c r="B34" s="2930" t="s">
        <v>2427</v>
      </c>
      <c r="C34" s="2975"/>
      <c r="D34" s="2976"/>
      <c r="E34" s="2977"/>
      <c r="F34" s="2934"/>
      <c r="G34" s="2928"/>
      <c r="H34" s="2956"/>
      <c r="I34" s="2947"/>
      <c r="J34" s="3660" t="s">
        <v>2330</v>
      </c>
      <c r="K34" s="3661"/>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2428</v>
      </c>
      <c r="C35" s="2979"/>
      <c r="D35" s="2980"/>
      <c r="E35" s="2981"/>
      <c r="F35" s="2934"/>
      <c r="G35" s="2982"/>
      <c r="H35" s="2846"/>
      <c r="I35" s="2947"/>
      <c r="J35" s="2865" t="s">
        <v>2332</v>
      </c>
      <c r="K35" s="2866"/>
      <c r="L35" s="2866"/>
      <c r="M35" s="2867"/>
      <c r="N35" s="2867"/>
      <c r="O35" s="2867"/>
      <c r="P35" s="2867"/>
      <c r="Q35" s="2867"/>
      <c r="R35" s="2983">
        <f>R40+R41+R43</f>
        <v>0</v>
      </c>
      <c r="S35" s="2920"/>
      <c r="T35" s="2839" t="s">
        <v>2333</v>
      </c>
      <c r="U35" s="2839"/>
      <c r="V35" s="2847"/>
    </row>
    <row r="36" spans="1:23" s="2851" customFormat="1" ht="13.15" customHeight="1" thickBot="1">
      <c r="A36" s="2929">
        <v>7</v>
      </c>
      <c r="B36" s="2984" t="s">
        <v>2429</v>
      </c>
      <c r="C36" s="2985"/>
      <c r="D36" s="2986"/>
      <c r="E36" s="2987"/>
      <c r="F36" s="2988">
        <f>C36+D36+E36</f>
        <v>0</v>
      </c>
      <c r="G36" s="2928"/>
      <c r="H36" s="2846"/>
      <c r="I36" s="2847"/>
      <c r="J36" s="3652">
        <v>1</v>
      </c>
      <c r="K36" s="3653" t="s">
        <v>2430</v>
      </c>
      <c r="L36" s="2872"/>
      <c r="M36" s="2873"/>
      <c r="N36" s="2873"/>
      <c r="O36" s="2873"/>
      <c r="P36" s="2873"/>
      <c r="Q36" s="2873"/>
      <c r="R36" s="2856" t="s">
        <v>2342</v>
      </c>
      <c r="S36" s="2920"/>
      <c r="T36" s="2839" t="s">
        <v>2343</v>
      </c>
      <c r="U36" s="2839"/>
      <c r="V36" s="2847"/>
    </row>
    <row r="37" spans="1:23" s="2851" customFormat="1" ht="13.15" customHeight="1">
      <c r="A37" s="2929"/>
      <c r="B37" s="2930"/>
      <c r="C37" s="2930"/>
      <c r="D37" s="2930"/>
      <c r="E37" s="2930"/>
      <c r="F37" s="2934"/>
      <c r="G37" s="2928"/>
      <c r="H37" s="2846"/>
      <c r="I37" s="2847"/>
      <c r="J37" s="3652"/>
      <c r="K37" s="3654"/>
      <c r="L37" s="2881"/>
      <c r="M37" s="2882"/>
      <c r="N37" s="2858"/>
      <c r="O37" s="2883"/>
      <c r="P37" s="2883"/>
      <c r="Q37" s="2884"/>
      <c r="R37" s="2885"/>
      <c r="S37" s="2920"/>
      <c r="T37" s="2839" t="s">
        <v>2346</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652"/>
      <c r="K38" s="3654"/>
      <c r="L38" s="2881"/>
      <c r="M38" s="2882"/>
      <c r="N38" s="2858"/>
      <c r="O38" s="2883"/>
      <c r="P38" s="2883"/>
      <c r="Q38" s="2884"/>
      <c r="R38" s="2885"/>
      <c r="S38" s="2920"/>
      <c r="T38" s="2839" t="s">
        <v>2353</v>
      </c>
      <c r="U38" s="2839"/>
      <c r="V38" s="2847"/>
    </row>
    <row r="39" spans="1:23" s="2851" customFormat="1" ht="13.15" customHeight="1">
      <c r="A39" s="2929">
        <v>9</v>
      </c>
      <c r="B39" s="2930" t="s">
        <v>2431</v>
      </c>
      <c r="C39" s="2895" t="e">
        <f>C38</f>
        <v>#DIV/0!</v>
      </c>
      <c r="D39" s="2930">
        <f>D38/(1+D34)^C36</f>
        <v>0</v>
      </c>
      <c r="E39" s="2930">
        <f>E38/(1+E34)^(C36+D36)</f>
        <v>0</v>
      </c>
      <c r="F39" s="2934"/>
      <c r="G39" s="2989"/>
      <c r="H39" s="2846"/>
      <c r="I39" s="2847"/>
      <c r="J39" s="3652"/>
      <c r="K39" s="3654"/>
      <c r="L39" s="2881"/>
      <c r="M39" s="2882"/>
      <c r="N39" s="2858"/>
      <c r="O39" s="2883"/>
      <c r="P39" s="2883"/>
      <c r="Q39" s="2884"/>
      <c r="R39" s="2885"/>
      <c r="S39" s="2920"/>
      <c r="T39" s="2839"/>
      <c r="U39" s="2839"/>
      <c r="V39" s="2847"/>
    </row>
    <row r="40" spans="1:23" s="2851" customFormat="1" ht="13.15" customHeight="1">
      <c r="A40" s="2990">
        <v>10</v>
      </c>
      <c r="B40" s="2930" t="s">
        <v>2432</v>
      </c>
      <c r="C40" s="2991" t="e">
        <f>C39+D39+E39</f>
        <v>#DIV/0!</v>
      </c>
      <c r="D40" s="2992"/>
      <c r="E40" s="2992"/>
      <c r="F40" s="2993"/>
      <c r="G40" s="2928"/>
      <c r="H40" s="2846"/>
      <c r="I40" s="2847"/>
      <c r="J40" s="3652"/>
      <c r="K40" s="3655"/>
      <c r="L40" s="2901" t="s">
        <v>2371</v>
      </c>
      <c r="M40" s="2902"/>
      <c r="N40" s="2902"/>
      <c r="O40" s="2903"/>
      <c r="P40" s="2903"/>
      <c r="Q40" s="2904"/>
      <c r="R40" s="2850">
        <f>SUM(R37:R39)</f>
        <v>0</v>
      </c>
      <c r="S40" s="2920"/>
      <c r="T40" s="2839"/>
      <c r="U40" s="2839"/>
      <c r="V40" s="2847"/>
    </row>
    <row r="41" spans="1:23" s="2851" customFormat="1" ht="13.15" customHeight="1" thickBot="1">
      <c r="A41" s="2994">
        <v>11</v>
      </c>
      <c r="B41" s="2995" t="s">
        <v>2433</v>
      </c>
      <c r="C41" s="2995" t="e">
        <f>ROUND(C40*10000/B4,0)</f>
        <v>#DIV/0!</v>
      </c>
      <c r="D41" s="2996"/>
      <c r="E41" s="2996"/>
      <c r="F41" s="2997"/>
      <c r="G41" s="2998"/>
      <c r="H41" s="2846"/>
      <c r="I41" s="2847"/>
      <c r="J41" s="2942">
        <v>2</v>
      </c>
      <c r="K41" s="2943" t="s">
        <v>2411</v>
      </c>
      <c r="L41" s="2944"/>
      <c r="M41" s="2944"/>
      <c r="N41" s="2944"/>
      <c r="O41" s="2944"/>
      <c r="P41" s="2945"/>
      <c r="Q41" s="2946"/>
      <c r="R41" s="2917">
        <f>ROUND(R40*Q41,0)</f>
        <v>0</v>
      </c>
      <c r="S41" s="2920"/>
      <c r="T41" s="2839"/>
      <c r="U41" s="2954"/>
      <c r="V41" s="2847"/>
    </row>
    <row r="42" spans="1:23" s="2851" customFormat="1" ht="13.15" customHeight="1">
      <c r="G42" s="2998"/>
      <c r="H42" s="2846"/>
      <c r="I42" s="2847"/>
      <c r="J42" s="3656">
        <v>3</v>
      </c>
      <c r="K42" s="2949" t="s">
        <v>2413</v>
      </c>
      <c r="L42" s="2950"/>
      <c r="M42" s="2951"/>
      <c r="N42" s="2952" t="s">
        <v>2414</v>
      </c>
      <c r="O42" s="2952" t="s">
        <v>2415</v>
      </c>
      <c r="P42" s="2953" t="s">
        <v>2416</v>
      </c>
      <c r="Q42" s="2953" t="s">
        <v>2417</v>
      </c>
      <c r="R42" s="2856" t="s">
        <v>2342</v>
      </c>
      <c r="S42" s="2954"/>
      <c r="T42" s="2954"/>
      <c r="U42" s="2839"/>
      <c r="V42" s="2847"/>
    </row>
    <row r="43" spans="1:23" ht="13.15" customHeight="1">
      <c r="A43" s="2851"/>
      <c r="B43" s="2851"/>
      <c r="C43" s="2851"/>
      <c r="D43" s="2851"/>
      <c r="E43" s="2851"/>
      <c r="F43" s="2851"/>
      <c r="I43" s="2834"/>
      <c r="J43" s="3657"/>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2420</v>
      </c>
      <c r="L44" s="3002" t="s">
        <v>2421</v>
      </c>
      <c r="M44" s="2965"/>
      <c r="N44" s="3002" t="s">
        <v>2422</v>
      </c>
      <c r="O44" s="2965"/>
      <c r="P44" s="3002" t="s">
        <v>2423</v>
      </c>
      <c r="Q44" s="2967">
        <v>1.4999999999999999E-2</v>
      </c>
      <c r="R44" s="296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J47" sqref="J47:J49"/>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1657</v>
      </c>
      <c r="B1" s="1868"/>
      <c r="C1" s="1868"/>
      <c r="D1" s="1868"/>
      <c r="E1" s="1869"/>
      <c r="F1" s="2705"/>
      <c r="G1" s="1489"/>
      <c r="H1" s="1489"/>
      <c r="I1" s="1489"/>
      <c r="J1" s="1489"/>
      <c r="K1" s="1489"/>
      <c r="L1" s="1489"/>
      <c r="M1" s="1489"/>
      <c r="N1" s="1489"/>
      <c r="O1" s="1489"/>
      <c r="P1" s="1489"/>
      <c r="Q1" s="1489"/>
      <c r="R1" s="1489"/>
      <c r="S1" s="1489"/>
    </row>
    <row r="2" spans="1:22" ht="15.75">
      <c r="A2" s="1870" t="s">
        <v>1461</v>
      </c>
      <c r="B2" s="1871">
        <f ca="1">SUMIF(B6:B13,"&lt;&gt;#ref!",B6:B13)</f>
        <v>21468</v>
      </c>
      <c r="C2" s="1872" t="s">
        <v>1650</v>
      </c>
      <c r="D2" s="1873" t="s">
        <v>1651</v>
      </c>
      <c r="E2" s="2605">
        <f>SUM(E6:E13)</f>
        <v>26402.26</v>
      </c>
      <c r="F2" s="2705"/>
      <c r="G2" s="1489"/>
      <c r="H2" s="1489"/>
      <c r="I2" s="1489"/>
      <c r="J2" s="1489"/>
      <c r="K2" s="1489"/>
      <c r="L2" s="1489"/>
      <c r="M2" s="1489"/>
      <c r="N2" s="1489"/>
      <c r="O2" s="1489"/>
      <c r="P2" s="1489"/>
      <c r="Q2" s="1489"/>
      <c r="R2" s="1489"/>
      <c r="S2" s="1489"/>
    </row>
    <row r="3" spans="1:22" ht="15.75">
      <c r="A3" s="1870" t="s">
        <v>686</v>
      </c>
      <c r="B3" s="2599">
        <f ca="1">ROUND(B2*10000/E2,0)</f>
        <v>8131</v>
      </c>
      <c r="C3" s="1872" t="s">
        <v>1658</v>
      </c>
      <c r="D3" s="2707"/>
      <c r="E3" s="2709"/>
      <c r="F3" s="2705"/>
      <c r="G3" s="1489"/>
      <c r="H3" s="1489"/>
      <c r="I3" s="1489"/>
      <c r="J3" s="1489"/>
      <c r="K3" s="1489"/>
      <c r="L3" s="1489"/>
      <c r="M3" s="1489"/>
      <c r="N3" s="1489"/>
      <c r="O3" s="1489"/>
      <c r="P3" s="1489"/>
      <c r="Q3" s="1489"/>
      <c r="R3" s="1489"/>
      <c r="S3" s="1489"/>
    </row>
    <row r="4" spans="1:22" ht="15.75">
      <c r="A4" s="2710"/>
      <c r="B4" s="2707"/>
      <c r="C4" s="2707"/>
      <c r="D4" s="2707"/>
      <c r="E4" s="2709"/>
      <c r="F4" s="2705"/>
      <c r="G4" s="1489"/>
      <c r="H4" s="1489"/>
      <c r="I4" s="1489"/>
      <c r="J4" s="1489"/>
      <c r="K4" s="1489"/>
      <c r="L4" s="1489"/>
      <c r="M4" s="1489"/>
      <c r="N4" s="1489"/>
      <c r="O4" s="1489"/>
      <c r="P4" s="1489"/>
      <c r="Q4" s="1489"/>
      <c r="R4" s="1489"/>
      <c r="S4" s="1489"/>
    </row>
    <row r="5" spans="1:22" ht="15">
      <c r="A5" s="2601" t="s">
        <v>1652</v>
      </c>
      <c r="B5" s="3671" t="s">
        <v>1653</v>
      </c>
      <c r="C5" s="3672"/>
      <c r="D5" s="2706"/>
      <c r="E5" s="1874" t="s">
        <v>1654</v>
      </c>
      <c r="F5" s="1875" t="s">
        <v>1655</v>
      </c>
      <c r="G5" s="1489"/>
      <c r="H5" s="1489"/>
      <c r="I5" s="1489"/>
      <c r="J5" s="1489"/>
      <c r="K5" s="1489"/>
      <c r="L5" s="1489"/>
      <c r="M5" s="1489"/>
      <c r="N5" s="1489"/>
      <c r="O5" s="1489"/>
      <c r="P5" s="1489"/>
      <c r="Q5" s="1489"/>
      <c r="R5" s="1489"/>
      <c r="S5" s="1489"/>
    </row>
    <row r="6" spans="1:22">
      <c r="A6" s="2602" t="str">
        <f>'数据-取费表'!AN6</f>
        <v>收益法</v>
      </c>
      <c r="B6" s="2600">
        <f ca="1">IF(F6="是",'数据-取费表'!AO6,0)</f>
        <v>21468</v>
      </c>
      <c r="C6" s="1872" t="s">
        <v>1650</v>
      </c>
      <c r="D6" s="2707"/>
      <c r="E6" s="2604">
        <f>IF(OR(A6=0,F6="否"),0,'数据-取费表'!K6+'数据-取费表'!S6)</f>
        <v>26402.26</v>
      </c>
      <c r="F6" s="1876" t="s">
        <v>1656</v>
      </c>
      <c r="G6" s="1489"/>
      <c r="H6" s="1489"/>
      <c r="I6" s="1489"/>
      <c r="J6" s="1489"/>
      <c r="K6" s="1489"/>
      <c r="L6" s="1489"/>
      <c r="M6" s="1489"/>
      <c r="N6" s="1489"/>
      <c r="O6" s="1489"/>
      <c r="P6" s="1489"/>
      <c r="Q6" s="1489"/>
      <c r="R6" s="1489"/>
      <c r="S6" s="1489"/>
    </row>
    <row r="7" spans="1:22">
      <c r="A7" s="2602">
        <f>'数据-取费表'!AN7</f>
        <v>0</v>
      </c>
      <c r="B7" s="2600" t="e">
        <f ca="1">IF(F7="是",'数据-取费表'!AO7,0)</f>
        <v>#REF!</v>
      </c>
      <c r="C7" s="1872" t="s">
        <v>1650</v>
      </c>
      <c r="D7" s="2707"/>
      <c r="E7" s="2604">
        <f>IF(OR(A7=0,F7="否"),0,'数据-取费表'!K7+'数据-取费表'!S7)</f>
        <v>0</v>
      </c>
      <c r="F7" s="1876" t="s">
        <v>1656</v>
      </c>
      <c r="G7" s="1489"/>
      <c r="H7" s="1489"/>
      <c r="I7" s="1489"/>
      <c r="J7" s="1489"/>
      <c r="K7" s="1489"/>
      <c r="L7" s="1489"/>
      <c r="M7" s="1489"/>
      <c r="N7" s="1489"/>
      <c r="O7" s="1489"/>
      <c r="P7" s="1489"/>
      <c r="Q7" s="1489"/>
      <c r="R7" s="1489"/>
      <c r="S7" s="1489"/>
    </row>
    <row r="8" spans="1:22">
      <c r="A8" s="2602">
        <f>'数据-取费表'!AN8</f>
        <v>0</v>
      </c>
      <c r="B8" s="2600" t="e">
        <f ca="1">IF(F8="是",'数据-取费表'!AO8,0)</f>
        <v>#REF!</v>
      </c>
      <c r="C8" s="1872" t="s">
        <v>1650</v>
      </c>
      <c r="D8" s="2707"/>
      <c r="E8" s="2604">
        <f>IF(OR(A8=0,F8="否"),0,'数据-取费表'!K8+'数据-取费表'!S8)</f>
        <v>0</v>
      </c>
      <c r="F8" s="1876" t="s">
        <v>1656</v>
      </c>
      <c r="G8" s="1489"/>
      <c r="H8" s="1489"/>
      <c r="I8" s="1489"/>
      <c r="J8" s="1489"/>
      <c r="K8" s="1489"/>
      <c r="L8" s="1489"/>
      <c r="M8" s="1489"/>
      <c r="N8" s="1489"/>
      <c r="O8" s="1489"/>
      <c r="P8" s="1489"/>
      <c r="Q8" s="1489"/>
      <c r="R8" s="1489"/>
      <c r="S8" s="1489"/>
    </row>
    <row r="9" spans="1:22">
      <c r="A9" s="2602">
        <f>'数据-取费表'!AN9</f>
        <v>0</v>
      </c>
      <c r="B9" s="2600" t="e">
        <f ca="1">IF(F9="是",'数据-取费表'!AO9,0)</f>
        <v>#REF!</v>
      </c>
      <c r="C9" s="1872" t="s">
        <v>1650</v>
      </c>
      <c r="D9" s="2707"/>
      <c r="E9" s="2604">
        <f>IF(OR(A9=0,F9="否"),0,'数据-取费表'!K9+'数据-取费表'!S9)</f>
        <v>0</v>
      </c>
      <c r="F9" s="1876" t="s">
        <v>1656</v>
      </c>
      <c r="G9" s="1489"/>
      <c r="H9" s="1489"/>
      <c r="I9" s="1489"/>
      <c r="J9" s="1489"/>
      <c r="K9" s="1489"/>
      <c r="L9" s="1489"/>
      <c r="M9" s="1489"/>
      <c r="N9" s="1489"/>
      <c r="O9" s="1489"/>
      <c r="P9" s="1489"/>
      <c r="Q9" s="1489"/>
      <c r="R9" s="1489"/>
      <c r="S9" s="1489"/>
    </row>
    <row r="10" spans="1:22">
      <c r="A10" s="2602">
        <f>'数据-取费表'!AN10</f>
        <v>0</v>
      </c>
      <c r="B10" s="2600" t="e">
        <f ca="1">IF(F10="是",'数据-取费表'!AO10,0)</f>
        <v>#REF!</v>
      </c>
      <c r="C10" s="1872" t="s">
        <v>1650</v>
      </c>
      <c r="D10" s="2707"/>
      <c r="E10" s="2604">
        <f>IF(OR(A10=0,F10="否"),0,'数据-取费表'!K10+'数据-取费表'!S10)</f>
        <v>0</v>
      </c>
      <c r="F10" s="1876" t="s">
        <v>1656</v>
      </c>
      <c r="G10" s="1489"/>
      <c r="H10" s="1489"/>
      <c r="I10" s="1489"/>
      <c r="J10" s="1489"/>
      <c r="K10" s="1489"/>
      <c r="L10" s="1489"/>
      <c r="M10" s="1489"/>
      <c r="N10" s="1489"/>
      <c r="O10" s="1489"/>
      <c r="P10" s="1489"/>
      <c r="Q10" s="1489"/>
      <c r="R10" s="1489"/>
      <c r="S10" s="1489"/>
    </row>
    <row r="11" spans="1:22">
      <c r="A11" s="2602">
        <f>'数据-取费表'!AN11</f>
        <v>0</v>
      </c>
      <c r="B11" s="2600" t="e">
        <f ca="1">IF(F11="是",'数据-取费表'!AO11,0)</f>
        <v>#REF!</v>
      </c>
      <c r="C11" s="1872" t="s">
        <v>1650</v>
      </c>
      <c r="D11" s="2707"/>
      <c r="E11" s="2604">
        <f>IF(OR(A11=0,F11="否"),0,'数据-取费表'!K11+'数据-取费表'!S11)</f>
        <v>0</v>
      </c>
      <c r="F11" s="1876" t="s">
        <v>1656</v>
      </c>
      <c r="G11" s="1489"/>
      <c r="H11" s="1489"/>
      <c r="I11" s="1489"/>
      <c r="J11" s="1489"/>
      <c r="K11" s="1489"/>
      <c r="L11" s="1489"/>
      <c r="M11" s="1489"/>
      <c r="N11" s="1489"/>
      <c r="O11" s="1489"/>
      <c r="P11" s="1489"/>
      <c r="Q11" s="1489"/>
      <c r="R11" s="1489"/>
      <c r="S11" s="1489"/>
    </row>
    <row r="12" spans="1:22">
      <c r="A12" s="2602">
        <f>'数据-取费表'!AN12</f>
        <v>0</v>
      </c>
      <c r="B12" s="2600" t="e">
        <f ca="1">IF(F12="是",'数据-取费表'!AO12,0)</f>
        <v>#REF!</v>
      </c>
      <c r="C12" s="1872" t="s">
        <v>1650</v>
      </c>
      <c r="D12" s="2707"/>
      <c r="E12" s="2604">
        <f>IF(OR(A12=0,F12="否"),0,'数据-取费表'!K12+'数据-取费表'!S12)</f>
        <v>0</v>
      </c>
      <c r="F12" s="1876" t="s">
        <v>1656</v>
      </c>
      <c r="G12" s="1489"/>
      <c r="H12" s="1489"/>
      <c r="I12" s="1489"/>
      <c r="J12" s="1489"/>
      <c r="K12" s="1489"/>
      <c r="L12" s="1489"/>
      <c r="M12" s="1489"/>
      <c r="N12" s="1489"/>
      <c r="O12" s="1489"/>
      <c r="P12" s="1489"/>
      <c r="Q12" s="1489"/>
      <c r="R12" s="1489"/>
      <c r="S12" s="1489"/>
    </row>
    <row r="13" spans="1:22" ht="15" thickBot="1">
      <c r="A13" s="2603">
        <f>'数据-取费表'!AN13</f>
        <v>0</v>
      </c>
      <c r="B13" s="2600" t="e">
        <f ca="1">IF(F13="是",'数据-取费表'!AO13,0)</f>
        <v>#REF!</v>
      </c>
      <c r="C13" s="1877" t="s">
        <v>1650</v>
      </c>
      <c r="D13" s="2708"/>
      <c r="E13" s="2604">
        <f>IF(OR(A13=0,F13="否"),0,'数据-取费表'!K13+'数据-取费表'!S13)</f>
        <v>0</v>
      </c>
      <c r="F13" s="1876" t="s">
        <v>1656</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1659</v>
      </c>
      <c r="B1" s="1878" t="s">
        <v>1660</v>
      </c>
      <c r="C1" s="1238" t="s">
        <v>1661</v>
      </c>
      <c r="D1" s="1225"/>
      <c r="E1" s="3424"/>
      <c r="F1" s="1879"/>
      <c r="G1" s="1235" t="s">
        <v>1662</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5"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1663</v>
      </c>
      <c r="F2" s="1883"/>
      <c r="G2" s="907"/>
      <c r="H2" s="907"/>
      <c r="I2" s="907"/>
      <c r="J2" s="907"/>
      <c r="K2" s="1884"/>
      <c r="L2" s="2711"/>
      <c r="M2" s="2712"/>
      <c r="N2" s="2712"/>
      <c r="O2" s="2712"/>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1664</v>
      </c>
      <c r="D3" s="353">
        <f>IF(D1="",'数据-汇总表'!E3,SUMIF('数据-汇总表'!$C19:$C33,D1,'数据-汇总表'!$E19:$E33))</f>
        <v>34689.100000000006</v>
      </c>
      <c r="E3" s="907"/>
      <c r="F3" s="1888"/>
      <c r="G3" s="907"/>
      <c r="H3" s="907"/>
      <c r="I3" s="907"/>
      <c r="J3" s="907"/>
      <c r="K3" s="1884"/>
      <c r="L3" s="2711"/>
      <c r="M3" s="2712"/>
      <c r="N3" s="2712"/>
      <c r="O3" s="2712"/>
      <c r="P3" s="1885"/>
      <c r="Q3" s="1886"/>
      <c r="R3" s="1886"/>
      <c r="S3" s="1886"/>
      <c r="T3" s="1886"/>
      <c r="U3" s="1886"/>
      <c r="V3" s="1886"/>
      <c r="W3" s="1886"/>
      <c r="X3" s="1886"/>
      <c r="Y3" s="1886"/>
      <c r="Z3" s="1886"/>
      <c r="AA3" s="1886"/>
      <c r="AB3" s="1886"/>
      <c r="AC3" s="1061"/>
    </row>
    <row r="4" spans="1:29" ht="15">
      <c r="A4" s="355" t="s">
        <v>1665</v>
      </c>
      <c r="B4" s="356"/>
      <c r="C4" s="3691" t="s">
        <v>1666</v>
      </c>
      <c r="D4" s="3692"/>
      <c r="E4" s="3693" t="s">
        <v>1667</v>
      </c>
      <c r="F4" s="3694"/>
      <c r="G4" s="3691" t="s">
        <v>1668</v>
      </c>
      <c r="H4" s="3692"/>
      <c r="I4" s="3691" t="s">
        <v>1669</v>
      </c>
      <c r="J4" s="3692"/>
      <c r="K4" s="1889" t="s">
        <v>1670</v>
      </c>
      <c r="L4" s="2713"/>
      <c r="M4" s="2714"/>
      <c r="N4" s="2714"/>
      <c r="O4" s="2714"/>
      <c r="P4" s="3695" t="s">
        <v>1671</v>
      </c>
      <c r="Q4" s="3696"/>
      <c r="R4" s="3701" t="s">
        <v>1667</v>
      </c>
      <c r="S4" s="3702"/>
      <c r="T4" s="3701" t="s">
        <v>1668</v>
      </c>
      <c r="U4" s="3702"/>
      <c r="V4" s="3707" t="s">
        <v>1669</v>
      </c>
      <c r="W4" s="3707"/>
      <c r="X4" s="1355"/>
      <c r="Y4" s="3701" t="s">
        <v>1671</v>
      </c>
      <c r="Z4" s="3702"/>
      <c r="AA4" s="3688" t="s">
        <v>1667</v>
      </c>
      <c r="AB4" s="3688" t="s">
        <v>1668</v>
      </c>
      <c r="AC4" s="3688" t="s">
        <v>1669</v>
      </c>
    </row>
    <row r="5" spans="1:29" ht="15">
      <c r="A5" s="358"/>
      <c r="B5" s="359"/>
      <c r="C5" s="3710" t="s">
        <v>1672</v>
      </c>
      <c r="D5" s="3711"/>
      <c r="E5" s="3717" t="s">
        <v>1673</v>
      </c>
      <c r="F5" s="3718"/>
      <c r="G5" s="3710" t="s">
        <v>1674</v>
      </c>
      <c r="H5" s="3711"/>
      <c r="I5" s="3710" t="s">
        <v>1675</v>
      </c>
      <c r="J5" s="3711"/>
      <c r="K5" s="1890"/>
      <c r="L5" s="2713"/>
      <c r="M5" s="2714"/>
      <c r="N5" s="2714"/>
      <c r="O5" s="2714"/>
      <c r="P5" s="3697"/>
      <c r="Q5" s="3698"/>
      <c r="R5" s="3703"/>
      <c r="S5" s="3704"/>
      <c r="T5" s="3703"/>
      <c r="U5" s="3704"/>
      <c r="V5" s="3707"/>
      <c r="W5" s="3707"/>
      <c r="X5" s="1355"/>
      <c r="Y5" s="3703"/>
      <c r="Z5" s="3704"/>
      <c r="AA5" s="3689"/>
      <c r="AB5" s="3689"/>
      <c r="AC5" s="3689"/>
    </row>
    <row r="6" spans="1:29" ht="15.75" thickBot="1">
      <c r="A6" s="360"/>
      <c r="B6" s="361"/>
      <c r="C6" s="3708" t="s">
        <v>1676</v>
      </c>
      <c r="D6" s="3709"/>
      <c r="E6" s="3715" t="s">
        <v>1676</v>
      </c>
      <c r="F6" s="3716"/>
      <c r="G6" s="3708" t="s">
        <v>1676</v>
      </c>
      <c r="H6" s="3709"/>
      <c r="I6" s="3708" t="s">
        <v>1676</v>
      </c>
      <c r="J6" s="3709"/>
      <c r="K6" s="1890" t="s">
        <v>1677</v>
      </c>
      <c r="L6" s="2713"/>
      <c r="M6" s="2714"/>
      <c r="N6" s="2714"/>
      <c r="O6" s="2714"/>
      <c r="P6" s="3699"/>
      <c r="Q6" s="3700"/>
      <c r="R6" s="3703"/>
      <c r="S6" s="3704"/>
      <c r="T6" s="3705"/>
      <c r="U6" s="3706"/>
      <c r="V6" s="3707"/>
      <c r="W6" s="3707"/>
      <c r="X6" s="1355"/>
      <c r="Y6" s="3705"/>
      <c r="Z6" s="3706"/>
      <c r="AA6" s="3690"/>
      <c r="AB6" s="3690"/>
      <c r="AC6" s="3690"/>
    </row>
    <row r="7" spans="1:29" s="108" customFormat="1" ht="15.75" thickBot="1">
      <c r="A7" s="362" t="s">
        <v>1678</v>
      </c>
      <c r="B7" s="363"/>
      <c r="C7" s="364">
        <f>'数据-取费表'!B2</f>
        <v>45044</v>
      </c>
      <c r="D7" s="365">
        <v>100</v>
      </c>
      <c r="E7" s="366"/>
      <c r="F7" s="367">
        <f>SUMIF(58:58,YEAR(E7)&amp;"-"&amp;MONTH(E7),59:59)</f>
        <v>0</v>
      </c>
      <c r="G7" s="366"/>
      <c r="H7" s="365">
        <f>SUMIF(58:58,YEAR(G7)&amp;"-"&amp;MONTH(G7),59:59)</f>
        <v>0</v>
      </c>
      <c r="I7" s="366"/>
      <c r="J7" s="365">
        <f>SUMIF(58:58,YEAR(I7)&amp;"-"&amp;MONTH(I7),59:59)</f>
        <v>0</v>
      </c>
      <c r="K7" s="1891"/>
      <c r="L7" s="2715"/>
      <c r="M7" s="2716"/>
      <c r="N7" s="2716"/>
      <c r="O7" s="2716"/>
      <c r="P7" s="3712" t="s">
        <v>1679</v>
      </c>
      <c r="Q7" s="3714"/>
      <c r="R7" s="701" t="s">
        <v>20</v>
      </c>
      <c r="S7" s="702">
        <f t="shared" ref="S7:S15" si="0">F7</f>
        <v>0</v>
      </c>
      <c r="T7" s="701" t="s">
        <v>20</v>
      </c>
      <c r="U7" s="702">
        <f t="shared" ref="U7:U15" si="1">H7</f>
        <v>0</v>
      </c>
      <c r="V7" s="701" t="s">
        <v>20</v>
      </c>
      <c r="W7" s="702">
        <f t="shared" ref="W7:W15" si="2">J7</f>
        <v>0</v>
      </c>
      <c r="X7" s="703"/>
      <c r="Y7" s="3712" t="s">
        <v>1679</v>
      </c>
      <c r="Z7" s="3713"/>
      <c r="AA7" s="704" t="e">
        <f>D7/F7</f>
        <v>#DIV/0!</v>
      </c>
      <c r="AB7" s="704" t="e">
        <f>D7/H7</f>
        <v>#DIV/0!</v>
      </c>
      <c r="AC7" s="704" t="e">
        <f>D7/J7</f>
        <v>#DIV/0!</v>
      </c>
    </row>
    <row r="8" spans="1:29" s="108" customFormat="1" ht="15.75" thickBot="1">
      <c r="A8" s="362" t="s">
        <v>1680</v>
      </c>
      <c r="B8" s="363"/>
      <c r="C8" s="368"/>
      <c r="D8" s="365">
        <v>100</v>
      </c>
      <c r="E8" s="1892"/>
      <c r="F8" s="367">
        <f>SUMIF(61:61,E8,62:62)-SUMIF(61:61,C8,62:62)+100</f>
        <v>100</v>
      </c>
      <c r="G8" s="368"/>
      <c r="H8" s="365">
        <f>SUMIF(61:61,G8,62:62)-SUMIF(61:61,C8,62:62)+100</f>
        <v>100</v>
      </c>
      <c r="I8" s="1892"/>
      <c r="J8" s="365">
        <f>SUMIF(61:61,I8,62:62)-SUMIF(61:61,C8,62:62)+100</f>
        <v>100</v>
      </c>
      <c r="K8" s="1891"/>
      <c r="L8" s="2715"/>
      <c r="M8" s="2716"/>
      <c r="N8" s="2716"/>
      <c r="O8" s="2716"/>
      <c r="P8" s="3712" t="s">
        <v>1682</v>
      </c>
      <c r="Q8" s="3713"/>
      <c r="R8" s="701" t="s">
        <v>20</v>
      </c>
      <c r="S8" s="702">
        <f t="shared" si="0"/>
        <v>100</v>
      </c>
      <c r="T8" s="701" t="s">
        <v>20</v>
      </c>
      <c r="U8" s="702">
        <f t="shared" si="1"/>
        <v>100</v>
      </c>
      <c r="V8" s="701" t="s">
        <v>20</v>
      </c>
      <c r="W8" s="702">
        <f t="shared" si="2"/>
        <v>100</v>
      </c>
      <c r="X8" s="703"/>
      <c r="Y8" s="3712" t="s">
        <v>1682</v>
      </c>
      <c r="Z8" s="3713"/>
      <c r="AA8" s="704">
        <f t="shared" ref="AA8:AA19" si="3">D8/F8</f>
        <v>1</v>
      </c>
      <c r="AB8" s="704">
        <f t="shared" ref="AB8:AB19" si="4">D8/H8</f>
        <v>1</v>
      </c>
      <c r="AC8" s="704">
        <f t="shared" ref="AC8:AC19" si="5">D8/J8</f>
        <v>1</v>
      </c>
    </row>
    <row r="9" spans="1:29" s="108" customFormat="1">
      <c r="A9" s="369" t="s">
        <v>1683</v>
      </c>
      <c r="B9" s="63" t="s">
        <v>1684</v>
      </c>
      <c r="C9" s="370"/>
      <c r="D9" s="126">
        <v>100</v>
      </c>
      <c r="E9" s="371"/>
      <c r="F9" s="372">
        <f>SUMIF(63:63,E9,64:64)-SUMIF(63:63,C9,64:64)+100</f>
        <v>100</v>
      </c>
      <c r="G9" s="373"/>
      <c r="H9" s="126">
        <f>SUMIF(63:63,G9,64:64)-SUMIF(63:63,C9,64:64)+100</f>
        <v>100</v>
      </c>
      <c r="I9" s="373"/>
      <c r="J9" s="126">
        <f>SUMIF(63:63,I9,64:64)-SUMIF(63:63,C9,64:64)+100</f>
        <v>100</v>
      </c>
      <c r="K9" s="1891"/>
      <c r="L9" s="2715"/>
      <c r="M9" s="2716"/>
      <c r="N9" s="2716"/>
      <c r="O9" s="2716"/>
      <c r="P9" s="3687" t="s">
        <v>1685</v>
      </c>
      <c r="Q9" s="1343" t="str">
        <f t="shared" ref="Q9:Q15" si="6">B9</f>
        <v>用途</v>
      </c>
      <c r="R9" s="701" t="s">
        <v>14</v>
      </c>
      <c r="S9" s="702">
        <f t="shared" si="0"/>
        <v>100</v>
      </c>
      <c r="T9" s="701" t="s">
        <v>14</v>
      </c>
      <c r="U9" s="702">
        <f t="shared" si="1"/>
        <v>100</v>
      </c>
      <c r="V9" s="701" t="s">
        <v>14</v>
      </c>
      <c r="W9" s="702">
        <f t="shared" si="2"/>
        <v>100</v>
      </c>
      <c r="X9" s="703"/>
      <c r="Y9" s="3551" t="s">
        <v>1686</v>
      </c>
      <c r="Z9" s="52" t="str">
        <f t="shared" ref="Z9:Z15" si="7">Q9</f>
        <v>用途</v>
      </c>
      <c r="AA9" s="704">
        <f t="shared" si="3"/>
        <v>1</v>
      </c>
      <c r="AB9" s="704">
        <f t="shared" si="4"/>
        <v>1</v>
      </c>
      <c r="AC9" s="704">
        <f t="shared" si="5"/>
        <v>1</v>
      </c>
    </row>
    <row r="10" spans="1:29" s="378" customFormat="1" ht="27">
      <c r="A10" s="374"/>
      <c r="B10" s="375" t="s">
        <v>1687</v>
      </c>
      <c r="C10" s="3432"/>
      <c r="D10" s="127">
        <v>100</v>
      </c>
      <c r="E10" s="3433"/>
      <c r="F10" s="376">
        <f>SUMIF(65:65,E10,66:66)-SUMIF(65:65,C10,66:66)+100</f>
        <v>100</v>
      </c>
      <c r="G10" s="3432"/>
      <c r="H10" s="127">
        <f>SUMIF(65:65,G10,66:66)-SUMIF(65:65,C10,66:66)+100</f>
        <v>100</v>
      </c>
      <c r="I10" s="3432"/>
      <c r="J10" s="127">
        <f>SUMIF(65:65,I10,66:66)-SUMIF(65:65,C10,66:66)+100</f>
        <v>100</v>
      </c>
      <c r="K10" s="1891"/>
      <c r="L10" s="2717"/>
      <c r="M10" s="2718"/>
      <c r="N10" s="2718"/>
      <c r="O10" s="2718"/>
      <c r="P10" s="3687"/>
      <c r="Q10" s="1343" t="str">
        <f t="shared" si="6"/>
        <v>土地使用年限（年）</v>
      </c>
      <c r="R10" s="701" t="s">
        <v>14</v>
      </c>
      <c r="S10" s="702">
        <f t="shared" si="0"/>
        <v>100</v>
      </c>
      <c r="T10" s="701" t="s">
        <v>14</v>
      </c>
      <c r="U10" s="702">
        <f t="shared" si="1"/>
        <v>100</v>
      </c>
      <c r="V10" s="701" t="s">
        <v>14</v>
      </c>
      <c r="W10" s="702">
        <f t="shared" si="2"/>
        <v>100</v>
      </c>
      <c r="X10" s="703"/>
      <c r="Y10" s="3551"/>
      <c r="Z10" s="52" t="str">
        <f t="shared" si="7"/>
        <v>土地使用年限（年）</v>
      </c>
      <c r="AA10" s="704">
        <f t="shared" si="3"/>
        <v>1</v>
      </c>
      <c r="AB10" s="704">
        <f t="shared" si="4"/>
        <v>1</v>
      </c>
      <c r="AC10" s="704">
        <f t="shared" si="5"/>
        <v>1</v>
      </c>
    </row>
    <row r="11" spans="1:29" ht="15">
      <c r="A11" s="379"/>
      <c r="B11" s="375" t="s">
        <v>1688</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687"/>
      <c r="Q11" s="1343" t="str">
        <f t="shared" si="6"/>
        <v>容积率</v>
      </c>
      <c r="R11" s="701" t="s">
        <v>18</v>
      </c>
      <c r="S11" s="702" t="e">
        <f t="shared" si="0"/>
        <v>#N/A</v>
      </c>
      <c r="T11" s="701" t="s">
        <v>18</v>
      </c>
      <c r="U11" s="702" t="e">
        <f t="shared" si="1"/>
        <v>#N/A</v>
      </c>
      <c r="V11" s="701" t="s">
        <v>18</v>
      </c>
      <c r="W11" s="702" t="e">
        <f t="shared" si="2"/>
        <v>#N/A</v>
      </c>
      <c r="X11" s="703"/>
      <c r="Y11" s="3551"/>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5"/>
      <c r="M12" s="2716"/>
      <c r="N12" s="2716"/>
      <c r="O12" s="2716"/>
      <c r="P12" s="3687"/>
      <c r="Q12" s="1343">
        <f t="shared" si="6"/>
        <v>111</v>
      </c>
      <c r="R12" s="701" t="s">
        <v>18</v>
      </c>
      <c r="S12" s="702">
        <f t="shared" si="0"/>
        <v>100</v>
      </c>
      <c r="T12" s="701" t="s">
        <v>18</v>
      </c>
      <c r="U12" s="702">
        <f t="shared" si="1"/>
        <v>100</v>
      </c>
      <c r="V12" s="701" t="s">
        <v>18</v>
      </c>
      <c r="W12" s="702">
        <f t="shared" si="2"/>
        <v>100</v>
      </c>
      <c r="X12" s="703"/>
      <c r="Y12" s="355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0"/>
      <c r="M13" s="2714"/>
      <c r="N13" s="2714"/>
      <c r="O13" s="2714"/>
      <c r="P13" s="3687"/>
      <c r="Q13" s="1343">
        <f t="shared" si="6"/>
        <v>111</v>
      </c>
      <c r="R13" s="701" t="s">
        <v>18</v>
      </c>
      <c r="S13" s="702">
        <f t="shared" si="0"/>
        <v>100</v>
      </c>
      <c r="T13" s="701" t="s">
        <v>18</v>
      </c>
      <c r="U13" s="702">
        <f t="shared" si="1"/>
        <v>100</v>
      </c>
      <c r="V13" s="701" t="s">
        <v>18</v>
      </c>
      <c r="W13" s="702">
        <f t="shared" si="2"/>
        <v>100</v>
      </c>
      <c r="X13" s="703"/>
      <c r="Y13" s="3551"/>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0"/>
      <c r="M14" s="2714"/>
      <c r="N14" s="2714"/>
      <c r="O14" s="2714"/>
      <c r="P14" s="3687"/>
      <c r="Q14" s="1343">
        <f t="shared" si="6"/>
        <v>111</v>
      </c>
      <c r="R14" s="701" t="s">
        <v>18</v>
      </c>
      <c r="S14" s="702">
        <f t="shared" si="0"/>
        <v>100</v>
      </c>
      <c r="T14" s="701" t="s">
        <v>18</v>
      </c>
      <c r="U14" s="702">
        <f t="shared" si="1"/>
        <v>100</v>
      </c>
      <c r="V14" s="701" t="s">
        <v>18</v>
      </c>
      <c r="W14" s="702">
        <f t="shared" si="2"/>
        <v>100</v>
      </c>
      <c r="X14" s="703"/>
      <c r="Y14" s="3551"/>
      <c r="Z14" s="52">
        <f t="shared" si="7"/>
        <v>111</v>
      </c>
      <c r="AA14" s="704">
        <f t="shared" si="3"/>
        <v>1</v>
      </c>
      <c r="AB14" s="704">
        <f t="shared" si="4"/>
        <v>1</v>
      </c>
      <c r="AC14" s="704">
        <f t="shared" si="5"/>
        <v>1</v>
      </c>
    </row>
    <row r="15" spans="1:29" ht="85.5">
      <c r="A15" s="391" t="s">
        <v>1689</v>
      </c>
      <c r="B15" s="61" t="s">
        <v>1256</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685" t="s">
        <v>1690</v>
      </c>
      <c r="Q15" s="1352" t="str">
        <f t="shared" si="6"/>
        <v>居住社区成熟度</v>
      </c>
      <c r="R15" s="705" t="s">
        <v>18</v>
      </c>
      <c r="S15" s="706">
        <f t="shared" si="0"/>
        <v>100</v>
      </c>
      <c r="T15" s="705" t="s">
        <v>18</v>
      </c>
      <c r="U15" s="706">
        <f t="shared" si="1"/>
        <v>100</v>
      </c>
      <c r="V15" s="705" t="s">
        <v>18</v>
      </c>
      <c r="W15" s="706">
        <f t="shared" si="2"/>
        <v>100</v>
      </c>
      <c r="X15" s="1355"/>
      <c r="Y15" s="3678" t="s">
        <v>1690</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0"/>
      <c r="M16" s="2714"/>
      <c r="N16" s="2714"/>
      <c r="O16" s="2714"/>
      <c r="P16" s="3686"/>
      <c r="Q16" s="1352"/>
      <c r="R16" s="705"/>
      <c r="S16" s="706"/>
      <c r="T16" s="705"/>
      <c r="U16" s="706"/>
      <c r="V16" s="705"/>
      <c r="W16" s="706"/>
      <c r="X16" s="1355"/>
      <c r="Y16" s="3679"/>
      <c r="Z16" s="1356"/>
      <c r="AA16" s="1353">
        <v>1</v>
      </c>
      <c r="AB16" s="1353">
        <v>1</v>
      </c>
      <c r="AC16" s="1353">
        <v>1</v>
      </c>
    </row>
    <row r="17" spans="1:29" ht="71.25">
      <c r="A17" s="379"/>
      <c r="B17" s="402" t="s">
        <v>1258</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686"/>
      <c r="Q17" s="1352" t="str">
        <f>B17</f>
        <v>交通便捷度</v>
      </c>
      <c r="R17" s="705" t="s">
        <v>18</v>
      </c>
      <c r="S17" s="706">
        <f>F17</f>
        <v>100</v>
      </c>
      <c r="T17" s="705" t="s">
        <v>18</v>
      </c>
      <c r="U17" s="706">
        <f>H17</f>
        <v>100</v>
      </c>
      <c r="V17" s="705" t="s">
        <v>18</v>
      </c>
      <c r="W17" s="706">
        <f>J17</f>
        <v>100</v>
      </c>
      <c r="X17" s="1355"/>
      <c r="Y17" s="3679"/>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0"/>
      <c r="M18" s="2714"/>
      <c r="N18" s="2714"/>
      <c r="O18" s="2714"/>
      <c r="P18" s="3686"/>
      <c r="Q18" s="1352"/>
      <c r="R18" s="705"/>
      <c r="S18" s="706"/>
      <c r="T18" s="705"/>
      <c r="U18" s="706"/>
      <c r="V18" s="705"/>
      <c r="W18" s="706"/>
      <c r="X18" s="1355"/>
      <c r="Y18" s="3679"/>
      <c r="Z18" s="1356"/>
      <c r="AA18" s="1353">
        <v>1</v>
      </c>
      <c r="AB18" s="1353">
        <v>1</v>
      </c>
      <c r="AC18" s="1353">
        <v>1</v>
      </c>
    </row>
    <row r="19" spans="1:29" ht="42.75">
      <c r="A19" s="379"/>
      <c r="B19" s="402" t="s">
        <v>1257</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686"/>
      <c r="Q19" s="1352" t="str">
        <f>B19</f>
        <v>公共配套设施</v>
      </c>
      <c r="R19" s="705" t="s">
        <v>18</v>
      </c>
      <c r="S19" s="706">
        <f>F19</f>
        <v>100</v>
      </c>
      <c r="T19" s="705" t="s">
        <v>18</v>
      </c>
      <c r="U19" s="706">
        <f>H19</f>
        <v>100</v>
      </c>
      <c r="V19" s="705" t="s">
        <v>18</v>
      </c>
      <c r="W19" s="706">
        <f>J19</f>
        <v>100</v>
      </c>
      <c r="X19" s="1355"/>
      <c r="Y19" s="3679"/>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0"/>
      <c r="M20" s="2714"/>
      <c r="N20" s="2714"/>
      <c r="O20" s="2714"/>
      <c r="P20" s="3686"/>
      <c r="Q20" s="1352"/>
      <c r="R20" s="705"/>
      <c r="S20" s="706"/>
      <c r="T20" s="705"/>
      <c r="U20" s="706"/>
      <c r="V20" s="705"/>
      <c r="W20" s="706"/>
      <c r="X20" s="1355"/>
      <c r="Y20" s="3679"/>
      <c r="Z20" s="1356"/>
      <c r="AA20" s="1353">
        <v>1</v>
      </c>
      <c r="AB20" s="1353">
        <v>1</v>
      </c>
      <c r="AC20" s="1353">
        <v>1</v>
      </c>
    </row>
    <row r="21" spans="1:29" ht="28.5">
      <c r="A21" s="379"/>
      <c r="B21" s="1131" t="s">
        <v>1259</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686"/>
      <c r="Q21" s="1352" t="str">
        <f>B21</f>
        <v>基础设施水平</v>
      </c>
      <c r="R21" s="705" t="s">
        <v>14</v>
      </c>
      <c r="S21" s="706">
        <f>F21</f>
        <v>100</v>
      </c>
      <c r="T21" s="705" t="s">
        <v>14</v>
      </c>
      <c r="U21" s="706">
        <f>H21</f>
        <v>100</v>
      </c>
      <c r="V21" s="705" t="s">
        <v>14</v>
      </c>
      <c r="W21" s="706">
        <f>J21</f>
        <v>100</v>
      </c>
      <c r="X21" s="1355"/>
      <c r="Y21" s="367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0"/>
      <c r="M22" s="2714"/>
      <c r="N22" s="2714"/>
      <c r="O22" s="2714"/>
      <c r="P22" s="3686"/>
      <c r="Q22" s="1352"/>
      <c r="R22" s="705"/>
      <c r="S22" s="706"/>
      <c r="T22" s="705"/>
      <c r="U22" s="706"/>
      <c r="V22" s="705"/>
      <c r="W22" s="706"/>
      <c r="X22" s="1355"/>
      <c r="Y22" s="3679"/>
      <c r="Z22" s="1356"/>
      <c r="AA22" s="1353">
        <v>1</v>
      </c>
      <c r="AB22" s="1353">
        <v>1</v>
      </c>
      <c r="AC22" s="1353">
        <v>1</v>
      </c>
    </row>
    <row r="23" spans="1:29" ht="42.75">
      <c r="A23" s="379"/>
      <c r="B23" s="402" t="s">
        <v>1260</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686"/>
      <c r="Q23" s="1352" t="str">
        <f>B23</f>
        <v>自然及人文环境</v>
      </c>
      <c r="R23" s="705" t="s">
        <v>18</v>
      </c>
      <c r="S23" s="706">
        <f>F23</f>
        <v>100</v>
      </c>
      <c r="T23" s="705" t="s">
        <v>18</v>
      </c>
      <c r="U23" s="706">
        <f>H23</f>
        <v>100</v>
      </c>
      <c r="V23" s="705" t="s">
        <v>18</v>
      </c>
      <c r="W23" s="706">
        <f>J23</f>
        <v>100</v>
      </c>
      <c r="X23" s="1355"/>
      <c r="Y23" s="3679"/>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0"/>
      <c r="M24" s="2714"/>
      <c r="N24" s="2714"/>
      <c r="O24" s="2714"/>
      <c r="P24" s="3686"/>
      <c r="Q24" s="1352"/>
      <c r="R24" s="705"/>
      <c r="S24" s="706"/>
      <c r="T24" s="705"/>
      <c r="U24" s="706"/>
      <c r="V24" s="705"/>
      <c r="W24" s="706"/>
      <c r="X24" s="1355"/>
      <c r="Y24" s="3679"/>
      <c r="Z24" s="1356"/>
      <c r="AA24" s="1353">
        <v>1</v>
      </c>
      <c r="AB24" s="1353">
        <v>1</v>
      </c>
      <c r="AC24" s="1353">
        <v>1</v>
      </c>
    </row>
    <row r="25" spans="1:29" ht="15">
      <c r="A25" s="379"/>
      <c r="B25" s="375" t="s">
        <v>1691</v>
      </c>
      <c r="C25" s="411"/>
      <c r="D25" s="386">
        <v>100</v>
      </c>
      <c r="E25" s="1906"/>
      <c r="F25" s="386">
        <f>SUMIF(86:86,E25,87:87)-SUMIF(86:86,C25,87:87)+100</f>
        <v>100</v>
      </c>
      <c r="G25" s="1907"/>
      <c r="H25" s="386">
        <f>SUMIF(86:86,G25,87:87)-SUMIF(86:86,C25,87:87)+100</f>
        <v>100</v>
      </c>
      <c r="I25" s="1907"/>
      <c r="J25" s="386">
        <f>SUMIF(86:86,I25,87:87)-SUMIF(86:86,C25,87:87)+100</f>
        <v>100</v>
      </c>
      <c r="K25" s="377"/>
      <c r="L25" s="2720"/>
      <c r="M25" s="2714"/>
      <c r="N25" s="2714"/>
      <c r="O25" s="2714"/>
      <c r="P25" s="3686"/>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79"/>
      <c r="Z25" s="1356" t="str">
        <f>Q25</f>
        <v>楼层-1</v>
      </c>
      <c r="AA25" s="1353">
        <f t="shared" ref="AA25:AA46" si="15">D25/F25</f>
        <v>1</v>
      </c>
      <c r="AB25" s="1353">
        <f t="shared" ref="AB25:AB46" si="16">D25/H25</f>
        <v>1</v>
      </c>
      <c r="AC25" s="1353">
        <f t="shared" ref="AC25:AC46" si="17">D25/J25</f>
        <v>1</v>
      </c>
    </row>
    <row r="26" spans="1:29" ht="15">
      <c r="A26" s="379"/>
      <c r="B26" s="375" t="s">
        <v>1692</v>
      </c>
      <c r="C26" s="411"/>
      <c r="D26" s="386">
        <v>100</v>
      </c>
      <c r="E26" s="1906"/>
      <c r="F26" s="386">
        <f>SUMIF(88:88,E26,89:89)-SUMIF(88:88,C26,89:89)+100</f>
        <v>100</v>
      </c>
      <c r="G26" s="1907"/>
      <c r="H26" s="386">
        <f>SUMIF(88:88,G26,89:89)-SUMIF(88:88,C26,89:89)+100</f>
        <v>100</v>
      </c>
      <c r="I26" s="1907"/>
      <c r="J26" s="386">
        <f>SUMIF(88:88,I26,89:89)-SUMIF(88:88,C26,89:89)+100</f>
        <v>100</v>
      </c>
      <c r="K26" s="377"/>
      <c r="L26" s="2720"/>
      <c r="M26" s="2714"/>
      <c r="N26" s="2714"/>
      <c r="O26" s="2714"/>
      <c r="P26" s="3686"/>
      <c r="Q26" s="1352" t="str">
        <f t="shared" si="11"/>
        <v>朝向</v>
      </c>
      <c r="R26" s="705" t="s">
        <v>18</v>
      </c>
      <c r="S26" s="706">
        <f t="shared" si="12"/>
        <v>100</v>
      </c>
      <c r="T26" s="705" t="s">
        <v>18</v>
      </c>
      <c r="U26" s="706">
        <f t="shared" si="13"/>
        <v>100</v>
      </c>
      <c r="V26" s="705" t="s">
        <v>18</v>
      </c>
      <c r="W26" s="706">
        <f t="shared" si="14"/>
        <v>100</v>
      </c>
      <c r="X26" s="1355"/>
      <c r="Y26" s="3679"/>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5"/>
      <c r="M27" s="2716"/>
      <c r="N27" s="2716"/>
      <c r="O27" s="2716"/>
      <c r="P27" s="3686"/>
      <c r="Q27" s="1343">
        <f t="shared" si="11"/>
        <v>111</v>
      </c>
      <c r="R27" s="701" t="s">
        <v>18</v>
      </c>
      <c r="S27" s="702">
        <f t="shared" si="12"/>
        <v>100</v>
      </c>
      <c r="T27" s="701" t="s">
        <v>18</v>
      </c>
      <c r="U27" s="702">
        <f t="shared" si="13"/>
        <v>100</v>
      </c>
      <c r="V27" s="701" t="s">
        <v>18</v>
      </c>
      <c r="W27" s="702">
        <f t="shared" si="14"/>
        <v>100</v>
      </c>
      <c r="X27" s="703"/>
      <c r="Y27" s="3679"/>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0"/>
      <c r="M28" s="2714"/>
      <c r="N28" s="2714"/>
      <c r="O28" s="2714"/>
      <c r="P28" s="3686"/>
      <c r="Q28" s="1352">
        <f t="shared" si="11"/>
        <v>111</v>
      </c>
      <c r="R28" s="705" t="s">
        <v>18</v>
      </c>
      <c r="S28" s="706">
        <f t="shared" si="12"/>
        <v>100</v>
      </c>
      <c r="T28" s="705" t="s">
        <v>18</v>
      </c>
      <c r="U28" s="706">
        <f t="shared" si="13"/>
        <v>100</v>
      </c>
      <c r="V28" s="705" t="s">
        <v>18</v>
      </c>
      <c r="W28" s="706">
        <f t="shared" si="14"/>
        <v>100</v>
      </c>
      <c r="X28" s="1355"/>
      <c r="Y28" s="3679"/>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0"/>
      <c r="M29" s="2714"/>
      <c r="N29" s="2714"/>
      <c r="O29" s="2714"/>
      <c r="P29" s="3686"/>
      <c r="Q29" s="1352">
        <f t="shared" si="11"/>
        <v>111</v>
      </c>
      <c r="R29" s="705" t="s">
        <v>18</v>
      </c>
      <c r="S29" s="706">
        <f t="shared" si="12"/>
        <v>100</v>
      </c>
      <c r="T29" s="705" t="s">
        <v>18</v>
      </c>
      <c r="U29" s="706">
        <f t="shared" si="13"/>
        <v>100</v>
      </c>
      <c r="V29" s="705" t="s">
        <v>18</v>
      </c>
      <c r="W29" s="706">
        <f t="shared" si="14"/>
        <v>100</v>
      </c>
      <c r="X29" s="1355"/>
      <c r="Y29" s="3679"/>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0"/>
      <c r="M30" s="2714"/>
      <c r="N30" s="2714"/>
      <c r="O30" s="2714"/>
      <c r="P30" s="3686"/>
      <c r="Q30" s="1352">
        <f t="shared" si="11"/>
        <v>111</v>
      </c>
      <c r="R30" s="705" t="s">
        <v>18</v>
      </c>
      <c r="S30" s="706">
        <f t="shared" si="12"/>
        <v>100</v>
      </c>
      <c r="T30" s="705" t="s">
        <v>18</v>
      </c>
      <c r="U30" s="706">
        <f t="shared" si="13"/>
        <v>100</v>
      </c>
      <c r="V30" s="705" t="s">
        <v>18</v>
      </c>
      <c r="W30" s="706">
        <f t="shared" si="14"/>
        <v>100</v>
      </c>
      <c r="X30" s="1355"/>
      <c r="Y30" s="3679"/>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0"/>
      <c r="M31" s="2714"/>
      <c r="N31" s="2714"/>
      <c r="O31" s="2714"/>
      <c r="P31" s="3686"/>
      <c r="Q31" s="1352">
        <f t="shared" si="11"/>
        <v>111</v>
      </c>
      <c r="R31" s="705" t="s">
        <v>18</v>
      </c>
      <c r="S31" s="706">
        <f t="shared" si="12"/>
        <v>100</v>
      </c>
      <c r="T31" s="705" t="s">
        <v>18</v>
      </c>
      <c r="U31" s="706">
        <f t="shared" si="13"/>
        <v>100</v>
      </c>
      <c r="V31" s="705" t="s">
        <v>18</v>
      </c>
      <c r="W31" s="706">
        <f t="shared" si="14"/>
        <v>100</v>
      </c>
      <c r="X31" s="1355"/>
      <c r="Y31" s="3679"/>
      <c r="Z31" s="1356">
        <f t="shared" si="18"/>
        <v>111</v>
      </c>
      <c r="AA31" s="1353">
        <f t="shared" si="15"/>
        <v>1</v>
      </c>
      <c r="AB31" s="1353">
        <f t="shared" si="16"/>
        <v>1</v>
      </c>
      <c r="AC31" s="1353">
        <f t="shared" si="17"/>
        <v>1</v>
      </c>
    </row>
    <row r="32" spans="1:29" ht="15">
      <c r="A32" s="391" t="s">
        <v>1693</v>
      </c>
      <c r="B32" s="63" t="s">
        <v>1694</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0"/>
      <c r="M32" s="2714"/>
      <c r="N32" s="2714"/>
      <c r="O32" s="2714"/>
      <c r="P32" s="3680" t="s">
        <v>1695</v>
      </c>
      <c r="Q32" s="1352" t="str">
        <f t="shared" si="11"/>
        <v>建筑类型</v>
      </c>
      <c r="R32" s="705" t="s">
        <v>18</v>
      </c>
      <c r="S32" s="706">
        <f t="shared" si="12"/>
        <v>100</v>
      </c>
      <c r="T32" s="705" t="s">
        <v>18</v>
      </c>
      <c r="U32" s="706">
        <f t="shared" si="13"/>
        <v>100</v>
      </c>
      <c r="V32" s="705" t="s">
        <v>18</v>
      </c>
      <c r="W32" s="706">
        <f t="shared" si="14"/>
        <v>100</v>
      </c>
      <c r="X32" s="1355"/>
      <c r="Y32" s="3683" t="s">
        <v>1695</v>
      </c>
      <c r="Z32" s="1356" t="str">
        <f t="shared" si="18"/>
        <v>建筑类型</v>
      </c>
      <c r="AA32" s="1353">
        <f t="shared" si="15"/>
        <v>1</v>
      </c>
      <c r="AB32" s="1353">
        <f t="shared" si="16"/>
        <v>1</v>
      </c>
      <c r="AC32" s="1353">
        <f t="shared" si="17"/>
        <v>1</v>
      </c>
    </row>
    <row r="33" spans="1:29" s="422" customFormat="1" ht="15">
      <c r="A33" s="419"/>
      <c r="B33" s="375" t="s">
        <v>1696</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19"/>
      <c r="M33" s="2721"/>
      <c r="N33" s="2721"/>
      <c r="O33" s="2721"/>
      <c r="P33" s="3681"/>
      <c r="Q33" s="707" t="str">
        <f t="shared" si="11"/>
        <v>项目建筑规模</v>
      </c>
      <c r="R33" s="708" t="s">
        <v>18</v>
      </c>
      <c r="S33" s="709" t="e">
        <f t="shared" si="12"/>
        <v>#N/A</v>
      </c>
      <c r="T33" s="708" t="s">
        <v>18</v>
      </c>
      <c r="U33" s="709" t="e">
        <f t="shared" si="13"/>
        <v>#N/A</v>
      </c>
      <c r="V33" s="708" t="s">
        <v>18</v>
      </c>
      <c r="W33" s="709" t="e">
        <f t="shared" si="14"/>
        <v>#N/A</v>
      </c>
      <c r="X33" s="710"/>
      <c r="Y33" s="3683"/>
      <c r="Z33" s="711" t="str">
        <f t="shared" si="18"/>
        <v>项目建筑规模</v>
      </c>
      <c r="AA33" s="1353" t="e">
        <f t="shared" si="15"/>
        <v>#N/A</v>
      </c>
      <c r="AB33" s="1353" t="e">
        <f t="shared" si="16"/>
        <v>#N/A</v>
      </c>
      <c r="AC33" s="1353" t="e">
        <f t="shared" si="17"/>
        <v>#N/A</v>
      </c>
    </row>
    <row r="34" spans="1:29" ht="15">
      <c r="A34" s="423"/>
      <c r="B34" s="375" t="s">
        <v>1697</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0"/>
      <c r="M34" s="2714"/>
      <c r="N34" s="2714"/>
      <c r="O34" s="2714"/>
      <c r="P34" s="3681"/>
      <c r="Q34" s="1352" t="str">
        <f t="shared" si="11"/>
        <v>建筑结构</v>
      </c>
      <c r="R34" s="705" t="s">
        <v>18</v>
      </c>
      <c r="S34" s="706">
        <f t="shared" si="12"/>
        <v>100</v>
      </c>
      <c r="T34" s="705" t="s">
        <v>18</v>
      </c>
      <c r="U34" s="706">
        <f t="shared" si="13"/>
        <v>100</v>
      </c>
      <c r="V34" s="705" t="s">
        <v>18</v>
      </c>
      <c r="W34" s="706">
        <f t="shared" si="14"/>
        <v>100</v>
      </c>
      <c r="X34" s="1355"/>
      <c r="Y34" s="3683"/>
      <c r="Z34" s="1356" t="str">
        <f t="shared" si="18"/>
        <v>建筑结构</v>
      </c>
      <c r="AA34" s="1353">
        <f t="shared" si="15"/>
        <v>1</v>
      </c>
      <c r="AB34" s="1353">
        <f t="shared" si="16"/>
        <v>1</v>
      </c>
      <c r="AC34" s="1353">
        <f t="shared" si="17"/>
        <v>1</v>
      </c>
    </row>
    <row r="35" spans="1:29" ht="15">
      <c r="A35" s="423"/>
      <c r="B35" s="375" t="s">
        <v>1698</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0"/>
      <c r="M35" s="2714"/>
      <c r="N35" s="2714"/>
      <c r="O35" s="2714"/>
      <c r="P35" s="3681"/>
      <c r="Q35" s="1352" t="str">
        <f t="shared" si="11"/>
        <v>建筑品质</v>
      </c>
      <c r="R35" s="705" t="s">
        <v>18</v>
      </c>
      <c r="S35" s="706">
        <f t="shared" si="12"/>
        <v>100</v>
      </c>
      <c r="T35" s="705" t="s">
        <v>18</v>
      </c>
      <c r="U35" s="706">
        <f t="shared" si="13"/>
        <v>100</v>
      </c>
      <c r="V35" s="705" t="s">
        <v>18</v>
      </c>
      <c r="W35" s="706">
        <f t="shared" si="14"/>
        <v>100</v>
      </c>
      <c r="X35" s="1355"/>
      <c r="Y35" s="3683"/>
      <c r="Z35" s="1356" t="str">
        <f t="shared" si="18"/>
        <v>建筑品质</v>
      </c>
      <c r="AA35" s="1353">
        <f t="shared" si="15"/>
        <v>1</v>
      </c>
      <c r="AB35" s="1353">
        <f t="shared" si="16"/>
        <v>1</v>
      </c>
      <c r="AC35" s="1353">
        <f t="shared" si="17"/>
        <v>1</v>
      </c>
    </row>
    <row r="36" spans="1:29" ht="15">
      <c r="A36" s="423"/>
      <c r="B36" s="375" t="s">
        <v>1699</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0"/>
      <c r="M36" s="2714"/>
      <c r="N36" s="2714"/>
      <c r="O36" s="2714"/>
      <c r="P36" s="3681"/>
      <c r="Q36" s="1352" t="str">
        <f t="shared" si="11"/>
        <v>公共部分装修</v>
      </c>
      <c r="R36" s="705" t="s">
        <v>18</v>
      </c>
      <c r="S36" s="706">
        <f t="shared" si="12"/>
        <v>100</v>
      </c>
      <c r="T36" s="705" t="s">
        <v>18</v>
      </c>
      <c r="U36" s="706">
        <f t="shared" si="13"/>
        <v>100</v>
      </c>
      <c r="V36" s="705" t="s">
        <v>18</v>
      </c>
      <c r="W36" s="706">
        <f t="shared" si="14"/>
        <v>100</v>
      </c>
      <c r="X36" s="1355"/>
      <c r="Y36" s="3683"/>
      <c r="Z36" s="1356" t="str">
        <f t="shared" si="18"/>
        <v>公共部分装修</v>
      </c>
      <c r="AA36" s="1353">
        <f t="shared" si="15"/>
        <v>1</v>
      </c>
      <c r="AB36" s="1353">
        <f t="shared" si="16"/>
        <v>1</v>
      </c>
      <c r="AC36" s="1353">
        <f t="shared" si="17"/>
        <v>1</v>
      </c>
    </row>
    <row r="37" spans="1:29" s="108" customFormat="1" ht="15">
      <c r="A37" s="424"/>
      <c r="B37" s="375" t="s">
        <v>1700</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681"/>
      <c r="Q37" s="1343" t="str">
        <f t="shared" si="11"/>
        <v>成新度</v>
      </c>
      <c r="R37" s="701" t="s">
        <v>18</v>
      </c>
      <c r="S37" s="702" t="e">
        <f t="shared" si="12"/>
        <v>#N/A</v>
      </c>
      <c r="T37" s="701" t="s">
        <v>18</v>
      </c>
      <c r="U37" s="702" t="e">
        <f t="shared" si="13"/>
        <v>#N/A</v>
      </c>
      <c r="V37" s="701" t="s">
        <v>18</v>
      </c>
      <c r="W37" s="702" t="e">
        <f t="shared" si="14"/>
        <v>#N/A</v>
      </c>
      <c r="X37" s="703"/>
      <c r="Y37" s="3683"/>
      <c r="Z37" s="52" t="str">
        <f t="shared" si="18"/>
        <v>成新度</v>
      </c>
      <c r="AA37" s="704" t="e">
        <f t="shared" si="15"/>
        <v>#N/A</v>
      </c>
      <c r="AB37" s="704" t="e">
        <f t="shared" si="16"/>
        <v>#N/A</v>
      </c>
      <c r="AC37" s="704" t="e">
        <f t="shared" si="17"/>
        <v>#N/A</v>
      </c>
    </row>
    <row r="38" spans="1:29" ht="15">
      <c r="A38" s="423"/>
      <c r="B38" s="375" t="s">
        <v>1701</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0"/>
      <c r="M38" s="2714"/>
      <c r="N38" s="2714"/>
      <c r="O38" s="2714"/>
      <c r="P38" s="3681" t="s">
        <v>1695</v>
      </c>
      <c r="Q38" s="1352" t="str">
        <f t="shared" si="11"/>
        <v>物业管理</v>
      </c>
      <c r="R38" s="705" t="s">
        <v>18</v>
      </c>
      <c r="S38" s="706">
        <f t="shared" si="12"/>
        <v>100</v>
      </c>
      <c r="T38" s="705" t="s">
        <v>18</v>
      </c>
      <c r="U38" s="706">
        <f t="shared" si="13"/>
        <v>100</v>
      </c>
      <c r="V38" s="705" t="s">
        <v>18</v>
      </c>
      <c r="W38" s="706">
        <f t="shared" si="14"/>
        <v>100</v>
      </c>
      <c r="X38" s="1355"/>
      <c r="Y38" s="3683" t="s">
        <v>1695</v>
      </c>
      <c r="Z38" s="1356" t="str">
        <f t="shared" si="18"/>
        <v>物业管理</v>
      </c>
      <c r="AA38" s="1353">
        <f t="shared" si="15"/>
        <v>1</v>
      </c>
      <c r="AB38" s="1353">
        <f t="shared" si="16"/>
        <v>1</v>
      </c>
      <c r="AC38" s="1353">
        <f t="shared" si="17"/>
        <v>1</v>
      </c>
    </row>
    <row r="39" spans="1:29" ht="15">
      <c r="A39" s="423"/>
      <c r="B39" s="375" t="s">
        <v>1702</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0"/>
      <c r="M39" s="2714"/>
      <c r="N39" s="2714"/>
      <c r="O39" s="2714"/>
      <c r="P39" s="3681"/>
      <c r="Q39" s="1352" t="str">
        <f t="shared" si="11"/>
        <v>市政基础设施</v>
      </c>
      <c r="R39" s="705" t="s">
        <v>18</v>
      </c>
      <c r="S39" s="706">
        <f t="shared" si="12"/>
        <v>100</v>
      </c>
      <c r="T39" s="705" t="s">
        <v>18</v>
      </c>
      <c r="U39" s="706">
        <f t="shared" si="13"/>
        <v>100</v>
      </c>
      <c r="V39" s="705" t="s">
        <v>18</v>
      </c>
      <c r="W39" s="706">
        <f t="shared" si="14"/>
        <v>100</v>
      </c>
      <c r="X39" s="1355"/>
      <c r="Y39" s="3683"/>
      <c r="Z39" s="1356" t="str">
        <f t="shared" si="18"/>
        <v>市政基础设施</v>
      </c>
      <c r="AA39" s="1353">
        <f t="shared" si="15"/>
        <v>1</v>
      </c>
      <c r="AB39" s="1353">
        <f t="shared" si="16"/>
        <v>1</v>
      </c>
      <c r="AC39" s="1353">
        <f t="shared" si="17"/>
        <v>1</v>
      </c>
    </row>
    <row r="40" spans="1:29" ht="15">
      <c r="A40" s="423"/>
      <c r="B40" s="375" t="s">
        <v>1703</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0"/>
      <c r="M40" s="2714"/>
      <c r="N40" s="2714"/>
      <c r="O40" s="2714"/>
      <c r="P40" s="3681"/>
      <c r="Q40" s="1352" t="str">
        <f t="shared" si="11"/>
        <v>房型</v>
      </c>
      <c r="R40" s="705" t="s">
        <v>18</v>
      </c>
      <c r="S40" s="706">
        <f t="shared" si="12"/>
        <v>100</v>
      </c>
      <c r="T40" s="705" t="s">
        <v>18</v>
      </c>
      <c r="U40" s="706">
        <f t="shared" si="13"/>
        <v>100</v>
      </c>
      <c r="V40" s="705" t="s">
        <v>18</v>
      </c>
      <c r="W40" s="706">
        <f t="shared" si="14"/>
        <v>100</v>
      </c>
      <c r="X40" s="1355"/>
      <c r="Y40" s="3683"/>
      <c r="Z40" s="1356" t="str">
        <f t="shared" si="18"/>
        <v>房型</v>
      </c>
      <c r="AA40" s="1353">
        <f t="shared" si="15"/>
        <v>1</v>
      </c>
      <c r="AB40" s="1353">
        <f t="shared" si="16"/>
        <v>1</v>
      </c>
      <c r="AC40" s="1353">
        <f t="shared" si="17"/>
        <v>1</v>
      </c>
    </row>
    <row r="41" spans="1:29" s="422" customFormat="1" ht="28.5">
      <c r="A41" s="419"/>
      <c r="B41" s="375" t="s">
        <v>1704</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19"/>
      <c r="M41" s="2721"/>
      <c r="N41" s="2721"/>
      <c r="O41" s="2721"/>
      <c r="P41" s="3681"/>
      <c r="Q41" s="707" t="str">
        <f t="shared" si="11"/>
        <v>单套/主力户型建筑面积</v>
      </c>
      <c r="R41" s="708" t="s">
        <v>18</v>
      </c>
      <c r="S41" s="709">
        <f t="shared" si="12"/>
        <v>100</v>
      </c>
      <c r="T41" s="708" t="s">
        <v>18</v>
      </c>
      <c r="U41" s="709">
        <f t="shared" si="13"/>
        <v>100</v>
      </c>
      <c r="V41" s="708" t="s">
        <v>18</v>
      </c>
      <c r="W41" s="709">
        <f t="shared" si="14"/>
        <v>100</v>
      </c>
      <c r="X41" s="710"/>
      <c r="Y41" s="3683"/>
      <c r="Z41" s="711" t="str">
        <f t="shared" si="18"/>
        <v>单套/主力户型建筑面积</v>
      </c>
      <c r="AA41" s="1353">
        <f t="shared" si="15"/>
        <v>1</v>
      </c>
      <c r="AB41" s="1353">
        <f t="shared" si="16"/>
        <v>1</v>
      </c>
      <c r="AC41" s="1353">
        <f t="shared" si="17"/>
        <v>1</v>
      </c>
    </row>
    <row r="42" spans="1:29" ht="15">
      <c r="A42" s="423"/>
      <c r="B42" s="375" t="s">
        <v>1705</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0"/>
      <c r="M42" s="2714"/>
      <c r="N42" s="2714"/>
      <c r="O42" s="2714"/>
      <c r="P42" s="3681"/>
      <c r="Q42" s="1352" t="str">
        <f t="shared" si="11"/>
        <v>内部装修</v>
      </c>
      <c r="R42" s="705" t="s">
        <v>18</v>
      </c>
      <c r="S42" s="706">
        <f t="shared" si="12"/>
        <v>100</v>
      </c>
      <c r="T42" s="705" t="s">
        <v>18</v>
      </c>
      <c r="U42" s="706">
        <f t="shared" si="13"/>
        <v>100</v>
      </c>
      <c r="V42" s="705" t="s">
        <v>18</v>
      </c>
      <c r="W42" s="706">
        <f t="shared" si="14"/>
        <v>100</v>
      </c>
      <c r="X42" s="1355"/>
      <c r="Y42" s="3683"/>
      <c r="Z42" s="1356" t="str">
        <f t="shared" si="18"/>
        <v>内部装修</v>
      </c>
      <c r="AA42" s="1353">
        <f t="shared" si="15"/>
        <v>1</v>
      </c>
      <c r="AB42" s="1353">
        <f t="shared" si="16"/>
        <v>1</v>
      </c>
      <c r="AC42" s="1353">
        <f t="shared" si="17"/>
        <v>1</v>
      </c>
    </row>
    <row r="43" spans="1:29" ht="15">
      <c r="A43" s="423"/>
      <c r="B43" s="375" t="s">
        <v>1706</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0"/>
      <c r="M43" s="2714"/>
      <c r="N43" s="2714"/>
      <c r="O43" s="2714"/>
      <c r="P43" s="3681"/>
      <c r="Q43" s="1352" t="str">
        <f t="shared" si="11"/>
        <v>内部装修维护情况</v>
      </c>
      <c r="R43" s="705" t="s">
        <v>18</v>
      </c>
      <c r="S43" s="706">
        <f t="shared" si="12"/>
        <v>100</v>
      </c>
      <c r="T43" s="705" t="s">
        <v>18</v>
      </c>
      <c r="U43" s="706">
        <f t="shared" si="13"/>
        <v>100</v>
      </c>
      <c r="V43" s="705" t="s">
        <v>18</v>
      </c>
      <c r="W43" s="706">
        <f t="shared" si="14"/>
        <v>100</v>
      </c>
      <c r="X43" s="1355"/>
      <c r="Y43" s="3683"/>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5"/>
      <c r="M44" s="2716"/>
      <c r="N44" s="2716"/>
      <c r="O44" s="2716"/>
      <c r="P44" s="3681"/>
      <c r="Q44" s="1343">
        <f t="shared" si="11"/>
        <v>111</v>
      </c>
      <c r="R44" s="701" t="s">
        <v>18</v>
      </c>
      <c r="S44" s="702">
        <f t="shared" si="12"/>
        <v>100</v>
      </c>
      <c r="T44" s="701" t="s">
        <v>18</v>
      </c>
      <c r="U44" s="702">
        <f t="shared" si="13"/>
        <v>100</v>
      </c>
      <c r="V44" s="701" t="s">
        <v>18</v>
      </c>
      <c r="W44" s="702">
        <f t="shared" si="14"/>
        <v>100</v>
      </c>
      <c r="X44" s="703"/>
      <c r="Y44" s="3683"/>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0"/>
      <c r="M45" s="2714"/>
      <c r="N45" s="2714"/>
      <c r="O45" s="2714"/>
      <c r="P45" s="3681"/>
      <c r="Q45" s="1352">
        <f t="shared" si="11"/>
        <v>111</v>
      </c>
      <c r="R45" s="705" t="s">
        <v>18</v>
      </c>
      <c r="S45" s="706">
        <f t="shared" si="12"/>
        <v>100</v>
      </c>
      <c r="T45" s="705" t="s">
        <v>18</v>
      </c>
      <c r="U45" s="706">
        <f t="shared" si="13"/>
        <v>100</v>
      </c>
      <c r="V45" s="705" t="s">
        <v>18</v>
      </c>
      <c r="W45" s="706">
        <f t="shared" si="14"/>
        <v>100</v>
      </c>
      <c r="X45" s="1355"/>
      <c r="Y45" s="3683"/>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0"/>
      <c r="M46" s="2714"/>
      <c r="N46" s="2714"/>
      <c r="O46" s="2714"/>
      <c r="P46" s="3682"/>
      <c r="Q46" s="1352">
        <f t="shared" si="11"/>
        <v>111</v>
      </c>
      <c r="R46" s="705" t="s">
        <v>17</v>
      </c>
      <c r="S46" s="706">
        <f t="shared" si="12"/>
        <v>100</v>
      </c>
      <c r="T46" s="705" t="s">
        <v>17</v>
      </c>
      <c r="U46" s="706">
        <f t="shared" si="13"/>
        <v>100</v>
      </c>
      <c r="V46" s="705" t="s">
        <v>17</v>
      </c>
      <c r="W46" s="706">
        <f t="shared" si="14"/>
        <v>100</v>
      </c>
      <c r="X46" s="1355"/>
      <c r="Y46" s="3684"/>
      <c r="Z46" s="1356">
        <f t="shared" si="18"/>
        <v>111</v>
      </c>
      <c r="AA46" s="1353">
        <f t="shared" si="15"/>
        <v>1</v>
      </c>
      <c r="AB46" s="1353">
        <f t="shared" si="16"/>
        <v>1</v>
      </c>
      <c r="AC46" s="1353">
        <f t="shared" si="17"/>
        <v>1</v>
      </c>
    </row>
    <row r="47" spans="1:29" ht="15">
      <c r="A47" s="430" t="s">
        <v>1707</v>
      </c>
      <c r="B47" s="431"/>
      <c r="C47" s="1154" t="s">
        <v>16</v>
      </c>
      <c r="D47" s="1155"/>
      <c r="E47" s="1156"/>
      <c r="F47" s="1157"/>
      <c r="G47" s="1158"/>
      <c r="H47" s="1159"/>
      <c r="I47" s="1156"/>
      <c r="J47" s="1159"/>
      <c r="K47" s="1914"/>
      <c r="L47" s="2722"/>
      <c r="M47" s="2723"/>
      <c r="N47" s="2714"/>
      <c r="O47" s="2723"/>
      <c r="P47" s="3676" t="str">
        <f>A47</f>
        <v>成交单价（元/平方米）</v>
      </c>
      <c r="Q47" s="3676"/>
      <c r="R47" s="3677">
        <f>E47</f>
        <v>0</v>
      </c>
      <c r="S47" s="3677"/>
      <c r="T47" s="3677">
        <f>G47</f>
        <v>0</v>
      </c>
      <c r="U47" s="3677"/>
      <c r="V47" s="3677">
        <f>I47</f>
        <v>0</v>
      </c>
      <c r="W47" s="3677"/>
      <c r="X47" s="690"/>
      <c r="Y47" s="712"/>
      <c r="Z47" s="690"/>
      <c r="AA47" s="690"/>
      <c r="AB47" s="690"/>
      <c r="AC47" s="690"/>
    </row>
    <row r="48" spans="1:29" ht="15.75" thickBot="1">
      <c r="A48" s="437" t="s">
        <v>1708</v>
      </c>
      <c r="B48" s="438"/>
      <c r="C48" s="1160" t="e">
        <f>R49</f>
        <v>#DIV/0!</v>
      </c>
      <c r="D48" s="2317" t="s">
        <v>2136</v>
      </c>
      <c r="E48" s="1161" t="e">
        <f>R48</f>
        <v>#DIV/0!</v>
      </c>
      <c r="F48" s="2318"/>
      <c r="G48" s="1160" t="e">
        <f>T48</f>
        <v>#DIV/0!</v>
      </c>
      <c r="H48" s="2318"/>
      <c r="I48" s="1161" t="e">
        <f>V48</f>
        <v>#DIV/0!</v>
      </c>
      <c r="J48" s="2318"/>
      <c r="K48" s="2319">
        <f>F48+H48+J48</f>
        <v>0</v>
      </c>
      <c r="L48" s="2722"/>
      <c r="M48" s="2723"/>
      <c r="N48" s="2723"/>
      <c r="O48" s="2723"/>
      <c r="P48" s="3676" t="str">
        <f>A48</f>
        <v>比较价值（元/平方米）</v>
      </c>
      <c r="Q48" s="3676"/>
      <c r="R48" s="3677" t="e">
        <f>IF(F1="售价",ROUND(PRODUCT(R47,AA7:AA46),0),ROUND(PRODUCT(R47,AA7:AA46),1))</f>
        <v>#DIV/0!</v>
      </c>
      <c r="S48" s="3677"/>
      <c r="T48" s="3677" t="e">
        <f>IF(F1="售价",ROUND(PRODUCT(T47,AB7:AB46),0),ROUND(PRODUCT(T47,AB7:AB46),1))</f>
        <v>#DIV/0!</v>
      </c>
      <c r="U48" s="3677"/>
      <c r="V48" s="3677" t="e">
        <f>IF(F1="售价",ROUND(PRODUCT(V47,AC7:AC46),0),ROUND(PRODUCT(V47,AC7:AC46),1))</f>
        <v>#DIV/0!</v>
      </c>
      <c r="W48" s="3677"/>
      <c r="X48" s="690"/>
      <c r="Y48" s="690"/>
      <c r="Z48" s="690"/>
      <c r="AA48" s="690"/>
      <c r="AB48" s="690"/>
      <c r="AC48" s="690"/>
    </row>
    <row r="49" spans="1:29" ht="15.75" thickBot="1">
      <c r="A49" s="441" t="s">
        <v>1709</v>
      </c>
      <c r="B49" s="442"/>
      <c r="C49" s="1162" t="e">
        <f>R49</f>
        <v>#DIV/0!</v>
      </c>
      <c r="D49" s="1163"/>
      <c r="E49" s="1163"/>
      <c r="F49" s="1163"/>
      <c r="G49" s="1163"/>
      <c r="H49" s="1163"/>
      <c r="I49" s="1163"/>
      <c r="J49" s="1163"/>
      <c r="K49" s="1915"/>
      <c r="L49" s="2722"/>
      <c r="M49" s="2723"/>
      <c r="N49" s="2723"/>
      <c r="O49" s="2723"/>
      <c r="P49" s="3673" t="str">
        <f>A49</f>
        <v>估价对象XX用房的比较价值（楼面单价，元/平方米）</v>
      </c>
      <c r="Q49" s="3674"/>
      <c r="R49" s="3675" t="e">
        <f>IF(F1="售价",ROUND(IF(D48="简单平均",AVERAGE(R48:V48),R48*F48+T48*H48+V48*J48),0),ROUND(IF(D48="简单平均",AVERAGE(R48:V48),R48*F48+T48*H48+V48*J48),1))</f>
        <v>#DIV/0!</v>
      </c>
      <c r="S49" s="3675"/>
      <c r="T49" s="3675"/>
      <c r="U49" s="3675"/>
      <c r="V49" s="3675"/>
      <c r="W49" s="3675"/>
      <c r="X49" s="690"/>
      <c r="Y49" s="690"/>
      <c r="Z49" s="690"/>
      <c r="AA49" s="690"/>
      <c r="AB49" s="690"/>
      <c r="AC49" s="690"/>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1710</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1711</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1712</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7"/>
    </row>
    <row r="55" spans="1:29" s="451" customFormat="1">
      <c r="A55" s="2726"/>
      <c r="B55" s="2729"/>
      <c r="C55" s="2730"/>
      <c r="D55" s="2726"/>
      <c r="E55" s="2726"/>
      <c r="F55" s="2726"/>
      <c r="G55" s="2726"/>
      <c r="H55" s="2726"/>
      <c r="I55" s="2726"/>
      <c r="J55" s="2726"/>
      <c r="K55" s="2731"/>
      <c r="L55" s="2725"/>
      <c r="M55" s="2726"/>
      <c r="N55" s="2726"/>
      <c r="O55" s="2726"/>
      <c r="P55" s="1917"/>
    </row>
    <row r="56" spans="1:29">
      <c r="A56" s="2723"/>
      <c r="B56" s="2729"/>
      <c r="C56" s="2730"/>
      <c r="D56" s="2723"/>
      <c r="E56" s="2723"/>
      <c r="F56" s="2723"/>
      <c r="G56" s="2723"/>
      <c r="H56" s="2723"/>
      <c r="I56" s="2723"/>
      <c r="J56" s="2723"/>
      <c r="K56" s="2728"/>
      <c r="L56" s="2724"/>
      <c r="M56" s="2723"/>
      <c r="N56" s="2723"/>
      <c r="O56" s="2723"/>
    </row>
    <row r="57" spans="1:29" ht="21.75" thickBot="1">
      <c r="A57" s="694" t="s">
        <v>1713</v>
      </c>
      <c r="B57" s="690"/>
      <c r="C57" s="695"/>
      <c r="D57" s="695"/>
      <c r="E57" s="695"/>
      <c r="F57" s="696"/>
      <c r="G57" s="696"/>
      <c r="H57" s="695"/>
      <c r="I57" s="695"/>
      <c r="J57" s="695"/>
      <c r="K57" s="941"/>
      <c r="L57" s="942"/>
      <c r="M57" s="940"/>
      <c r="N57" s="940"/>
      <c r="O57" s="940"/>
      <c r="P57" s="1918"/>
      <c r="Q57" s="453"/>
    </row>
    <row r="58" spans="1:29" s="457" customFormat="1" ht="15">
      <c r="A58" s="454" t="s">
        <v>1714</v>
      </c>
      <c r="B58" s="455"/>
      <c r="C58" s="1186" t="str">
        <f>YEAR(C7)&amp;"-"&amp;MONTH(C7)</f>
        <v>2023-4</v>
      </c>
      <c r="D58" s="1185">
        <f>EDATE(C58,-1)</f>
        <v>44986</v>
      </c>
      <c r="E58" s="1185">
        <f>EDATE(D58,-1)</f>
        <v>44958</v>
      </c>
      <c r="F58" s="1185">
        <f t="shared" ref="F58:O58" si="19">EDATE(E58,-1)</f>
        <v>44927</v>
      </c>
      <c r="G58" s="1185">
        <f t="shared" si="19"/>
        <v>44896</v>
      </c>
      <c r="H58" s="1185">
        <f t="shared" si="19"/>
        <v>44866</v>
      </c>
      <c r="I58" s="1185">
        <f t="shared" si="19"/>
        <v>44835</v>
      </c>
      <c r="J58" s="1185">
        <f t="shared" si="19"/>
        <v>44805</v>
      </c>
      <c r="K58" s="1185">
        <f t="shared" si="19"/>
        <v>44774</v>
      </c>
      <c r="L58" s="1185">
        <f t="shared" si="19"/>
        <v>44743</v>
      </c>
      <c r="M58" s="1185">
        <f t="shared" si="19"/>
        <v>44713</v>
      </c>
      <c r="N58" s="1185">
        <f t="shared" si="19"/>
        <v>44682</v>
      </c>
      <c r="O58" s="1185">
        <f t="shared" si="19"/>
        <v>44652</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1715</v>
      </c>
      <c r="B60" s="465"/>
      <c r="C60" s="466"/>
      <c r="D60" s="467"/>
      <c r="E60" s="467"/>
      <c r="F60" s="467"/>
      <c r="G60" s="467"/>
      <c r="H60" s="467"/>
      <c r="I60" s="467"/>
      <c r="J60" s="467"/>
      <c r="K60" s="467"/>
      <c r="L60" s="467"/>
      <c r="M60" s="468"/>
      <c r="N60" s="467"/>
      <c r="O60" s="468"/>
      <c r="P60" s="1920"/>
      <c r="Q60" s="453"/>
    </row>
    <row r="61" spans="1:29" s="108" customFormat="1" ht="15">
      <c r="A61" s="470" t="s">
        <v>1716</v>
      </c>
      <c r="B61" s="459"/>
      <c r="C61" s="471" t="s">
        <v>1717</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1718</v>
      </c>
      <c r="B63" s="477" t="s">
        <v>1684</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1687</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1688</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1689</v>
      </c>
      <c r="B76" s="477" t="s">
        <v>1719</v>
      </c>
      <c r="C76" s="522" t="s">
        <v>1720</v>
      </c>
      <c r="D76" s="522" t="s">
        <v>1721</v>
      </c>
      <c r="E76" s="522" t="s">
        <v>1722</v>
      </c>
      <c r="F76" s="522" t="s">
        <v>1723</v>
      </c>
      <c r="G76" s="522" t="s">
        <v>1724</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1725</v>
      </c>
      <c r="C78" s="527" t="s">
        <v>1720</v>
      </c>
      <c r="D78" s="527" t="s">
        <v>1721</v>
      </c>
      <c r="E78" s="527" t="s">
        <v>1722</v>
      </c>
      <c r="F78" s="527" t="s">
        <v>1723</v>
      </c>
      <c r="G78" s="527" t="s">
        <v>1724</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1726</v>
      </c>
      <c r="C80" s="527" t="s">
        <v>1720</v>
      </c>
      <c r="D80" s="527" t="s">
        <v>1721</v>
      </c>
      <c r="E80" s="527" t="s">
        <v>1722</v>
      </c>
      <c r="F80" s="527" t="s">
        <v>1723</v>
      </c>
      <c r="G80" s="527" t="s">
        <v>1724</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1259</v>
      </c>
      <c r="C82" s="488" t="s">
        <v>1727</v>
      </c>
      <c r="D82" s="488" t="s">
        <v>1728</v>
      </c>
      <c r="E82" s="488" t="s">
        <v>1729</v>
      </c>
      <c r="F82" s="488" t="s">
        <v>1730</v>
      </c>
      <c r="G82" s="488" t="s">
        <v>1731</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1732</v>
      </c>
      <c r="C84" s="527" t="s">
        <v>1720</v>
      </c>
      <c r="D84" s="527" t="s">
        <v>1721</v>
      </c>
      <c r="E84" s="527" t="s">
        <v>1722</v>
      </c>
      <c r="F84" s="527" t="s">
        <v>1723</v>
      </c>
      <c r="G84" s="527" t="s">
        <v>1724</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1733</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1734</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1693</v>
      </c>
      <c r="B100" s="477" t="s">
        <v>1735</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1736</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1737</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1738</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1739</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1189</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1740</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1741</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1742</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1704</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1743</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1744</v>
      </c>
      <c r="C124" s="527" t="s">
        <v>1720</v>
      </c>
      <c r="D124" s="527" t="s">
        <v>1721</v>
      </c>
      <c r="E124" s="527" t="s">
        <v>1722</v>
      </c>
      <c r="F124" s="527" t="s">
        <v>1723</v>
      </c>
      <c r="G124" s="527" t="s">
        <v>1724</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1745</v>
      </c>
    </row>
    <row r="137" spans="1:17" ht="15">
      <c r="B137" s="1930" t="s">
        <v>1746</v>
      </c>
      <c r="C137" s="1931"/>
      <c r="D137" s="1931"/>
      <c r="E137" s="1931"/>
      <c r="F137" s="1931"/>
      <c r="G137" s="1932"/>
      <c r="H137" s="1933"/>
      <c r="I137" s="1934" t="s">
        <v>1747</v>
      </c>
      <c r="J137" s="1931"/>
      <c r="K137" s="1935"/>
    </row>
    <row r="138" spans="1:17" ht="15">
      <c r="B138" s="1936"/>
      <c r="C138" s="137" t="s">
        <v>1748</v>
      </c>
      <c r="D138" s="137" t="s">
        <v>1749</v>
      </c>
      <c r="E138" s="1937" t="s">
        <v>1750</v>
      </c>
      <c r="F138" s="1938" t="s">
        <v>1751</v>
      </c>
      <c r="G138" s="137" t="s">
        <v>1749</v>
      </c>
      <c r="H138" s="138" t="s">
        <v>1750</v>
      </c>
      <c r="I138" s="1939"/>
      <c r="J138" s="137" t="s">
        <v>1752</v>
      </c>
      <c r="K138" s="138" t="s">
        <v>1753</v>
      </c>
    </row>
    <row r="139" spans="1:17" ht="15">
      <c r="B139" s="867">
        <v>6</v>
      </c>
      <c r="C139" s="868">
        <v>96</v>
      </c>
      <c r="D139" s="1940" t="s">
        <v>1754</v>
      </c>
      <c r="E139" s="869">
        <v>100</v>
      </c>
      <c r="F139" s="870">
        <v>102.5</v>
      </c>
      <c r="G139" s="1940" t="s">
        <v>1754</v>
      </c>
      <c r="H139" s="871">
        <v>105</v>
      </c>
      <c r="I139" s="1941" t="s">
        <v>1755</v>
      </c>
      <c r="J139" s="868">
        <v>20</v>
      </c>
      <c r="K139" s="872">
        <f>C145/(J139-2)</f>
        <v>4.0555555555555553E-3</v>
      </c>
    </row>
    <row r="140" spans="1:17" ht="15">
      <c r="B140" s="873">
        <v>5</v>
      </c>
      <c r="C140" s="874">
        <v>100</v>
      </c>
      <c r="D140" s="874"/>
      <c r="E140" s="875"/>
      <c r="F140" s="876">
        <v>102</v>
      </c>
      <c r="G140" s="874"/>
      <c r="H140" s="877"/>
      <c r="I140" s="1942" t="s">
        <v>1756</v>
      </c>
      <c r="J140" s="271">
        <f>ROUNDUP((J139-1)/2,0)</f>
        <v>10</v>
      </c>
      <c r="K140" s="878">
        <v>100</v>
      </c>
    </row>
    <row r="141" spans="1:17" ht="15">
      <c r="B141" s="873">
        <v>4</v>
      </c>
      <c r="C141" s="874">
        <v>102</v>
      </c>
      <c r="D141" s="874"/>
      <c r="E141" s="875"/>
      <c r="F141" s="876">
        <v>101.5</v>
      </c>
      <c r="G141" s="874"/>
      <c r="H141" s="877"/>
      <c r="I141" s="1942" t="s">
        <v>1757</v>
      </c>
      <c r="J141" s="271">
        <v>1</v>
      </c>
      <c r="K141" s="879">
        <f>ROUND(100+(J141-J140)*K139*100,1)</f>
        <v>96.4</v>
      </c>
    </row>
    <row r="142" spans="1:17" ht="15">
      <c r="B142" s="873">
        <v>3</v>
      </c>
      <c r="C142" s="874">
        <v>103</v>
      </c>
      <c r="D142" s="874"/>
      <c r="E142" s="875"/>
      <c r="F142" s="876">
        <v>101</v>
      </c>
      <c r="G142" s="874"/>
      <c r="H142" s="877"/>
      <c r="I142" s="1942" t="s">
        <v>1758</v>
      </c>
      <c r="J142" s="271">
        <f>J139</f>
        <v>20</v>
      </c>
      <c r="K142" s="880">
        <v>95</v>
      </c>
    </row>
    <row r="143" spans="1:17" ht="15">
      <c r="B143" s="873">
        <v>2</v>
      </c>
      <c r="C143" s="874">
        <v>100</v>
      </c>
      <c r="D143" s="874"/>
      <c r="E143" s="875"/>
      <c r="F143" s="876">
        <v>100.5</v>
      </c>
      <c r="G143" s="874"/>
      <c r="H143" s="877"/>
      <c r="I143" s="1942" t="s">
        <v>1759</v>
      </c>
      <c r="J143" s="874">
        <v>15</v>
      </c>
      <c r="K143" s="879">
        <f>ROUND(100+(J143-J140)*K139*100,1)</f>
        <v>102</v>
      </c>
    </row>
    <row r="144" spans="1:17" ht="15">
      <c r="B144" s="873">
        <v>1</v>
      </c>
      <c r="C144" s="874">
        <v>98</v>
      </c>
      <c r="D144" s="1943" t="s">
        <v>1760</v>
      </c>
      <c r="E144" s="875">
        <v>102</v>
      </c>
      <c r="F144" s="881">
        <v>100</v>
      </c>
      <c r="G144" s="1943" t="s">
        <v>1760</v>
      </c>
      <c r="H144" s="877">
        <v>105</v>
      </c>
      <c r="I144" s="1942" t="s">
        <v>1759</v>
      </c>
      <c r="J144" s="874">
        <v>18</v>
      </c>
      <c r="K144" s="879">
        <f>ROUND(100+(J144-J140)*K139*100,1)</f>
        <v>103.2</v>
      </c>
    </row>
    <row r="145" spans="2:11" ht="15.75" thickBot="1">
      <c r="B145" s="1944" t="s">
        <v>1761</v>
      </c>
      <c r="C145" s="882">
        <f>ROUND(MAX(C139:C144)/MIN(C139:C144)-1,3)</f>
        <v>7.2999999999999995E-2</v>
      </c>
      <c r="D145" s="883"/>
      <c r="E145" s="883"/>
      <c r="F145" s="1945" t="s">
        <v>1762</v>
      </c>
      <c r="G145" s="1946"/>
      <c r="H145" s="1947"/>
      <c r="I145" s="1948" t="s">
        <v>1759</v>
      </c>
      <c r="J145" s="884">
        <v>8</v>
      </c>
      <c r="K145" s="885">
        <f>ROUND(100+(J145-J140)*K139*100,1)</f>
        <v>99.2</v>
      </c>
    </row>
    <row r="147" spans="2:11">
      <c r="B147" s="1929" t="s">
        <v>1763</v>
      </c>
    </row>
    <row r="148" spans="2:11">
      <c r="B148" s="1929" t="s">
        <v>1764</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1659</v>
      </c>
      <c r="B1" s="1878" t="s">
        <v>1765</v>
      </c>
      <c r="C1" s="1238" t="s">
        <v>1661</v>
      </c>
      <c r="D1" s="1225"/>
      <c r="E1" s="3424"/>
      <c r="F1" s="1879"/>
      <c r="G1" s="1235" t="s">
        <v>1766</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1461</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1462</v>
      </c>
      <c r="F2" s="1883"/>
      <c r="G2" s="908"/>
      <c r="H2" s="908"/>
      <c r="I2" s="908"/>
      <c r="J2" s="908"/>
      <c r="K2" s="908"/>
      <c r="L2" s="2732"/>
      <c r="M2" s="2733"/>
      <c r="N2" s="2733"/>
      <c r="O2" s="2733"/>
      <c r="P2" s="1952"/>
      <c r="Q2" s="912"/>
      <c r="R2" s="912"/>
      <c r="S2" s="912"/>
      <c r="T2" s="912"/>
      <c r="U2" s="912"/>
      <c r="V2" s="912"/>
      <c r="W2" s="912"/>
      <c r="X2" s="912"/>
      <c r="Y2" s="912"/>
      <c r="Z2" s="912"/>
      <c r="AA2" s="912"/>
      <c r="AB2" s="912"/>
      <c r="AC2" s="1953"/>
    </row>
    <row r="3" spans="1:29" s="352" customFormat="1" ht="28.5" customHeight="1" thickBot="1">
      <c r="A3" s="203" t="s">
        <v>1463</v>
      </c>
      <c r="B3" s="558">
        <f>IF(C2="——",C49,ROUND(B2*10000/D3,0))</f>
        <v>0</v>
      </c>
      <c r="C3" s="354" t="s">
        <v>1767</v>
      </c>
      <c r="D3" s="353">
        <f>IF(D1="",'数据-汇总表'!E3,SUMIF('数据-汇总表'!$C19:$C33,D1,'数据-汇总表'!$E19:$E33))</f>
        <v>34689.100000000006</v>
      </c>
      <c r="E3" s="1954"/>
      <c r="F3" s="909"/>
      <c r="G3" s="908"/>
      <c r="H3" s="908"/>
      <c r="I3" s="908"/>
      <c r="J3" s="908"/>
      <c r="K3" s="910"/>
      <c r="L3" s="2732"/>
      <c r="M3" s="2733"/>
      <c r="N3" s="2733"/>
      <c r="O3" s="2733"/>
      <c r="P3" s="1952"/>
      <c r="Q3" s="912"/>
      <c r="R3" s="912"/>
      <c r="S3" s="912"/>
      <c r="T3" s="912"/>
      <c r="U3" s="912"/>
      <c r="V3" s="912"/>
      <c r="W3" s="912"/>
      <c r="X3" s="912"/>
      <c r="Y3" s="912"/>
      <c r="Z3" s="912"/>
      <c r="AA3" s="912"/>
      <c r="AB3" s="912"/>
      <c r="AC3" s="1954"/>
    </row>
    <row r="4" spans="1:29" ht="15">
      <c r="A4" s="355" t="s">
        <v>1768</v>
      </c>
      <c r="B4" s="356"/>
      <c r="C4" s="3691" t="s">
        <v>1769</v>
      </c>
      <c r="D4" s="3692"/>
      <c r="E4" s="3693" t="s">
        <v>1770</v>
      </c>
      <c r="F4" s="3694"/>
      <c r="G4" s="3691" t="s">
        <v>1771</v>
      </c>
      <c r="H4" s="3692"/>
      <c r="I4" s="3691" t="s">
        <v>1772</v>
      </c>
      <c r="J4" s="3692"/>
      <c r="K4" s="559" t="s">
        <v>1773</v>
      </c>
      <c r="L4" s="2713"/>
      <c r="M4" s="2714"/>
      <c r="N4" s="2714"/>
      <c r="O4" s="2714"/>
      <c r="P4" s="3695" t="s">
        <v>1774</v>
      </c>
      <c r="Q4" s="3696"/>
      <c r="R4" s="3701" t="s">
        <v>1770</v>
      </c>
      <c r="S4" s="3702"/>
      <c r="T4" s="3701" t="s">
        <v>1771</v>
      </c>
      <c r="U4" s="3702"/>
      <c r="V4" s="3707" t="s">
        <v>1772</v>
      </c>
      <c r="W4" s="3707"/>
      <c r="X4" s="1355"/>
      <c r="Y4" s="3701" t="s">
        <v>1774</v>
      </c>
      <c r="Z4" s="3702"/>
      <c r="AA4" s="3688" t="s">
        <v>1770</v>
      </c>
      <c r="AB4" s="3707" t="s">
        <v>1771</v>
      </c>
      <c r="AC4" s="3688" t="s">
        <v>1772</v>
      </c>
    </row>
    <row r="5" spans="1:29" ht="15">
      <c r="A5" s="358"/>
      <c r="B5" s="359"/>
      <c r="C5" s="3710" t="s">
        <v>1672</v>
      </c>
      <c r="D5" s="3711"/>
      <c r="E5" s="3717" t="s">
        <v>1673</v>
      </c>
      <c r="F5" s="3718"/>
      <c r="G5" s="3710" t="s">
        <v>1674</v>
      </c>
      <c r="H5" s="3711"/>
      <c r="I5" s="3710" t="s">
        <v>1675</v>
      </c>
      <c r="J5" s="3711"/>
      <c r="K5" s="559"/>
      <c r="L5" s="2713"/>
      <c r="M5" s="2714"/>
      <c r="N5" s="2714"/>
      <c r="O5" s="2714"/>
      <c r="P5" s="3697"/>
      <c r="Q5" s="3698"/>
      <c r="R5" s="3703"/>
      <c r="S5" s="3704"/>
      <c r="T5" s="3703"/>
      <c r="U5" s="3704"/>
      <c r="V5" s="3707"/>
      <c r="W5" s="3707"/>
      <c r="X5" s="1355"/>
      <c r="Y5" s="3703"/>
      <c r="Z5" s="3704"/>
      <c r="AA5" s="3689"/>
      <c r="AB5" s="3707"/>
      <c r="AC5" s="3689"/>
    </row>
    <row r="6" spans="1:29" ht="15.75" thickBot="1">
      <c r="A6" s="360"/>
      <c r="B6" s="361"/>
      <c r="C6" s="3708" t="s">
        <v>1676</v>
      </c>
      <c r="D6" s="3709"/>
      <c r="E6" s="3715" t="s">
        <v>1676</v>
      </c>
      <c r="F6" s="3716"/>
      <c r="G6" s="3708" t="s">
        <v>1676</v>
      </c>
      <c r="H6" s="3709"/>
      <c r="I6" s="3708" t="s">
        <v>1676</v>
      </c>
      <c r="J6" s="3709"/>
      <c r="K6" s="559" t="s">
        <v>1677</v>
      </c>
      <c r="L6" s="2713"/>
      <c r="M6" s="2714"/>
      <c r="N6" s="2714"/>
      <c r="O6" s="2714"/>
      <c r="P6" s="3699"/>
      <c r="Q6" s="3700"/>
      <c r="R6" s="3703"/>
      <c r="S6" s="3704"/>
      <c r="T6" s="3705"/>
      <c r="U6" s="3706"/>
      <c r="V6" s="3707"/>
      <c r="W6" s="3707"/>
      <c r="X6" s="1355"/>
      <c r="Y6" s="3705"/>
      <c r="Z6" s="3706"/>
      <c r="AA6" s="3690"/>
      <c r="AB6" s="3707"/>
      <c r="AC6" s="3690"/>
    </row>
    <row r="7" spans="1:29" s="108" customFormat="1" ht="15.75" thickBot="1">
      <c r="A7" s="362" t="s">
        <v>1678</v>
      </c>
      <c r="B7" s="363"/>
      <c r="C7" s="364">
        <f>'数据-取费表'!B2</f>
        <v>45044</v>
      </c>
      <c r="D7" s="365">
        <v>100</v>
      </c>
      <c r="E7" s="366"/>
      <c r="F7" s="367">
        <f>SUMIF(58:58,YEAR(E7)&amp;"-"&amp;MONTH(E7),59:59)</f>
        <v>0</v>
      </c>
      <c r="G7" s="366"/>
      <c r="H7" s="365">
        <f>SUMIF(58:58,YEAR(G7)&amp;"-"&amp;MONTH(G7),59:59)</f>
        <v>0</v>
      </c>
      <c r="I7" s="366"/>
      <c r="J7" s="365">
        <f>SUMIF(58:58,YEAR(I7)&amp;"-"&amp;MONTH(I7),59:59)</f>
        <v>0</v>
      </c>
      <c r="K7" s="560"/>
      <c r="L7" s="2715"/>
      <c r="M7" s="2716"/>
      <c r="N7" s="2716"/>
      <c r="O7" s="2716"/>
      <c r="P7" s="3712" t="s">
        <v>1679</v>
      </c>
      <c r="Q7" s="3714"/>
      <c r="R7" s="701" t="s">
        <v>14</v>
      </c>
      <c r="S7" s="702">
        <f t="shared" ref="S7:S15" si="0">F7</f>
        <v>0</v>
      </c>
      <c r="T7" s="701" t="s">
        <v>14</v>
      </c>
      <c r="U7" s="702">
        <f t="shared" ref="U7:U15" si="1">H7</f>
        <v>0</v>
      </c>
      <c r="V7" s="701" t="s">
        <v>14</v>
      </c>
      <c r="W7" s="702">
        <f t="shared" ref="W7:W15" si="2">J7</f>
        <v>0</v>
      </c>
      <c r="X7" s="703"/>
      <c r="Y7" s="3712" t="s">
        <v>1679</v>
      </c>
      <c r="Z7" s="3713"/>
      <c r="AA7" s="704" t="e">
        <f>D7/F7</f>
        <v>#DIV/0!</v>
      </c>
      <c r="AB7" s="704" t="e">
        <f>D7/H7</f>
        <v>#DIV/0!</v>
      </c>
      <c r="AC7" s="704" t="e">
        <f>D7/J7</f>
        <v>#DIV/0!</v>
      </c>
    </row>
    <row r="8" spans="1:29" s="108" customFormat="1" ht="15.75" thickBot="1">
      <c r="A8" s="362" t="s">
        <v>1680</v>
      </c>
      <c r="B8" s="363"/>
      <c r="C8" s="368"/>
      <c r="D8" s="365">
        <v>100</v>
      </c>
      <c r="E8" s="368"/>
      <c r="F8" s="367">
        <f>SUMIF(61:61,E8,62:62)-SUMIF(61:61,C8,62:62)+100</f>
        <v>100</v>
      </c>
      <c r="G8" s="368"/>
      <c r="H8" s="365">
        <f>SUMIF(61:61,G8,62:62)-SUMIF(61:61,C8,62:62)+100</f>
        <v>100</v>
      </c>
      <c r="I8" s="368"/>
      <c r="J8" s="365">
        <f>SUMIF(61:61,I8,62:62)-SUMIF(61:61,C8,62:62)+100</f>
        <v>100</v>
      </c>
      <c r="K8" s="560"/>
      <c r="L8" s="2715"/>
      <c r="M8" s="2716"/>
      <c r="N8" s="2716"/>
      <c r="O8" s="2716"/>
      <c r="P8" s="3712" t="s">
        <v>1682</v>
      </c>
      <c r="Q8" s="3713"/>
      <c r="R8" s="701" t="s">
        <v>14</v>
      </c>
      <c r="S8" s="702">
        <f t="shared" si="0"/>
        <v>100</v>
      </c>
      <c r="T8" s="701" t="s">
        <v>14</v>
      </c>
      <c r="U8" s="702">
        <f t="shared" si="1"/>
        <v>100</v>
      </c>
      <c r="V8" s="701" t="s">
        <v>14</v>
      </c>
      <c r="W8" s="702">
        <f t="shared" si="2"/>
        <v>100</v>
      </c>
      <c r="X8" s="703"/>
      <c r="Y8" s="3712" t="s">
        <v>1682</v>
      </c>
      <c r="Z8" s="3713"/>
      <c r="AA8" s="704">
        <f t="shared" ref="AA8:AA46" si="3">D8/F8</f>
        <v>1</v>
      </c>
      <c r="AB8" s="704">
        <f t="shared" ref="AB8:AB46" si="4">D8/H8</f>
        <v>1</v>
      </c>
      <c r="AC8" s="704">
        <f t="shared" ref="AC8:AC46" si="5">D8/J8</f>
        <v>1</v>
      </c>
    </row>
    <row r="9" spans="1:29" s="108" customFormat="1">
      <c r="A9" s="369" t="s">
        <v>1683</v>
      </c>
      <c r="B9" s="63" t="s">
        <v>1684</v>
      </c>
      <c r="C9" s="370"/>
      <c r="D9" s="126">
        <v>100</v>
      </c>
      <c r="E9" s="371"/>
      <c r="F9" s="372">
        <f>SUMIF(63:63,E9,64:64)-SUMIF(63:63,C9,64:64)+100</f>
        <v>100</v>
      </c>
      <c r="G9" s="371"/>
      <c r="H9" s="126">
        <f>SUMIF(63:63,G9,64:64)-SUMIF(63:63,C9,64:64)+100</f>
        <v>100</v>
      </c>
      <c r="I9" s="371"/>
      <c r="J9" s="126">
        <f>SUMIF(63:63,I9,64:64)-SUMIF(63:63,C9,64:64)+100</f>
        <v>100</v>
      </c>
      <c r="K9" s="560"/>
      <c r="L9" s="2715"/>
      <c r="M9" s="2716"/>
      <c r="N9" s="2716"/>
      <c r="O9" s="2716"/>
      <c r="P9" s="3687" t="s">
        <v>1685</v>
      </c>
      <c r="Q9" s="1343" t="str">
        <f t="shared" ref="Q9:Q15" si="6">B9</f>
        <v>用途</v>
      </c>
      <c r="R9" s="701" t="s">
        <v>14</v>
      </c>
      <c r="S9" s="702">
        <f t="shared" si="0"/>
        <v>100</v>
      </c>
      <c r="T9" s="701" t="s">
        <v>14</v>
      </c>
      <c r="U9" s="702">
        <f t="shared" si="1"/>
        <v>100</v>
      </c>
      <c r="V9" s="701" t="s">
        <v>14</v>
      </c>
      <c r="W9" s="702">
        <f t="shared" si="2"/>
        <v>100</v>
      </c>
      <c r="X9" s="703"/>
      <c r="Y9" s="3551" t="s">
        <v>1686</v>
      </c>
      <c r="Z9" s="52" t="str">
        <f t="shared" ref="Z9:Z15" si="7">Q9</f>
        <v>用途</v>
      </c>
      <c r="AA9" s="704">
        <f t="shared" si="3"/>
        <v>1</v>
      </c>
      <c r="AB9" s="704">
        <f t="shared" si="4"/>
        <v>1</v>
      </c>
      <c r="AC9" s="704">
        <f t="shared" si="5"/>
        <v>1</v>
      </c>
    </row>
    <row r="10" spans="1:29" s="378" customFormat="1" ht="27">
      <c r="A10" s="374"/>
      <c r="B10" s="375" t="s">
        <v>1687</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687"/>
      <c r="Q10" s="1343" t="str">
        <f t="shared" si="6"/>
        <v>土地使用年限（年）</v>
      </c>
      <c r="R10" s="701" t="s">
        <v>14</v>
      </c>
      <c r="S10" s="702">
        <f t="shared" si="0"/>
        <v>100</v>
      </c>
      <c r="T10" s="701" t="s">
        <v>14</v>
      </c>
      <c r="U10" s="702">
        <f t="shared" si="1"/>
        <v>100</v>
      </c>
      <c r="V10" s="701" t="s">
        <v>14</v>
      </c>
      <c r="W10" s="702">
        <f t="shared" si="2"/>
        <v>100</v>
      </c>
      <c r="X10" s="703"/>
      <c r="Y10" s="3551"/>
      <c r="Z10" s="52" t="str">
        <f t="shared" si="7"/>
        <v>土地使用年限（年）</v>
      </c>
      <c r="AA10" s="704">
        <f t="shared" si="3"/>
        <v>1</v>
      </c>
      <c r="AB10" s="704">
        <f t="shared" si="4"/>
        <v>1</v>
      </c>
      <c r="AC10" s="704">
        <f t="shared" si="5"/>
        <v>1</v>
      </c>
    </row>
    <row r="11" spans="1:29" ht="15">
      <c r="A11" s="379"/>
      <c r="B11" s="375" t="s">
        <v>1688</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9"/>
      <c r="M11" s="2714"/>
      <c r="N11" s="2714"/>
      <c r="O11" s="2714"/>
      <c r="P11" s="3687"/>
      <c r="Q11" s="1343" t="str">
        <f t="shared" si="6"/>
        <v>容积率</v>
      </c>
      <c r="R11" s="701" t="s">
        <v>14</v>
      </c>
      <c r="S11" s="702" t="e">
        <f t="shared" si="0"/>
        <v>#N/A</v>
      </c>
      <c r="T11" s="701" t="s">
        <v>14</v>
      </c>
      <c r="U11" s="702" t="e">
        <f t="shared" si="1"/>
        <v>#N/A</v>
      </c>
      <c r="V11" s="701" t="s">
        <v>14</v>
      </c>
      <c r="W11" s="702" t="e">
        <f t="shared" si="2"/>
        <v>#N/A</v>
      </c>
      <c r="X11" s="703"/>
      <c r="Y11" s="3551"/>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687"/>
      <c r="Q12" s="1343">
        <f t="shared" si="6"/>
        <v>111</v>
      </c>
      <c r="R12" s="701" t="s">
        <v>14</v>
      </c>
      <c r="S12" s="702">
        <f t="shared" si="0"/>
        <v>100</v>
      </c>
      <c r="T12" s="701" t="s">
        <v>14</v>
      </c>
      <c r="U12" s="702">
        <f t="shared" si="1"/>
        <v>100</v>
      </c>
      <c r="V12" s="701" t="s">
        <v>14</v>
      </c>
      <c r="W12" s="702">
        <f t="shared" si="2"/>
        <v>100</v>
      </c>
      <c r="X12" s="703"/>
      <c r="Y12" s="355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687"/>
      <c r="Q13" s="1343">
        <f t="shared" si="6"/>
        <v>111</v>
      </c>
      <c r="R13" s="701" t="s">
        <v>14</v>
      </c>
      <c r="S13" s="702">
        <f t="shared" si="0"/>
        <v>100</v>
      </c>
      <c r="T13" s="701" t="s">
        <v>14</v>
      </c>
      <c r="U13" s="702">
        <f t="shared" si="1"/>
        <v>100</v>
      </c>
      <c r="V13" s="701" t="s">
        <v>14</v>
      </c>
      <c r="W13" s="702">
        <f t="shared" si="2"/>
        <v>100</v>
      </c>
      <c r="X13" s="703"/>
      <c r="Y13" s="3551"/>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687"/>
      <c r="Q14" s="1343">
        <f t="shared" si="6"/>
        <v>111</v>
      </c>
      <c r="R14" s="701" t="s">
        <v>14</v>
      </c>
      <c r="S14" s="702">
        <f t="shared" si="0"/>
        <v>100</v>
      </c>
      <c r="T14" s="701" t="s">
        <v>14</v>
      </c>
      <c r="U14" s="702">
        <f t="shared" si="1"/>
        <v>100</v>
      </c>
      <c r="V14" s="701" t="s">
        <v>14</v>
      </c>
      <c r="W14" s="702">
        <f t="shared" si="2"/>
        <v>100</v>
      </c>
      <c r="X14" s="703"/>
      <c r="Y14" s="3551"/>
      <c r="Z14" s="52">
        <f t="shared" si="7"/>
        <v>111</v>
      </c>
      <c r="AA14" s="704">
        <f t="shared" si="3"/>
        <v>1</v>
      </c>
      <c r="AB14" s="704">
        <f t="shared" si="4"/>
        <v>1</v>
      </c>
      <c r="AC14" s="704">
        <f t="shared" si="5"/>
        <v>1</v>
      </c>
    </row>
    <row r="15" spans="1:29" ht="71.25">
      <c r="A15" s="391" t="s">
        <v>1689</v>
      </c>
      <c r="B15" s="61" t="s">
        <v>1776</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685" t="s">
        <v>1690</v>
      </c>
      <c r="Q15" s="1352" t="str">
        <f t="shared" si="6"/>
        <v>商业繁华度</v>
      </c>
      <c r="R15" s="705" t="s">
        <v>14</v>
      </c>
      <c r="S15" s="706">
        <f t="shared" si="0"/>
        <v>100</v>
      </c>
      <c r="T15" s="705" t="s">
        <v>14</v>
      </c>
      <c r="U15" s="706">
        <f t="shared" si="1"/>
        <v>100</v>
      </c>
      <c r="V15" s="705" t="s">
        <v>14</v>
      </c>
      <c r="W15" s="706">
        <f t="shared" si="2"/>
        <v>100</v>
      </c>
      <c r="X15" s="1355"/>
      <c r="Y15" s="3678" t="s">
        <v>1690</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0"/>
      <c r="M16" s="2714"/>
      <c r="N16" s="2714"/>
      <c r="O16" s="2714"/>
      <c r="P16" s="3686"/>
      <c r="Q16" s="1352"/>
      <c r="R16" s="705"/>
      <c r="S16" s="706"/>
      <c r="T16" s="705"/>
      <c r="U16" s="706"/>
      <c r="V16" s="705"/>
      <c r="W16" s="706"/>
      <c r="X16" s="1355"/>
      <c r="Y16" s="3679"/>
      <c r="Z16" s="1356"/>
      <c r="AA16" s="1353">
        <v>1</v>
      </c>
      <c r="AB16" s="1353">
        <v>1</v>
      </c>
      <c r="AC16" s="1353">
        <v>1</v>
      </c>
    </row>
    <row r="17" spans="1:29" ht="85.5">
      <c r="A17" s="379"/>
      <c r="B17" s="402" t="s">
        <v>1258</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686"/>
      <c r="Q17" s="1352" t="str">
        <f>B17</f>
        <v>交通便捷度</v>
      </c>
      <c r="R17" s="705" t="s">
        <v>14</v>
      </c>
      <c r="S17" s="706">
        <f>F17</f>
        <v>100</v>
      </c>
      <c r="T17" s="705" t="s">
        <v>14</v>
      </c>
      <c r="U17" s="706">
        <f>H17</f>
        <v>100</v>
      </c>
      <c r="V17" s="705" t="s">
        <v>14</v>
      </c>
      <c r="W17" s="706">
        <f>J17</f>
        <v>100</v>
      </c>
      <c r="X17" s="1355"/>
      <c r="Y17" s="367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0"/>
      <c r="M18" s="2714"/>
      <c r="N18" s="2714"/>
      <c r="O18" s="2714"/>
      <c r="P18" s="3686"/>
      <c r="Q18" s="1352"/>
      <c r="R18" s="705"/>
      <c r="S18" s="706"/>
      <c r="T18" s="705"/>
      <c r="U18" s="706"/>
      <c r="V18" s="705"/>
      <c r="W18" s="706"/>
      <c r="X18" s="1355"/>
      <c r="Y18" s="3679"/>
      <c r="Z18" s="1356"/>
      <c r="AA18" s="1353">
        <v>1</v>
      </c>
      <c r="AB18" s="1353">
        <v>1</v>
      </c>
      <c r="AC18" s="1353">
        <v>1</v>
      </c>
    </row>
    <row r="19" spans="1:29" ht="42.75">
      <c r="A19" s="379"/>
      <c r="B19" s="402" t="s">
        <v>1777</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686"/>
      <c r="Q19" s="1352" t="str">
        <f>B19</f>
        <v>公共配套设施</v>
      </c>
      <c r="R19" s="705" t="s">
        <v>14</v>
      </c>
      <c r="S19" s="706">
        <f>F19</f>
        <v>100</v>
      </c>
      <c r="T19" s="705" t="s">
        <v>14</v>
      </c>
      <c r="U19" s="706">
        <f>H19</f>
        <v>100</v>
      </c>
      <c r="V19" s="705" t="s">
        <v>14</v>
      </c>
      <c r="W19" s="706">
        <f>J19</f>
        <v>100</v>
      </c>
      <c r="X19" s="1355"/>
      <c r="Y19" s="367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0"/>
      <c r="M20" s="2714"/>
      <c r="N20" s="2714"/>
      <c r="O20" s="2714"/>
      <c r="P20" s="3686"/>
      <c r="Q20" s="1352"/>
      <c r="R20" s="705"/>
      <c r="S20" s="706"/>
      <c r="T20" s="705"/>
      <c r="U20" s="706"/>
      <c r="V20" s="705"/>
      <c r="W20" s="706"/>
      <c r="X20" s="1355"/>
      <c r="Y20" s="3679"/>
      <c r="Z20" s="1356"/>
      <c r="AA20" s="1353">
        <v>1</v>
      </c>
      <c r="AB20" s="1353">
        <v>1</v>
      </c>
      <c r="AC20" s="1353">
        <v>1</v>
      </c>
    </row>
    <row r="21" spans="1:29" ht="28.5">
      <c r="A21" s="379"/>
      <c r="B21" s="1131" t="s">
        <v>1778</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686"/>
      <c r="Q21" s="1352" t="str">
        <f>B21</f>
        <v>基础设施水平</v>
      </c>
      <c r="R21" s="705" t="s">
        <v>14</v>
      </c>
      <c r="S21" s="706">
        <f>F21</f>
        <v>100</v>
      </c>
      <c r="T21" s="705" t="s">
        <v>14</v>
      </c>
      <c r="U21" s="706">
        <f>H21</f>
        <v>100</v>
      </c>
      <c r="V21" s="705" t="s">
        <v>14</v>
      </c>
      <c r="W21" s="706">
        <f>J21</f>
        <v>100</v>
      </c>
      <c r="X21" s="1355"/>
      <c r="Y21" s="367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0"/>
      <c r="M22" s="2714"/>
      <c r="N22" s="2714"/>
      <c r="O22" s="2714"/>
      <c r="P22" s="3686"/>
      <c r="Q22" s="1352"/>
      <c r="R22" s="705"/>
      <c r="S22" s="706"/>
      <c r="T22" s="705"/>
      <c r="U22" s="706"/>
      <c r="V22" s="705"/>
      <c r="W22" s="706"/>
      <c r="X22" s="1355"/>
      <c r="Y22" s="3679"/>
      <c r="Z22" s="1356"/>
      <c r="AA22" s="1353">
        <v>1</v>
      </c>
      <c r="AB22" s="1353">
        <v>1</v>
      </c>
      <c r="AC22" s="1353">
        <v>1</v>
      </c>
    </row>
    <row r="23" spans="1:29" ht="57">
      <c r="A23" s="379"/>
      <c r="B23" s="402" t="s">
        <v>1260</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686"/>
      <c r="Q23" s="1352" t="str">
        <f>B23</f>
        <v>自然及人文环境</v>
      </c>
      <c r="R23" s="705" t="s">
        <v>14</v>
      </c>
      <c r="S23" s="706">
        <f>F23</f>
        <v>100</v>
      </c>
      <c r="T23" s="705" t="s">
        <v>14</v>
      </c>
      <c r="U23" s="706">
        <f>H23</f>
        <v>100</v>
      </c>
      <c r="V23" s="705" t="s">
        <v>14</v>
      </c>
      <c r="W23" s="706">
        <f>J23</f>
        <v>100</v>
      </c>
      <c r="X23" s="1355"/>
      <c r="Y23" s="3679"/>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0"/>
      <c r="M24" s="2714"/>
      <c r="N24" s="2714"/>
      <c r="O24" s="2714"/>
      <c r="P24" s="3686"/>
      <c r="Q24" s="1352"/>
      <c r="R24" s="705"/>
      <c r="S24" s="706"/>
      <c r="T24" s="705"/>
      <c r="U24" s="706"/>
      <c r="V24" s="705"/>
      <c r="W24" s="706"/>
      <c r="X24" s="1355"/>
      <c r="Y24" s="3679"/>
      <c r="Z24" s="1356"/>
      <c r="AA24" s="1353">
        <v>1</v>
      </c>
      <c r="AB24" s="1353">
        <v>1</v>
      </c>
      <c r="AC24" s="1353">
        <v>1</v>
      </c>
    </row>
    <row r="25" spans="1:29" ht="15">
      <c r="A25" s="379"/>
      <c r="B25" s="375" t="s">
        <v>1779</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686"/>
      <c r="Q25" s="1352" t="str">
        <f t="shared" ref="Q25:Q46" si="11">B25</f>
        <v>临街状况</v>
      </c>
      <c r="R25" s="705" t="s">
        <v>14</v>
      </c>
      <c r="S25" s="706">
        <f>F25</f>
        <v>100</v>
      </c>
      <c r="T25" s="705" t="s">
        <v>14</v>
      </c>
      <c r="U25" s="706">
        <f>H25</f>
        <v>100</v>
      </c>
      <c r="V25" s="705" t="s">
        <v>14</v>
      </c>
      <c r="W25" s="706">
        <f>J25</f>
        <v>100</v>
      </c>
      <c r="X25" s="1355"/>
      <c r="Y25" s="3679"/>
      <c r="Z25" s="1356" t="str">
        <f>Q25</f>
        <v>临街状况</v>
      </c>
      <c r="AA25" s="1353">
        <f t="shared" si="3"/>
        <v>1</v>
      </c>
      <c r="AB25" s="1353">
        <f t="shared" si="4"/>
        <v>1</v>
      </c>
      <c r="AC25" s="1353">
        <f t="shared" si="5"/>
        <v>1</v>
      </c>
    </row>
    <row r="26" spans="1:29" ht="15">
      <c r="A26" s="379"/>
      <c r="B26" s="1133" t="s">
        <v>1780</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686"/>
      <c r="Q26" s="1352" t="str">
        <f t="shared" si="11"/>
        <v>平面位置/可视性</v>
      </c>
      <c r="R26" s="705" t="s">
        <v>14</v>
      </c>
      <c r="S26" s="706">
        <f>F26</f>
        <v>100</v>
      </c>
      <c r="T26" s="705" t="s">
        <v>14</v>
      </c>
      <c r="U26" s="706">
        <f>H26</f>
        <v>100</v>
      </c>
      <c r="V26" s="705" t="s">
        <v>14</v>
      </c>
      <c r="W26" s="706">
        <f>J26</f>
        <v>100</v>
      </c>
      <c r="X26" s="1355"/>
      <c r="Y26" s="3679"/>
      <c r="Z26" s="1356" t="str">
        <f>Q26</f>
        <v>平面位置/可视性</v>
      </c>
      <c r="AA26" s="1353">
        <f t="shared" si="3"/>
        <v>1</v>
      </c>
      <c r="AB26" s="1353">
        <f t="shared" si="4"/>
        <v>1</v>
      </c>
      <c r="AC26" s="1353">
        <f t="shared" si="5"/>
        <v>1</v>
      </c>
    </row>
    <row r="27" spans="1:29" s="108" customFormat="1" ht="15">
      <c r="A27" s="382"/>
      <c r="B27" s="402" t="s">
        <v>1781</v>
      </c>
      <c r="C27" s="1956"/>
      <c r="D27" s="413">
        <v>100</v>
      </c>
      <c r="E27" s="1956"/>
      <c r="F27" s="415">
        <f>SUMIF(90:90,E27,91:91)-SUMIF(90:90,C27,91:91)+100</f>
        <v>100</v>
      </c>
      <c r="G27" s="1956"/>
      <c r="H27" s="413">
        <f>SUMIF(90:90,G27,91:91)-SUMIF(90:90,C27,91:91)+100</f>
        <v>100</v>
      </c>
      <c r="I27" s="1956"/>
      <c r="J27" s="413">
        <f>SUMIF(90:90,I27,91:91)-SUMIF(90:90,C27,91:91)+100</f>
        <v>100</v>
      </c>
      <c r="K27" s="561"/>
      <c r="L27" s="2715"/>
      <c r="M27" s="2716"/>
      <c r="N27" s="2716"/>
      <c r="O27" s="2716"/>
      <c r="P27" s="3686"/>
      <c r="Q27" s="1343" t="str">
        <f t="shared" si="11"/>
        <v>人流量</v>
      </c>
      <c r="R27" s="701" t="s">
        <v>14</v>
      </c>
      <c r="S27" s="702">
        <f>F27</f>
        <v>100</v>
      </c>
      <c r="T27" s="701" t="s">
        <v>14</v>
      </c>
      <c r="U27" s="702">
        <f>H27</f>
        <v>100</v>
      </c>
      <c r="V27" s="701" t="s">
        <v>14</v>
      </c>
      <c r="W27" s="702">
        <f>J27</f>
        <v>100</v>
      </c>
      <c r="X27" s="703"/>
      <c r="Y27" s="3679"/>
      <c r="Z27" s="52" t="str">
        <f>Q27</f>
        <v>人流量</v>
      </c>
      <c r="AA27" s="1353">
        <f>D27/F27</f>
        <v>1</v>
      </c>
      <c r="AB27" s="1353">
        <f>D27/H27</f>
        <v>1</v>
      </c>
      <c r="AC27" s="1353">
        <f>D27/J27</f>
        <v>1</v>
      </c>
    </row>
    <row r="28" spans="1:29" ht="15">
      <c r="A28" s="379"/>
      <c r="B28" s="375" t="s">
        <v>1782</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686"/>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79"/>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686"/>
      <c r="Q29" s="1352">
        <f t="shared" si="11"/>
        <v>111</v>
      </c>
      <c r="R29" s="705" t="s">
        <v>14</v>
      </c>
      <c r="S29" s="706">
        <f t="shared" si="12"/>
        <v>100</v>
      </c>
      <c r="T29" s="705" t="s">
        <v>14</v>
      </c>
      <c r="U29" s="706">
        <f t="shared" si="13"/>
        <v>100</v>
      </c>
      <c r="V29" s="705" t="s">
        <v>14</v>
      </c>
      <c r="W29" s="706">
        <f t="shared" si="14"/>
        <v>100</v>
      </c>
      <c r="X29" s="1355"/>
      <c r="Y29" s="3679"/>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686"/>
      <c r="Q30" s="1352">
        <f t="shared" si="11"/>
        <v>111</v>
      </c>
      <c r="R30" s="705" t="s">
        <v>14</v>
      </c>
      <c r="S30" s="706">
        <f t="shared" si="12"/>
        <v>100</v>
      </c>
      <c r="T30" s="705" t="s">
        <v>14</v>
      </c>
      <c r="U30" s="706">
        <f t="shared" si="13"/>
        <v>100</v>
      </c>
      <c r="V30" s="705" t="s">
        <v>14</v>
      </c>
      <c r="W30" s="706">
        <f t="shared" si="14"/>
        <v>100</v>
      </c>
      <c r="X30" s="1355"/>
      <c r="Y30" s="3679"/>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686"/>
      <c r="Q31" s="1352">
        <f t="shared" si="11"/>
        <v>111</v>
      </c>
      <c r="R31" s="705" t="s">
        <v>14</v>
      </c>
      <c r="S31" s="706">
        <f t="shared" si="12"/>
        <v>100</v>
      </c>
      <c r="T31" s="705" t="s">
        <v>14</v>
      </c>
      <c r="U31" s="706">
        <f t="shared" si="13"/>
        <v>100</v>
      </c>
      <c r="V31" s="705" t="s">
        <v>14</v>
      </c>
      <c r="W31" s="706">
        <f t="shared" si="14"/>
        <v>100</v>
      </c>
      <c r="X31" s="1355"/>
      <c r="Y31" s="3679"/>
      <c r="Z31" s="1356">
        <f t="shared" si="15"/>
        <v>111</v>
      </c>
      <c r="AA31" s="1353">
        <f t="shared" si="3"/>
        <v>1</v>
      </c>
      <c r="AB31" s="1353">
        <f t="shared" si="4"/>
        <v>1</v>
      </c>
      <c r="AC31" s="1353">
        <f t="shared" si="5"/>
        <v>1</v>
      </c>
    </row>
    <row r="32" spans="1:29" ht="15">
      <c r="A32" s="391" t="s">
        <v>1693</v>
      </c>
      <c r="B32" s="63" t="s">
        <v>1783</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0"/>
      <c r="M32" s="2714"/>
      <c r="N32" s="2714"/>
      <c r="O32" s="2714"/>
      <c r="P32" s="3680" t="s">
        <v>1695</v>
      </c>
      <c r="Q32" s="1352" t="str">
        <f t="shared" si="11"/>
        <v>商业类型</v>
      </c>
      <c r="R32" s="705" t="s">
        <v>14</v>
      </c>
      <c r="S32" s="706">
        <f t="shared" si="12"/>
        <v>100</v>
      </c>
      <c r="T32" s="705" t="s">
        <v>14</v>
      </c>
      <c r="U32" s="706">
        <f t="shared" si="13"/>
        <v>100</v>
      </c>
      <c r="V32" s="705" t="s">
        <v>14</v>
      </c>
      <c r="W32" s="706">
        <f t="shared" si="14"/>
        <v>100</v>
      </c>
      <c r="X32" s="1355"/>
      <c r="Y32" s="3683" t="s">
        <v>1695</v>
      </c>
      <c r="Z32" s="1356" t="str">
        <f t="shared" si="15"/>
        <v>商业类型</v>
      </c>
      <c r="AA32" s="1353">
        <f t="shared" si="3"/>
        <v>1</v>
      </c>
      <c r="AB32" s="1353">
        <f t="shared" si="4"/>
        <v>1</v>
      </c>
      <c r="AC32" s="1353">
        <f t="shared" si="5"/>
        <v>1</v>
      </c>
    </row>
    <row r="33" spans="1:29" s="422" customFormat="1" ht="15">
      <c r="A33" s="419"/>
      <c r="B33" s="375" t="s">
        <v>1696</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9"/>
      <c r="M33" s="2721"/>
      <c r="N33" s="2721"/>
      <c r="O33" s="2721"/>
      <c r="P33" s="3681"/>
      <c r="Q33" s="707" t="str">
        <f t="shared" si="11"/>
        <v>项目建筑规模</v>
      </c>
      <c r="R33" s="708" t="s">
        <v>14</v>
      </c>
      <c r="S33" s="709" t="e">
        <f t="shared" si="12"/>
        <v>#N/A</v>
      </c>
      <c r="T33" s="708" t="s">
        <v>14</v>
      </c>
      <c r="U33" s="709" t="e">
        <f t="shared" si="13"/>
        <v>#N/A</v>
      </c>
      <c r="V33" s="708" t="s">
        <v>14</v>
      </c>
      <c r="W33" s="709" t="e">
        <f t="shared" si="14"/>
        <v>#N/A</v>
      </c>
      <c r="X33" s="710"/>
      <c r="Y33" s="3683"/>
      <c r="Z33" s="711" t="str">
        <f t="shared" si="15"/>
        <v>项目建筑规模</v>
      </c>
      <c r="AA33" s="1353" t="e">
        <f t="shared" si="3"/>
        <v>#N/A</v>
      </c>
      <c r="AB33" s="1353" t="e">
        <f t="shared" si="4"/>
        <v>#N/A</v>
      </c>
      <c r="AC33" s="1353" t="e">
        <f t="shared" si="5"/>
        <v>#N/A</v>
      </c>
    </row>
    <row r="34" spans="1:29" ht="15">
      <c r="A34" s="423"/>
      <c r="B34" s="375" t="s">
        <v>1697</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0"/>
      <c r="M34" s="2714"/>
      <c r="N34" s="2714"/>
      <c r="O34" s="2714"/>
      <c r="P34" s="3681"/>
      <c r="Q34" s="1352" t="str">
        <f t="shared" si="11"/>
        <v>建筑结构</v>
      </c>
      <c r="R34" s="705" t="s">
        <v>14</v>
      </c>
      <c r="S34" s="706">
        <f t="shared" si="12"/>
        <v>100</v>
      </c>
      <c r="T34" s="705" t="s">
        <v>14</v>
      </c>
      <c r="U34" s="706">
        <f t="shared" si="13"/>
        <v>100</v>
      </c>
      <c r="V34" s="705" t="s">
        <v>14</v>
      </c>
      <c r="W34" s="706">
        <f t="shared" si="14"/>
        <v>100</v>
      </c>
      <c r="X34" s="1355"/>
      <c r="Y34" s="3683"/>
      <c r="Z34" s="1356" t="str">
        <f t="shared" si="15"/>
        <v>建筑结构</v>
      </c>
      <c r="AA34" s="1353">
        <f t="shared" si="3"/>
        <v>1</v>
      </c>
      <c r="AB34" s="1353">
        <f t="shared" si="4"/>
        <v>1</v>
      </c>
      <c r="AC34" s="1353">
        <f t="shared" si="5"/>
        <v>1</v>
      </c>
    </row>
    <row r="35" spans="1:29" ht="15">
      <c r="A35" s="423"/>
      <c r="B35" s="375" t="s">
        <v>1784</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0"/>
      <c r="M35" s="2714"/>
      <c r="N35" s="2714"/>
      <c r="O35" s="2714"/>
      <c r="P35" s="3681"/>
      <c r="Q35" s="1352" t="str">
        <f t="shared" si="11"/>
        <v>公共部分装修</v>
      </c>
      <c r="R35" s="705" t="s">
        <v>14</v>
      </c>
      <c r="S35" s="706">
        <f t="shared" si="12"/>
        <v>100</v>
      </c>
      <c r="T35" s="705" t="s">
        <v>14</v>
      </c>
      <c r="U35" s="706">
        <f t="shared" si="13"/>
        <v>100</v>
      </c>
      <c r="V35" s="705" t="s">
        <v>14</v>
      </c>
      <c r="W35" s="706">
        <f t="shared" si="14"/>
        <v>100</v>
      </c>
      <c r="X35" s="1355"/>
      <c r="Y35" s="3683"/>
      <c r="Z35" s="1356" t="str">
        <f t="shared" si="15"/>
        <v>公共部分装修</v>
      </c>
      <c r="AA35" s="1353">
        <f t="shared" si="3"/>
        <v>1</v>
      </c>
      <c r="AB35" s="1353">
        <f t="shared" si="4"/>
        <v>1</v>
      </c>
      <c r="AC35" s="1353">
        <f t="shared" si="5"/>
        <v>1</v>
      </c>
    </row>
    <row r="36" spans="1:29" ht="15">
      <c r="A36" s="423"/>
      <c r="B36" s="375" t="s">
        <v>1785</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0"/>
      <c r="M36" s="2714"/>
      <c r="N36" s="2714"/>
      <c r="O36" s="2714"/>
      <c r="P36" s="3681"/>
      <c r="Q36" s="1352" t="str">
        <f t="shared" si="11"/>
        <v>成新度</v>
      </c>
      <c r="R36" s="705" t="s">
        <v>14</v>
      </c>
      <c r="S36" s="706" t="e">
        <f t="shared" si="12"/>
        <v>#N/A</v>
      </c>
      <c r="T36" s="705" t="s">
        <v>14</v>
      </c>
      <c r="U36" s="706" t="e">
        <f t="shared" si="13"/>
        <v>#N/A</v>
      </c>
      <c r="V36" s="705" t="s">
        <v>14</v>
      </c>
      <c r="W36" s="706" t="e">
        <f t="shared" si="14"/>
        <v>#N/A</v>
      </c>
      <c r="X36" s="1355"/>
      <c r="Y36" s="3683"/>
      <c r="Z36" s="1356" t="str">
        <f t="shared" si="15"/>
        <v>成新度</v>
      </c>
      <c r="AA36" s="1353" t="e">
        <f t="shared" si="3"/>
        <v>#N/A</v>
      </c>
      <c r="AB36" s="1353" t="e">
        <f t="shared" si="4"/>
        <v>#N/A</v>
      </c>
      <c r="AC36" s="1353" t="e">
        <f t="shared" si="5"/>
        <v>#N/A</v>
      </c>
    </row>
    <row r="37" spans="1:29" s="108" customFormat="1" ht="15">
      <c r="A37" s="424"/>
      <c r="B37" s="375" t="s">
        <v>1786</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5"/>
      <c r="M37" s="2716"/>
      <c r="N37" s="2716"/>
      <c r="O37" s="2716"/>
      <c r="P37" s="3681"/>
      <c r="Q37" s="1343" t="str">
        <f t="shared" si="11"/>
        <v>市政基础设施</v>
      </c>
      <c r="R37" s="701" t="s">
        <v>14</v>
      </c>
      <c r="S37" s="702">
        <f t="shared" si="12"/>
        <v>100</v>
      </c>
      <c r="T37" s="701" t="s">
        <v>14</v>
      </c>
      <c r="U37" s="702">
        <f t="shared" si="13"/>
        <v>100</v>
      </c>
      <c r="V37" s="701" t="s">
        <v>14</v>
      </c>
      <c r="W37" s="702">
        <f t="shared" si="14"/>
        <v>100</v>
      </c>
      <c r="X37" s="703"/>
      <c r="Y37" s="3683"/>
      <c r="Z37" s="52" t="str">
        <f t="shared" si="15"/>
        <v>市政基础设施</v>
      </c>
      <c r="AA37" s="704">
        <f t="shared" si="3"/>
        <v>1</v>
      </c>
      <c r="AB37" s="704">
        <f t="shared" si="4"/>
        <v>1</v>
      </c>
      <c r="AC37" s="704">
        <f t="shared" si="5"/>
        <v>1</v>
      </c>
    </row>
    <row r="38" spans="1:29" ht="15">
      <c r="A38" s="423"/>
      <c r="B38" s="375" t="s">
        <v>1787</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0"/>
      <c r="M38" s="2714"/>
      <c r="N38" s="2714"/>
      <c r="O38" s="2714"/>
      <c r="P38" s="3681" t="s">
        <v>1695</v>
      </c>
      <c r="Q38" s="1352" t="str">
        <f t="shared" si="11"/>
        <v>业态</v>
      </c>
      <c r="R38" s="705" t="s">
        <v>14</v>
      </c>
      <c r="S38" s="706">
        <f t="shared" si="12"/>
        <v>100</v>
      </c>
      <c r="T38" s="705" t="s">
        <v>14</v>
      </c>
      <c r="U38" s="706">
        <f t="shared" si="13"/>
        <v>100</v>
      </c>
      <c r="V38" s="705" t="s">
        <v>14</v>
      </c>
      <c r="W38" s="706">
        <f t="shared" si="14"/>
        <v>100</v>
      </c>
      <c r="X38" s="1355"/>
      <c r="Y38" s="3683" t="s">
        <v>1695</v>
      </c>
      <c r="Z38" s="1356" t="str">
        <f t="shared" si="15"/>
        <v>业态</v>
      </c>
      <c r="AA38" s="1353">
        <f t="shared" si="3"/>
        <v>1</v>
      </c>
      <c r="AB38" s="1353">
        <f t="shared" si="4"/>
        <v>1</v>
      </c>
      <c r="AC38" s="1353">
        <f t="shared" si="5"/>
        <v>1</v>
      </c>
    </row>
    <row r="39" spans="1:29" ht="15">
      <c r="A39" s="423"/>
      <c r="B39" s="375" t="s">
        <v>1788</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0"/>
      <c r="M39" s="2714"/>
      <c r="N39" s="2714"/>
      <c r="O39" s="2714"/>
      <c r="P39" s="3681"/>
      <c r="Q39" s="1352" t="str">
        <f t="shared" si="11"/>
        <v>层高</v>
      </c>
      <c r="R39" s="705" t="s">
        <v>14</v>
      </c>
      <c r="S39" s="706">
        <f t="shared" si="12"/>
        <v>100</v>
      </c>
      <c r="T39" s="705" t="s">
        <v>14</v>
      </c>
      <c r="U39" s="706">
        <f t="shared" si="13"/>
        <v>100</v>
      </c>
      <c r="V39" s="705" t="s">
        <v>14</v>
      </c>
      <c r="W39" s="706">
        <f t="shared" si="14"/>
        <v>100</v>
      </c>
      <c r="X39" s="1355"/>
      <c r="Y39" s="3683"/>
      <c r="Z39" s="1356" t="str">
        <f t="shared" si="15"/>
        <v>层高</v>
      </c>
      <c r="AA39" s="1353">
        <f t="shared" si="3"/>
        <v>1</v>
      </c>
      <c r="AB39" s="1353">
        <f t="shared" si="4"/>
        <v>1</v>
      </c>
      <c r="AC39" s="1353">
        <f t="shared" si="5"/>
        <v>1</v>
      </c>
    </row>
    <row r="40" spans="1:29" ht="15">
      <c r="A40" s="423"/>
      <c r="B40" s="375" t="s">
        <v>1789</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681"/>
      <c r="Q40" s="1352" t="str">
        <f t="shared" si="11"/>
        <v>单套建筑面积</v>
      </c>
      <c r="R40" s="705" t="s">
        <v>14</v>
      </c>
      <c r="S40" s="706">
        <f t="shared" si="12"/>
        <v>100</v>
      </c>
      <c r="T40" s="705" t="s">
        <v>14</v>
      </c>
      <c r="U40" s="706">
        <f t="shared" si="13"/>
        <v>100</v>
      </c>
      <c r="V40" s="705" t="s">
        <v>14</v>
      </c>
      <c r="W40" s="706">
        <f t="shared" si="14"/>
        <v>100</v>
      </c>
      <c r="X40" s="1355"/>
      <c r="Y40" s="3683"/>
      <c r="Z40" s="1356" t="str">
        <f t="shared" si="15"/>
        <v>单套建筑面积</v>
      </c>
      <c r="AA40" s="1353">
        <f t="shared" si="3"/>
        <v>1</v>
      </c>
      <c r="AB40" s="1353">
        <f t="shared" si="4"/>
        <v>1</v>
      </c>
      <c r="AC40" s="1353">
        <f t="shared" si="5"/>
        <v>1</v>
      </c>
    </row>
    <row r="41" spans="1:29" s="422" customFormat="1" ht="15">
      <c r="A41" s="419"/>
      <c r="B41" s="1354" t="s">
        <v>1790</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681"/>
      <c r="Q41" s="707" t="str">
        <f t="shared" si="11"/>
        <v>进深比</v>
      </c>
      <c r="R41" s="708" t="s">
        <v>14</v>
      </c>
      <c r="S41" s="709">
        <f t="shared" si="12"/>
        <v>100</v>
      </c>
      <c r="T41" s="708" t="s">
        <v>14</v>
      </c>
      <c r="U41" s="709">
        <f t="shared" si="13"/>
        <v>100</v>
      </c>
      <c r="V41" s="708" t="s">
        <v>14</v>
      </c>
      <c r="W41" s="709">
        <f t="shared" si="14"/>
        <v>100</v>
      </c>
      <c r="X41" s="710"/>
      <c r="Y41" s="3683"/>
      <c r="Z41" s="711" t="str">
        <f t="shared" si="15"/>
        <v>进深比</v>
      </c>
      <c r="AA41" s="1353">
        <f t="shared" si="3"/>
        <v>1</v>
      </c>
      <c r="AB41" s="1353">
        <f t="shared" si="4"/>
        <v>1</v>
      </c>
      <c r="AC41" s="1353">
        <f t="shared" si="5"/>
        <v>1</v>
      </c>
    </row>
    <row r="42" spans="1:29" ht="15">
      <c r="A42" s="423"/>
      <c r="B42" s="375" t="s">
        <v>1791</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0"/>
      <c r="M42" s="2714"/>
      <c r="N42" s="2714"/>
      <c r="O42" s="2714"/>
      <c r="P42" s="3681"/>
      <c r="Q42" s="1352" t="str">
        <f t="shared" si="11"/>
        <v>内部装修</v>
      </c>
      <c r="R42" s="705" t="s">
        <v>14</v>
      </c>
      <c r="S42" s="706">
        <f t="shared" si="12"/>
        <v>100</v>
      </c>
      <c r="T42" s="705" t="s">
        <v>14</v>
      </c>
      <c r="U42" s="706">
        <f t="shared" si="13"/>
        <v>100</v>
      </c>
      <c r="V42" s="705" t="s">
        <v>14</v>
      </c>
      <c r="W42" s="706">
        <f t="shared" si="14"/>
        <v>100</v>
      </c>
      <c r="X42" s="1355"/>
      <c r="Y42" s="3683"/>
      <c r="Z42" s="1356" t="str">
        <f t="shared" si="15"/>
        <v>内部装修</v>
      </c>
      <c r="AA42" s="1353">
        <f t="shared" si="3"/>
        <v>1</v>
      </c>
      <c r="AB42" s="1353">
        <f t="shared" si="4"/>
        <v>1</v>
      </c>
      <c r="AC42" s="1353">
        <f t="shared" si="5"/>
        <v>1</v>
      </c>
    </row>
    <row r="43" spans="1:29" ht="15">
      <c r="A43" s="423"/>
      <c r="B43" s="375" t="s">
        <v>1706</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0"/>
      <c r="M43" s="2714"/>
      <c r="N43" s="2714"/>
      <c r="O43" s="2714"/>
      <c r="P43" s="3681"/>
      <c r="Q43" s="1352" t="str">
        <f t="shared" si="11"/>
        <v>内部装修维护情况</v>
      </c>
      <c r="R43" s="705" t="s">
        <v>14</v>
      </c>
      <c r="S43" s="706">
        <f t="shared" si="12"/>
        <v>100</v>
      </c>
      <c r="T43" s="705" t="s">
        <v>14</v>
      </c>
      <c r="U43" s="706">
        <f t="shared" si="13"/>
        <v>100</v>
      </c>
      <c r="V43" s="705" t="s">
        <v>14</v>
      </c>
      <c r="W43" s="706">
        <f t="shared" si="14"/>
        <v>100</v>
      </c>
      <c r="X43" s="1355"/>
      <c r="Y43" s="3683"/>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681"/>
      <c r="Q44" s="1343">
        <f t="shared" si="11"/>
        <v>111</v>
      </c>
      <c r="R44" s="701" t="s">
        <v>14</v>
      </c>
      <c r="S44" s="702">
        <f t="shared" si="12"/>
        <v>100</v>
      </c>
      <c r="T44" s="701" t="s">
        <v>14</v>
      </c>
      <c r="U44" s="702">
        <f t="shared" si="13"/>
        <v>100</v>
      </c>
      <c r="V44" s="701" t="s">
        <v>14</v>
      </c>
      <c r="W44" s="702">
        <f t="shared" si="14"/>
        <v>100</v>
      </c>
      <c r="X44" s="703"/>
      <c r="Y44" s="3683"/>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681"/>
      <c r="Q45" s="1352">
        <f t="shared" si="11"/>
        <v>111</v>
      </c>
      <c r="R45" s="705" t="s">
        <v>14</v>
      </c>
      <c r="S45" s="706">
        <f t="shared" si="12"/>
        <v>100</v>
      </c>
      <c r="T45" s="705" t="s">
        <v>14</v>
      </c>
      <c r="U45" s="706">
        <f t="shared" si="13"/>
        <v>100</v>
      </c>
      <c r="V45" s="705" t="s">
        <v>14</v>
      </c>
      <c r="W45" s="706">
        <f t="shared" si="14"/>
        <v>100</v>
      </c>
      <c r="X45" s="1355"/>
      <c r="Y45" s="3683"/>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682"/>
      <c r="Q46" s="1352">
        <f t="shared" si="11"/>
        <v>111</v>
      </c>
      <c r="R46" s="705" t="s">
        <v>14</v>
      </c>
      <c r="S46" s="706">
        <f t="shared" si="12"/>
        <v>100</v>
      </c>
      <c r="T46" s="705" t="s">
        <v>14</v>
      </c>
      <c r="U46" s="706">
        <f t="shared" si="13"/>
        <v>100</v>
      </c>
      <c r="V46" s="705" t="s">
        <v>14</v>
      </c>
      <c r="W46" s="706">
        <f t="shared" si="14"/>
        <v>100</v>
      </c>
      <c r="X46" s="1355"/>
      <c r="Y46" s="3684"/>
      <c r="Z46" s="1356">
        <f t="shared" si="15"/>
        <v>111</v>
      </c>
      <c r="AA46" s="1353">
        <f t="shared" si="3"/>
        <v>1</v>
      </c>
      <c r="AB46" s="1353">
        <f t="shared" si="4"/>
        <v>1</v>
      </c>
      <c r="AC46" s="1353">
        <f t="shared" si="5"/>
        <v>1</v>
      </c>
    </row>
    <row r="47" spans="1:29" ht="15">
      <c r="A47" s="430" t="s">
        <v>1707</v>
      </c>
      <c r="B47" s="431"/>
      <c r="C47" s="1154" t="s">
        <v>0</v>
      </c>
      <c r="D47" s="1155"/>
      <c r="E47" s="1156"/>
      <c r="F47" s="1157"/>
      <c r="G47" s="1158"/>
      <c r="H47" s="1159"/>
      <c r="I47" s="1156"/>
      <c r="J47" s="1159"/>
      <c r="K47" s="714"/>
      <c r="L47" s="2722"/>
      <c r="M47" s="2723"/>
      <c r="N47" s="2714"/>
      <c r="O47" s="2723"/>
      <c r="P47" s="3676" t="str">
        <f>A47</f>
        <v>成交单价（元/平方米）</v>
      </c>
      <c r="Q47" s="3676"/>
      <c r="R47" s="3707">
        <f>E47</f>
        <v>0</v>
      </c>
      <c r="S47" s="3707"/>
      <c r="T47" s="3707">
        <f>G47</f>
        <v>0</v>
      </c>
      <c r="U47" s="3707"/>
      <c r="V47" s="3707">
        <f>I47</f>
        <v>0</v>
      </c>
      <c r="W47" s="3707"/>
      <c r="X47" s="690"/>
      <c r="Y47" s="712"/>
      <c r="Z47" s="690"/>
      <c r="AA47" s="690"/>
      <c r="AB47" s="690"/>
      <c r="AC47" s="690"/>
    </row>
    <row r="48" spans="1:29" ht="15.75" thickBot="1">
      <c r="A48" s="437" t="s">
        <v>1792</v>
      </c>
      <c r="B48" s="438"/>
      <c r="C48" s="1160" t="e">
        <f>R49</f>
        <v>#DIV/0!</v>
      </c>
      <c r="D48" s="2317" t="s">
        <v>2136</v>
      </c>
      <c r="E48" s="1161" t="e">
        <f>R48</f>
        <v>#DIV/0!</v>
      </c>
      <c r="F48" s="2318"/>
      <c r="G48" s="1160" t="e">
        <f>T48</f>
        <v>#DIV/0!</v>
      </c>
      <c r="H48" s="2318"/>
      <c r="I48" s="1161" t="e">
        <f>V48</f>
        <v>#DIV/0!</v>
      </c>
      <c r="J48" s="2318"/>
      <c r="K48" s="2320">
        <f>F48+H48+J48</f>
        <v>0</v>
      </c>
      <c r="L48" s="2722"/>
      <c r="M48" s="2723"/>
      <c r="N48" s="2714"/>
      <c r="O48" s="2723"/>
      <c r="P48" s="3676" t="str">
        <f>A48</f>
        <v>比较价值（元/平方米）</v>
      </c>
      <c r="Q48" s="3676"/>
      <c r="R48" s="3677" t="e">
        <f>IF(F1="售价",ROUND(PRODUCT(R47,AA7:AA46),0),ROUND(PRODUCT(R47,AA7:AA46),1))</f>
        <v>#DIV/0!</v>
      </c>
      <c r="S48" s="3677"/>
      <c r="T48" s="3677" t="e">
        <f>IF(F1="售价",ROUND(PRODUCT(T47,AB7:AB46),0),ROUND(PRODUCT(T47,AB7:AB46),1))</f>
        <v>#DIV/0!</v>
      </c>
      <c r="U48" s="3677"/>
      <c r="V48" s="3677" t="e">
        <f>IF(F1="售价",ROUND(PRODUCT(V47,AC7:AC46),0),ROUND(PRODUCT(V47,AC7:AC46),1))</f>
        <v>#DIV/0!</v>
      </c>
      <c r="W48" s="3677"/>
      <c r="X48" s="690"/>
      <c r="Y48" s="690"/>
      <c r="Z48" s="690"/>
      <c r="AA48" s="690"/>
      <c r="AB48" s="690"/>
      <c r="AC48" s="690"/>
    </row>
    <row r="49" spans="1:29" ht="15.75" thickBot="1">
      <c r="A49" s="441" t="s">
        <v>1793</v>
      </c>
      <c r="B49" s="442"/>
      <c r="C49" s="1163" t="e">
        <f>R49</f>
        <v>#DIV/0!</v>
      </c>
      <c r="D49" s="1163"/>
      <c r="E49" s="1163"/>
      <c r="F49" s="1163"/>
      <c r="G49" s="1163"/>
      <c r="H49" s="1163"/>
      <c r="I49" s="1163"/>
      <c r="J49" s="1163"/>
      <c r="K49" s="715"/>
      <c r="L49" s="2722"/>
      <c r="M49" s="2723"/>
      <c r="N49" s="2714"/>
      <c r="O49" s="2723"/>
      <c r="P49" s="3673" t="str">
        <f>A49</f>
        <v>估价对象XX用房的比较价值（楼面单价，元/平方米）</v>
      </c>
      <c r="Q49" s="3674"/>
      <c r="R49" s="3675" t="e">
        <f>IF(F1="售价",ROUND(IF(D48="简单平均",AVERAGE(R48:V48),R48*F48+T48*H48+V48*J48),0),ROUND(IF(D48="简单平均",AVERAGE(R48:V48),R48*F48+T48*H48+V48*J48),1))</f>
        <v>#DIV/0!</v>
      </c>
      <c r="S49" s="3675"/>
      <c r="T49" s="3675"/>
      <c r="U49" s="3675"/>
      <c r="V49" s="3675"/>
      <c r="W49" s="3675"/>
      <c r="X49" s="690"/>
      <c r="Y49" s="690"/>
      <c r="Z49" s="690"/>
      <c r="AA49" s="690"/>
      <c r="AB49" s="690"/>
      <c r="AC49" s="690"/>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1794</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1795</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1796</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4" t="s">
        <v>1797</v>
      </c>
      <c r="B57" s="690"/>
      <c r="C57" s="695"/>
      <c r="D57" s="695"/>
      <c r="E57" s="695"/>
      <c r="F57" s="696"/>
      <c r="G57" s="696"/>
      <c r="H57" s="695"/>
      <c r="I57" s="695"/>
      <c r="J57" s="695"/>
      <c r="K57" s="697"/>
      <c r="L57" s="942"/>
      <c r="M57" s="940"/>
      <c r="N57" s="940"/>
      <c r="O57" s="940"/>
      <c r="P57" s="2736"/>
      <c r="Q57" s="2737"/>
      <c r="R57" s="2723"/>
      <c r="S57" s="2723"/>
      <c r="T57" s="2723"/>
      <c r="U57" s="2723"/>
      <c r="V57" s="2723"/>
      <c r="W57" s="2723"/>
      <c r="X57" s="2723"/>
      <c r="Y57" s="2723"/>
      <c r="Z57" s="2723"/>
      <c r="AA57" s="2723"/>
      <c r="AB57" s="2723"/>
      <c r="AC57" s="2723"/>
    </row>
    <row r="58" spans="1:29" s="457" customFormat="1" ht="15">
      <c r="A58" s="454" t="s">
        <v>1678</v>
      </c>
      <c r="B58" s="455"/>
      <c r="C58" s="1184" t="str">
        <f>YEAR(C7)&amp;"-"&amp;MONTH(C7)</f>
        <v>2023-4</v>
      </c>
      <c r="D58" s="1185">
        <f>EDATE(C58,-1)</f>
        <v>44986</v>
      </c>
      <c r="E58" s="1185">
        <f t="shared" ref="E58:N58" si="16">EDATE(D58,-1)</f>
        <v>44958</v>
      </c>
      <c r="F58" s="1185">
        <f t="shared" si="16"/>
        <v>44927</v>
      </c>
      <c r="G58" s="1185">
        <f t="shared" si="16"/>
        <v>44896</v>
      </c>
      <c r="H58" s="1185">
        <f t="shared" si="16"/>
        <v>44866</v>
      </c>
      <c r="I58" s="1185">
        <f t="shared" si="16"/>
        <v>44835</v>
      </c>
      <c r="J58" s="1185">
        <f t="shared" si="16"/>
        <v>44805</v>
      </c>
      <c r="K58" s="1185">
        <f t="shared" si="16"/>
        <v>44774</v>
      </c>
      <c r="L58" s="1185">
        <f t="shared" si="16"/>
        <v>44743</v>
      </c>
      <c r="M58" s="1185">
        <f t="shared" si="16"/>
        <v>44713</v>
      </c>
      <c r="N58" s="1185">
        <f t="shared" si="16"/>
        <v>44682</v>
      </c>
      <c r="O58" s="1185">
        <f>EDATE(N58,-1)</f>
        <v>44652</v>
      </c>
      <c r="P58" s="2738"/>
      <c r="Q58" s="2739"/>
      <c r="R58" s="2739"/>
      <c r="S58" s="2739"/>
      <c r="T58" s="2739"/>
      <c r="U58" s="2739"/>
      <c r="V58" s="2739"/>
      <c r="W58" s="2739"/>
      <c r="X58" s="2739"/>
      <c r="Y58" s="2739"/>
      <c r="Z58" s="2739"/>
      <c r="AA58" s="2739"/>
      <c r="AB58" s="2739"/>
      <c r="AC58" s="2739"/>
    </row>
    <row r="59" spans="1:29" s="108" customFormat="1" ht="15">
      <c r="A59" s="458"/>
      <c r="B59" s="459"/>
      <c r="C59" s="1183">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1715</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1680</v>
      </c>
      <c r="B61" s="459"/>
      <c r="C61" s="471" t="s">
        <v>1775</v>
      </c>
      <c r="D61" s="472"/>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1718</v>
      </c>
      <c r="B63" s="477" t="s">
        <v>1684</v>
      </c>
      <c r="C63" s="478">
        <f>C9</f>
        <v>0</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1687</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1688</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1689</v>
      </c>
      <c r="B76" s="477" t="s">
        <v>1719</v>
      </c>
      <c r="C76" s="522" t="s">
        <v>1720</v>
      </c>
      <c r="D76" s="522" t="s">
        <v>1721</v>
      </c>
      <c r="E76" s="522" t="s">
        <v>1722</v>
      </c>
      <c r="F76" s="522" t="s">
        <v>1723</v>
      </c>
      <c r="G76" s="522" t="s">
        <v>1724</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1725</v>
      </c>
      <c r="C78" s="527" t="s">
        <v>1720</v>
      </c>
      <c r="D78" s="527" t="s">
        <v>1721</v>
      </c>
      <c r="E78" s="527" t="s">
        <v>1722</v>
      </c>
      <c r="F78" s="527" t="s">
        <v>1723</v>
      </c>
      <c r="G78" s="527" t="s">
        <v>1724</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1726</v>
      </c>
      <c r="C80" s="527" t="s">
        <v>1720</v>
      </c>
      <c r="D80" s="527" t="s">
        <v>1721</v>
      </c>
      <c r="E80" s="527" t="s">
        <v>1722</v>
      </c>
      <c r="F80" s="527" t="s">
        <v>1723</v>
      </c>
      <c r="G80" s="527" t="s">
        <v>1724</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1778</v>
      </c>
      <c r="C82" s="608" t="s">
        <v>1798</v>
      </c>
      <c r="D82" s="608" t="s">
        <v>1799</v>
      </c>
      <c r="E82" s="608" t="s">
        <v>1800</v>
      </c>
      <c r="F82" s="608" t="s">
        <v>1801</v>
      </c>
      <c r="G82" s="608" t="s">
        <v>1802</v>
      </c>
      <c r="H82" s="488"/>
      <c r="I82" s="488"/>
      <c r="J82" s="488"/>
      <c r="K82" s="488"/>
      <c r="L82" s="488"/>
      <c r="M82" s="1129"/>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1732</v>
      </c>
      <c r="C84" s="527" t="s">
        <v>1720</v>
      </c>
      <c r="D84" s="527" t="s">
        <v>1721</v>
      </c>
      <c r="E84" s="527" t="s">
        <v>1722</v>
      </c>
      <c r="F84" s="527" t="s">
        <v>1723</v>
      </c>
      <c r="G84" s="527" t="s">
        <v>1724</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1803</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503"/>
      <c r="D88" s="503"/>
      <c r="E88" s="503"/>
      <c r="F88" s="1927"/>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8"/>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1693</v>
      </c>
      <c r="B100" s="477" t="s">
        <v>1804</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1736</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c r="D103" s="544"/>
      <c r="E103" s="544"/>
      <c r="F103" s="544"/>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c r="D104" s="485"/>
      <c r="E104" s="485"/>
      <c r="F104" s="485"/>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1737</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1739</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1189</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1741</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1805</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1806</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1807</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1808</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1743</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1744</v>
      </c>
      <c r="C124" s="527" t="s">
        <v>1720</v>
      </c>
      <c r="D124" s="527" t="s">
        <v>1721</v>
      </c>
      <c r="E124" s="527" t="s">
        <v>1722</v>
      </c>
      <c r="F124" s="527" t="s">
        <v>1723</v>
      </c>
      <c r="G124" s="527" t="s">
        <v>1724</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8"/>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1659</v>
      </c>
      <c r="B1" s="1957" t="s">
        <v>1809</v>
      </c>
      <c r="C1" s="1224" t="s">
        <v>1661</v>
      </c>
      <c r="D1" s="1225"/>
      <c r="E1" s="3431"/>
      <c r="F1" s="1879"/>
      <c r="G1" s="1235" t="s">
        <v>1766</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1461</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1462</v>
      </c>
      <c r="F2" s="1883"/>
      <c r="G2" s="908"/>
      <c r="H2" s="908"/>
      <c r="I2" s="908"/>
      <c r="J2" s="908"/>
      <c r="K2" s="908"/>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1463</v>
      </c>
      <c r="B3" s="558">
        <f>IF(C2="——",C50,ROUND(B2*10000/D3,0))</f>
        <v>0</v>
      </c>
      <c r="C3" s="354" t="s">
        <v>1767</v>
      </c>
      <c r="D3" s="353">
        <f>IF(D1="",'数据-汇总表'!E3,SUMIF('数据-汇总表'!$C19:$C33,D1,'数据-汇总表'!$E19:$E33))</f>
        <v>34689.100000000006</v>
      </c>
      <c r="E3" s="1954"/>
      <c r="F3" s="909"/>
      <c r="G3" s="908"/>
      <c r="H3" s="908"/>
      <c r="I3" s="908"/>
      <c r="J3" s="908"/>
      <c r="K3" s="910"/>
      <c r="L3" s="2732"/>
      <c r="M3" s="2733"/>
      <c r="N3" s="2733"/>
      <c r="O3" s="2733"/>
      <c r="P3" s="699"/>
      <c r="Q3" s="699"/>
      <c r="R3" s="699"/>
      <c r="S3" s="699"/>
      <c r="T3" s="699"/>
      <c r="U3" s="699"/>
      <c r="V3" s="699"/>
      <c r="W3" s="699"/>
      <c r="X3" s="699"/>
      <c r="Y3" s="699"/>
      <c r="Z3" s="699"/>
      <c r="AA3" s="699"/>
      <c r="AB3" s="699"/>
      <c r="AC3" s="700"/>
    </row>
    <row r="4" spans="1:29" ht="15">
      <c r="A4" s="355" t="s">
        <v>1768</v>
      </c>
      <c r="B4" s="356"/>
      <c r="C4" s="3691" t="s">
        <v>1769</v>
      </c>
      <c r="D4" s="3692"/>
      <c r="E4" s="3693" t="s">
        <v>1770</v>
      </c>
      <c r="F4" s="3694"/>
      <c r="G4" s="3691" t="s">
        <v>1771</v>
      </c>
      <c r="H4" s="3692"/>
      <c r="I4" s="3691" t="s">
        <v>1772</v>
      </c>
      <c r="J4" s="3692"/>
      <c r="K4" s="559" t="s">
        <v>1773</v>
      </c>
      <c r="L4" s="2713"/>
      <c r="M4" s="2714"/>
      <c r="N4" s="2714"/>
      <c r="O4" s="2714"/>
      <c r="P4" s="3725" t="s">
        <v>1774</v>
      </c>
      <c r="Q4" s="3726"/>
      <c r="R4" s="3729" t="s">
        <v>1770</v>
      </c>
      <c r="S4" s="3730"/>
      <c r="T4" s="3729" t="s">
        <v>1771</v>
      </c>
      <c r="U4" s="3730"/>
      <c r="V4" s="3731" t="s">
        <v>1772</v>
      </c>
      <c r="W4" s="3731"/>
      <c r="X4" s="1958"/>
      <c r="Y4" s="3729" t="s">
        <v>1774</v>
      </c>
      <c r="Z4" s="3730"/>
      <c r="AA4" s="3733" t="s">
        <v>1770</v>
      </c>
      <c r="AB4" s="3733" t="s">
        <v>1771</v>
      </c>
      <c r="AC4" s="3722" t="s">
        <v>1772</v>
      </c>
    </row>
    <row r="5" spans="1:29" ht="15">
      <c r="A5" s="358"/>
      <c r="B5" s="359"/>
      <c r="C5" s="3710" t="s">
        <v>1672</v>
      </c>
      <c r="D5" s="3711"/>
      <c r="E5" s="3717" t="s">
        <v>1673</v>
      </c>
      <c r="F5" s="3718"/>
      <c r="G5" s="3710" t="s">
        <v>1674</v>
      </c>
      <c r="H5" s="3711"/>
      <c r="I5" s="3710" t="s">
        <v>1675</v>
      </c>
      <c r="J5" s="3711"/>
      <c r="K5" s="559"/>
      <c r="L5" s="2713"/>
      <c r="M5" s="2714"/>
      <c r="N5" s="2714"/>
      <c r="O5" s="2714"/>
      <c r="P5" s="3727"/>
      <c r="Q5" s="3698"/>
      <c r="R5" s="3703"/>
      <c r="S5" s="3704"/>
      <c r="T5" s="3703"/>
      <c r="U5" s="3704"/>
      <c r="V5" s="3707"/>
      <c r="W5" s="3707"/>
      <c r="X5" s="1355"/>
      <c r="Y5" s="3703"/>
      <c r="Z5" s="3704"/>
      <c r="AA5" s="3689"/>
      <c r="AB5" s="3689"/>
      <c r="AC5" s="3723"/>
    </row>
    <row r="6" spans="1:29" ht="15.75" thickBot="1">
      <c r="A6" s="360"/>
      <c r="B6" s="361"/>
      <c r="C6" s="3708" t="s">
        <v>1676</v>
      </c>
      <c r="D6" s="3709"/>
      <c r="E6" s="3715" t="s">
        <v>1676</v>
      </c>
      <c r="F6" s="3716"/>
      <c r="G6" s="3708" t="s">
        <v>1676</v>
      </c>
      <c r="H6" s="3709"/>
      <c r="I6" s="3708" t="s">
        <v>1676</v>
      </c>
      <c r="J6" s="3709"/>
      <c r="K6" s="559" t="s">
        <v>1677</v>
      </c>
      <c r="L6" s="2713"/>
      <c r="M6" s="2714"/>
      <c r="N6" s="2714"/>
      <c r="O6" s="2714"/>
      <c r="P6" s="3728"/>
      <c r="Q6" s="3700"/>
      <c r="R6" s="3703"/>
      <c r="S6" s="3704"/>
      <c r="T6" s="3705"/>
      <c r="U6" s="3706"/>
      <c r="V6" s="3707"/>
      <c r="W6" s="3707"/>
      <c r="X6" s="1355"/>
      <c r="Y6" s="3705"/>
      <c r="Z6" s="3706"/>
      <c r="AA6" s="3690"/>
      <c r="AB6" s="3690"/>
      <c r="AC6" s="3724"/>
    </row>
    <row r="7" spans="1:29" s="108" customFormat="1" ht="15.75" thickBot="1">
      <c r="A7" s="362" t="s">
        <v>1678</v>
      </c>
      <c r="B7" s="363"/>
      <c r="C7" s="364">
        <f>'数据-取费表'!B2</f>
        <v>45044</v>
      </c>
      <c r="D7" s="365">
        <v>100</v>
      </c>
      <c r="E7" s="366"/>
      <c r="F7" s="367">
        <f>SUMIF(59:59,YEAR(E7)&amp;"-"&amp;MONTH(E7),60:60)</f>
        <v>0</v>
      </c>
      <c r="G7" s="366"/>
      <c r="H7" s="365">
        <f>SUMIF(59:59,YEAR(G7)&amp;"-"&amp;MONTH(G7),60:60)</f>
        <v>0</v>
      </c>
      <c r="I7" s="366"/>
      <c r="J7" s="365">
        <f>SUMIF(59:59,YEAR(I7)&amp;"-"&amp;MONTH(I7),60:60)</f>
        <v>0</v>
      </c>
      <c r="K7" s="560"/>
      <c r="L7" s="2715"/>
      <c r="M7" s="2716"/>
      <c r="N7" s="2716"/>
      <c r="O7" s="2716"/>
      <c r="P7" s="3732" t="s">
        <v>1679</v>
      </c>
      <c r="Q7" s="3714"/>
      <c r="R7" s="701" t="s">
        <v>14</v>
      </c>
      <c r="S7" s="702">
        <f t="shared" ref="S7:S15" si="0">F7</f>
        <v>0</v>
      </c>
      <c r="T7" s="701" t="s">
        <v>14</v>
      </c>
      <c r="U7" s="702">
        <f t="shared" ref="U7:U15" si="1">H7</f>
        <v>0</v>
      </c>
      <c r="V7" s="701" t="s">
        <v>14</v>
      </c>
      <c r="W7" s="702">
        <f t="shared" ref="W7:W15" si="2">J7</f>
        <v>0</v>
      </c>
      <c r="X7" s="703"/>
      <c r="Y7" s="3712" t="s">
        <v>1679</v>
      </c>
      <c r="Z7" s="3713"/>
      <c r="AA7" s="704" t="e">
        <f>D7/F7</f>
        <v>#DIV/0!</v>
      </c>
      <c r="AB7" s="704" t="e">
        <f>D7/H7</f>
        <v>#DIV/0!</v>
      </c>
      <c r="AC7" s="1959" t="e">
        <f>D7/J7</f>
        <v>#DIV/0!</v>
      </c>
    </row>
    <row r="8" spans="1:29" s="108" customFormat="1" ht="15.75" thickBot="1">
      <c r="A8" s="362" t="s">
        <v>1680</v>
      </c>
      <c r="B8" s="363"/>
      <c r="C8" s="368"/>
      <c r="D8" s="365">
        <v>100</v>
      </c>
      <c r="E8" s="368"/>
      <c r="F8" s="367">
        <f>SUMIF(62:62,E8,63:63)-SUMIF(62:62,C8,63:63)+100</f>
        <v>100</v>
      </c>
      <c r="G8" s="368"/>
      <c r="H8" s="365">
        <f>SUMIF(62:62,G8,63:63)-SUMIF(62:62,C8,63:63)+100</f>
        <v>100</v>
      </c>
      <c r="I8" s="368"/>
      <c r="J8" s="365">
        <f>SUMIF(62:62,I8,63:63)-SUMIF(62:62,C8,63:63)+100</f>
        <v>100</v>
      </c>
      <c r="K8" s="560"/>
      <c r="L8" s="2715"/>
      <c r="M8" s="2716"/>
      <c r="N8" s="2716"/>
      <c r="O8" s="2716"/>
      <c r="P8" s="3732" t="s">
        <v>1682</v>
      </c>
      <c r="Q8" s="3713"/>
      <c r="R8" s="701" t="s">
        <v>14</v>
      </c>
      <c r="S8" s="702">
        <f t="shared" si="0"/>
        <v>100</v>
      </c>
      <c r="T8" s="701" t="s">
        <v>14</v>
      </c>
      <c r="U8" s="702">
        <f t="shared" si="1"/>
        <v>100</v>
      </c>
      <c r="V8" s="701" t="s">
        <v>14</v>
      </c>
      <c r="W8" s="702">
        <f t="shared" si="2"/>
        <v>100</v>
      </c>
      <c r="X8" s="703"/>
      <c r="Y8" s="3712" t="s">
        <v>1682</v>
      </c>
      <c r="Z8" s="3713"/>
      <c r="AA8" s="704">
        <f t="shared" ref="AA8:AA47" si="3">D8/F8</f>
        <v>1</v>
      </c>
      <c r="AB8" s="704">
        <f t="shared" ref="AB8:AB47" si="4">D8/H8</f>
        <v>1</v>
      </c>
      <c r="AC8" s="1959">
        <f t="shared" ref="AC8:AC47" si="5">D8/J8</f>
        <v>1</v>
      </c>
    </row>
    <row r="9" spans="1:29" s="108" customFormat="1">
      <c r="A9" s="369" t="s">
        <v>1683</v>
      </c>
      <c r="B9" s="63" t="s">
        <v>1684</v>
      </c>
      <c r="C9" s="370"/>
      <c r="D9" s="126">
        <v>100</v>
      </c>
      <c r="E9" s="373"/>
      <c r="F9" s="126">
        <f>SUMIF(64:64,E9,65:65)-SUMIF(64:64,C9,65:65)+100</f>
        <v>100</v>
      </c>
      <c r="G9" s="371"/>
      <c r="H9" s="126">
        <f>SUMIF(64:64,G9,65:65)-SUMIF(64:64,C9,65:65)+100</f>
        <v>100</v>
      </c>
      <c r="I9" s="371"/>
      <c r="J9" s="126">
        <f>SUMIF(64:64,I9,65:65)-SUMIF(64:64,C9,65:65)+100</f>
        <v>100</v>
      </c>
      <c r="K9" s="560"/>
      <c r="L9" s="2715"/>
      <c r="M9" s="2716"/>
      <c r="N9" s="2716"/>
      <c r="O9" s="2716"/>
      <c r="P9" s="3687" t="s">
        <v>1685</v>
      </c>
      <c r="Q9" s="1343" t="str">
        <f t="shared" ref="Q9:Q15" si="6">B9</f>
        <v>用途</v>
      </c>
      <c r="R9" s="701" t="s">
        <v>14</v>
      </c>
      <c r="S9" s="702">
        <f t="shared" si="0"/>
        <v>100</v>
      </c>
      <c r="T9" s="701" t="s">
        <v>14</v>
      </c>
      <c r="U9" s="702">
        <f t="shared" si="1"/>
        <v>100</v>
      </c>
      <c r="V9" s="701" t="s">
        <v>14</v>
      </c>
      <c r="W9" s="702">
        <f t="shared" si="2"/>
        <v>100</v>
      </c>
      <c r="X9" s="703"/>
      <c r="Y9" s="3551" t="s">
        <v>1686</v>
      </c>
      <c r="Z9" s="52" t="str">
        <f t="shared" ref="Z9:Z15" si="7">Q9</f>
        <v>用途</v>
      </c>
      <c r="AA9" s="704">
        <f t="shared" si="3"/>
        <v>1</v>
      </c>
      <c r="AB9" s="704">
        <f t="shared" si="4"/>
        <v>1</v>
      </c>
      <c r="AC9" s="1959">
        <f t="shared" si="5"/>
        <v>1</v>
      </c>
    </row>
    <row r="10" spans="1:29" s="378" customFormat="1" ht="27">
      <c r="A10" s="374"/>
      <c r="B10" s="375" t="s">
        <v>1687</v>
      </c>
      <c r="C10" s="3432"/>
      <c r="D10" s="127">
        <v>100</v>
      </c>
      <c r="E10" s="3432"/>
      <c r="F10" s="127">
        <f>SUMIF(66:66,E10,67:67)-SUMIF(66:66,C10,67:67)+100</f>
        <v>100</v>
      </c>
      <c r="G10" s="3433"/>
      <c r="H10" s="127">
        <f>SUMIF(66:66,G10,67:67)-SUMIF(66:66,C10,67:67)+100</f>
        <v>100</v>
      </c>
      <c r="I10" s="3432"/>
      <c r="J10" s="127">
        <f>SUMIF(66:66,I10,67:67)-SUMIF(66:66,C10,67:67)+100</f>
        <v>100</v>
      </c>
      <c r="K10" s="560"/>
      <c r="L10" s="2717"/>
      <c r="M10" s="2718"/>
      <c r="N10" s="2718"/>
      <c r="O10" s="2718"/>
      <c r="P10" s="3687"/>
      <c r="Q10" s="1343" t="str">
        <f t="shared" si="6"/>
        <v>土地使用年限（年）</v>
      </c>
      <c r="R10" s="701" t="s">
        <v>14</v>
      </c>
      <c r="S10" s="702">
        <f t="shared" si="0"/>
        <v>100</v>
      </c>
      <c r="T10" s="701" t="s">
        <v>14</v>
      </c>
      <c r="U10" s="702">
        <f t="shared" si="1"/>
        <v>100</v>
      </c>
      <c r="V10" s="701" t="s">
        <v>14</v>
      </c>
      <c r="W10" s="702">
        <f t="shared" si="2"/>
        <v>100</v>
      </c>
      <c r="X10" s="703"/>
      <c r="Y10" s="3551"/>
      <c r="Z10" s="52" t="str">
        <f t="shared" si="7"/>
        <v>土地使用年限（年）</v>
      </c>
      <c r="AA10" s="704">
        <f t="shared" si="3"/>
        <v>1</v>
      </c>
      <c r="AB10" s="704">
        <f t="shared" si="4"/>
        <v>1</v>
      </c>
      <c r="AC10" s="1959">
        <f t="shared" si="5"/>
        <v>1</v>
      </c>
    </row>
    <row r="11" spans="1:29" ht="15">
      <c r="A11" s="379"/>
      <c r="B11" s="375" t="s">
        <v>1688</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687"/>
      <c r="Q11" s="1343" t="str">
        <f t="shared" si="6"/>
        <v>容积率</v>
      </c>
      <c r="R11" s="701" t="s">
        <v>14</v>
      </c>
      <c r="S11" s="702">
        <f t="shared" si="0"/>
        <v>100</v>
      </c>
      <c r="T11" s="701" t="s">
        <v>14</v>
      </c>
      <c r="U11" s="702">
        <f t="shared" si="1"/>
        <v>100</v>
      </c>
      <c r="V11" s="701" t="s">
        <v>14</v>
      </c>
      <c r="W11" s="702">
        <f t="shared" si="2"/>
        <v>100</v>
      </c>
      <c r="X11" s="703"/>
      <c r="Y11" s="3551"/>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5"/>
      <c r="M12" s="2716"/>
      <c r="N12" s="2716"/>
      <c r="O12" s="2716"/>
      <c r="P12" s="3687"/>
      <c r="Q12" s="1343">
        <f t="shared" si="6"/>
        <v>111</v>
      </c>
      <c r="R12" s="701" t="s">
        <v>14</v>
      </c>
      <c r="S12" s="702">
        <f t="shared" si="0"/>
        <v>100</v>
      </c>
      <c r="T12" s="701" t="s">
        <v>14</v>
      </c>
      <c r="U12" s="702">
        <f t="shared" si="1"/>
        <v>100</v>
      </c>
      <c r="V12" s="701" t="s">
        <v>14</v>
      </c>
      <c r="W12" s="702">
        <f t="shared" si="2"/>
        <v>100</v>
      </c>
      <c r="X12" s="703"/>
      <c r="Y12" s="3551"/>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0"/>
      <c r="M13" s="2714"/>
      <c r="N13" s="2714"/>
      <c r="O13" s="2714"/>
      <c r="P13" s="3687"/>
      <c r="Q13" s="1343">
        <f t="shared" si="6"/>
        <v>111</v>
      </c>
      <c r="R13" s="701" t="s">
        <v>14</v>
      </c>
      <c r="S13" s="702">
        <f t="shared" si="0"/>
        <v>100</v>
      </c>
      <c r="T13" s="701" t="s">
        <v>14</v>
      </c>
      <c r="U13" s="702">
        <f t="shared" si="1"/>
        <v>100</v>
      </c>
      <c r="V13" s="701" t="s">
        <v>14</v>
      </c>
      <c r="W13" s="702">
        <f t="shared" si="2"/>
        <v>100</v>
      </c>
      <c r="X13" s="703"/>
      <c r="Y13" s="3551"/>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0"/>
      <c r="M14" s="2714"/>
      <c r="N14" s="2714"/>
      <c r="O14" s="2714"/>
      <c r="P14" s="3687"/>
      <c r="Q14" s="1343">
        <f t="shared" si="6"/>
        <v>111</v>
      </c>
      <c r="R14" s="701" t="s">
        <v>14</v>
      </c>
      <c r="S14" s="702">
        <f t="shared" si="0"/>
        <v>100</v>
      </c>
      <c r="T14" s="701" t="s">
        <v>14</v>
      </c>
      <c r="U14" s="702">
        <f t="shared" si="1"/>
        <v>100</v>
      </c>
      <c r="V14" s="701" t="s">
        <v>14</v>
      </c>
      <c r="W14" s="702">
        <f t="shared" si="2"/>
        <v>100</v>
      </c>
      <c r="X14" s="703"/>
      <c r="Y14" s="3551"/>
      <c r="Z14" s="52">
        <f t="shared" si="7"/>
        <v>111</v>
      </c>
      <c r="AA14" s="704">
        <f t="shared" si="3"/>
        <v>1</v>
      </c>
      <c r="AB14" s="704">
        <f t="shared" si="4"/>
        <v>1</v>
      </c>
      <c r="AC14" s="1959">
        <f t="shared" si="5"/>
        <v>1</v>
      </c>
    </row>
    <row r="15" spans="1:29" ht="71.25">
      <c r="A15" s="391" t="s">
        <v>1689</v>
      </c>
      <c r="B15" s="577" t="s">
        <v>1810</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0"/>
      <c r="M15" s="2714"/>
      <c r="N15" s="2714"/>
      <c r="O15" s="2714"/>
      <c r="P15" s="3685" t="s">
        <v>1690</v>
      </c>
      <c r="Q15" s="1352" t="str">
        <f t="shared" si="6"/>
        <v>办公集聚程度</v>
      </c>
      <c r="R15" s="705" t="s">
        <v>14</v>
      </c>
      <c r="S15" s="706">
        <f t="shared" si="0"/>
        <v>100</v>
      </c>
      <c r="T15" s="705" t="s">
        <v>14</v>
      </c>
      <c r="U15" s="706">
        <f t="shared" si="1"/>
        <v>100</v>
      </c>
      <c r="V15" s="705" t="s">
        <v>14</v>
      </c>
      <c r="W15" s="706">
        <f t="shared" si="2"/>
        <v>100</v>
      </c>
      <c r="X15" s="1355"/>
      <c r="Y15" s="3678" t="s">
        <v>1690</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0"/>
      <c r="M16" s="2714"/>
      <c r="N16" s="2714"/>
      <c r="O16" s="2714"/>
      <c r="P16" s="3686"/>
      <c r="Q16" s="1352"/>
      <c r="R16" s="705"/>
      <c r="S16" s="706"/>
      <c r="T16" s="705"/>
      <c r="U16" s="706"/>
      <c r="V16" s="705"/>
      <c r="W16" s="706"/>
      <c r="X16" s="1355"/>
      <c r="Y16" s="3679"/>
      <c r="Z16" s="1356"/>
      <c r="AA16" s="1353">
        <v>1</v>
      </c>
      <c r="AB16" s="1353">
        <v>1</v>
      </c>
      <c r="AC16" s="1962">
        <v>1</v>
      </c>
    </row>
    <row r="17" spans="1:29" ht="71.25">
      <c r="A17" s="379"/>
      <c r="B17" s="579" t="s">
        <v>1258</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0"/>
      <c r="M17" s="2714"/>
      <c r="N17" s="2714"/>
      <c r="O17" s="2714"/>
      <c r="P17" s="3686"/>
      <c r="Q17" s="1352" t="str">
        <f>B17</f>
        <v>交通便捷度</v>
      </c>
      <c r="R17" s="705" t="s">
        <v>14</v>
      </c>
      <c r="S17" s="706">
        <f>F17</f>
        <v>100</v>
      </c>
      <c r="T17" s="705" t="s">
        <v>14</v>
      </c>
      <c r="U17" s="706">
        <f>H17</f>
        <v>100</v>
      </c>
      <c r="V17" s="705" t="s">
        <v>14</v>
      </c>
      <c r="W17" s="706">
        <f>J17</f>
        <v>100</v>
      </c>
      <c r="X17" s="1355"/>
      <c r="Y17" s="3679"/>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0"/>
      <c r="M18" s="2714"/>
      <c r="N18" s="2714"/>
      <c r="O18" s="2714"/>
      <c r="P18" s="3686"/>
      <c r="Q18" s="1352"/>
      <c r="R18" s="705"/>
      <c r="S18" s="706"/>
      <c r="T18" s="705"/>
      <c r="U18" s="706"/>
      <c r="V18" s="705"/>
      <c r="W18" s="706"/>
      <c r="X18" s="1355"/>
      <c r="Y18" s="3679"/>
      <c r="Z18" s="1356"/>
      <c r="AA18" s="1353">
        <v>1</v>
      </c>
      <c r="AB18" s="1353">
        <v>1</v>
      </c>
      <c r="AC18" s="1962">
        <v>1</v>
      </c>
    </row>
    <row r="19" spans="1:29" ht="42.75">
      <c r="A19" s="379"/>
      <c r="B19" s="579" t="s">
        <v>1811</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0"/>
      <c r="M19" s="2714"/>
      <c r="N19" s="2714"/>
      <c r="O19" s="2714"/>
      <c r="P19" s="3686"/>
      <c r="Q19" s="1352" t="str">
        <f>B19</f>
        <v>公共配套设施</v>
      </c>
      <c r="R19" s="705" t="s">
        <v>14</v>
      </c>
      <c r="S19" s="706">
        <f>F19</f>
        <v>100</v>
      </c>
      <c r="T19" s="705" t="s">
        <v>14</v>
      </c>
      <c r="U19" s="706">
        <f>H19</f>
        <v>100</v>
      </c>
      <c r="V19" s="705" t="s">
        <v>14</v>
      </c>
      <c r="W19" s="706">
        <f>J19</f>
        <v>100</v>
      </c>
      <c r="X19" s="1355"/>
      <c r="Y19" s="3679"/>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0"/>
      <c r="M20" s="2714"/>
      <c r="N20" s="2714"/>
      <c r="O20" s="2714"/>
      <c r="P20" s="3686"/>
      <c r="Q20" s="1352"/>
      <c r="R20" s="705"/>
      <c r="S20" s="706"/>
      <c r="T20" s="705"/>
      <c r="U20" s="706"/>
      <c r="V20" s="705"/>
      <c r="W20" s="706"/>
      <c r="X20" s="1355"/>
      <c r="Y20" s="3679"/>
      <c r="Z20" s="1356"/>
      <c r="AA20" s="1353">
        <v>1</v>
      </c>
      <c r="AB20" s="1353">
        <v>1</v>
      </c>
      <c r="AC20" s="1962">
        <v>1</v>
      </c>
    </row>
    <row r="21" spans="1:29" ht="28.5">
      <c r="A21" s="379"/>
      <c r="B21" s="581" t="s">
        <v>1812</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0"/>
      <c r="M21" s="2714"/>
      <c r="N21" s="2714"/>
      <c r="O21" s="2714"/>
      <c r="P21" s="3686"/>
      <c r="Q21" s="1352" t="str">
        <f>B21</f>
        <v>基础设施水平</v>
      </c>
      <c r="R21" s="705" t="s">
        <v>14</v>
      </c>
      <c r="S21" s="706">
        <f>F21</f>
        <v>100</v>
      </c>
      <c r="T21" s="705" t="s">
        <v>14</v>
      </c>
      <c r="U21" s="706">
        <f>H21</f>
        <v>100</v>
      </c>
      <c r="V21" s="705" t="s">
        <v>14</v>
      </c>
      <c r="W21" s="706">
        <f>J21</f>
        <v>100</v>
      </c>
      <c r="X21" s="1355"/>
      <c r="Y21" s="3679"/>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0"/>
      <c r="M22" s="2714"/>
      <c r="N22" s="2714"/>
      <c r="O22" s="2714"/>
      <c r="P22" s="3686"/>
      <c r="Q22" s="1352"/>
      <c r="R22" s="705"/>
      <c r="S22" s="706"/>
      <c r="T22" s="705"/>
      <c r="U22" s="706"/>
      <c r="V22" s="705"/>
      <c r="W22" s="706"/>
      <c r="X22" s="1355"/>
      <c r="Y22" s="3679"/>
      <c r="Z22" s="1356"/>
      <c r="AA22" s="1353">
        <v>1</v>
      </c>
      <c r="AB22" s="1353">
        <v>1</v>
      </c>
      <c r="AC22" s="1962">
        <v>1</v>
      </c>
    </row>
    <row r="23" spans="1:29" ht="42.75">
      <c r="A23" s="379"/>
      <c r="B23" s="579" t="s">
        <v>1813</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0"/>
      <c r="M23" s="2714"/>
      <c r="N23" s="2714"/>
      <c r="O23" s="2714"/>
      <c r="P23" s="3686"/>
      <c r="Q23" s="1352" t="str">
        <f>B23</f>
        <v>环境质量</v>
      </c>
      <c r="R23" s="705" t="s">
        <v>14</v>
      </c>
      <c r="S23" s="706">
        <f>F23</f>
        <v>100</v>
      </c>
      <c r="T23" s="705" t="s">
        <v>14</v>
      </c>
      <c r="U23" s="706">
        <f>H23</f>
        <v>100</v>
      </c>
      <c r="V23" s="705" t="s">
        <v>14</v>
      </c>
      <c r="W23" s="706">
        <f>J23</f>
        <v>100</v>
      </c>
      <c r="X23" s="1355"/>
      <c r="Y23" s="3679"/>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0"/>
      <c r="M24" s="2714"/>
      <c r="N24" s="2714"/>
      <c r="O24" s="2714"/>
      <c r="P24" s="3686"/>
      <c r="Q24" s="1352"/>
      <c r="R24" s="705"/>
      <c r="S24" s="706"/>
      <c r="T24" s="705"/>
      <c r="U24" s="706"/>
      <c r="V24" s="705"/>
      <c r="W24" s="706"/>
      <c r="X24" s="1355"/>
      <c r="Y24" s="3679"/>
      <c r="Z24" s="1356"/>
      <c r="AA24" s="1353">
        <v>1</v>
      </c>
      <c r="AB24" s="1353">
        <v>1</v>
      </c>
      <c r="AC24" s="1962">
        <v>1</v>
      </c>
    </row>
    <row r="25" spans="1:29" ht="27">
      <c r="A25" s="358"/>
      <c r="B25" s="579" t="s">
        <v>1814</v>
      </c>
      <c r="C25" s="1908"/>
      <c r="D25" s="386">
        <v>100</v>
      </c>
      <c r="E25" s="385"/>
      <c r="F25" s="386">
        <f>SUMIF(87:87,E26,88:88)-SUMIF(87:87,C26,88:88)+100</f>
        <v>100</v>
      </c>
      <c r="G25" s="1908"/>
      <c r="H25" s="386">
        <f>SUMIF(87:87,G26,88:88)-SUMIF(87:87,C26,88:88)+100</f>
        <v>100</v>
      </c>
      <c r="I25" s="385"/>
      <c r="J25" s="386">
        <f>SUMIF(87:87,I26,88:88)-SUMIF(87:87,C26,88:88)+100</f>
        <v>100</v>
      </c>
      <c r="K25" s="563"/>
      <c r="L25" s="2720"/>
      <c r="M25" s="2714"/>
      <c r="N25" s="2714"/>
      <c r="O25" s="2714"/>
      <c r="P25" s="3686"/>
      <c r="Q25" s="1352" t="str">
        <f>B25</f>
        <v>毗邻道路的类型与等级</v>
      </c>
      <c r="R25" s="705" t="s">
        <v>14</v>
      </c>
      <c r="S25" s="706">
        <f>F25</f>
        <v>100</v>
      </c>
      <c r="T25" s="705" t="s">
        <v>14</v>
      </c>
      <c r="U25" s="706">
        <f>H25</f>
        <v>100</v>
      </c>
      <c r="V25" s="705" t="s">
        <v>14</v>
      </c>
      <c r="W25" s="706">
        <f>J25</f>
        <v>100</v>
      </c>
      <c r="X25" s="1355"/>
      <c r="Y25" s="3679"/>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0"/>
      <c r="M26" s="2714"/>
      <c r="N26" s="2714"/>
      <c r="O26" s="2714"/>
      <c r="P26" s="3686"/>
      <c r="Q26" s="1352"/>
      <c r="R26" s="705"/>
      <c r="S26" s="706"/>
      <c r="T26" s="705"/>
      <c r="U26" s="706"/>
      <c r="V26" s="705"/>
      <c r="W26" s="706"/>
      <c r="X26" s="1355"/>
      <c r="Y26" s="3679"/>
      <c r="Z26" s="1356"/>
      <c r="AA26" s="1353">
        <v>1</v>
      </c>
      <c r="AB26" s="1353">
        <v>1</v>
      </c>
      <c r="AC26" s="1962">
        <v>1</v>
      </c>
    </row>
    <row r="27" spans="1:29" ht="15">
      <c r="A27" s="379"/>
      <c r="B27" s="580" t="s">
        <v>1782</v>
      </c>
      <c r="C27" s="582"/>
      <c r="D27" s="386">
        <v>100</v>
      </c>
      <c r="E27" s="565"/>
      <c r="F27" s="386">
        <f>SUMIF(89:89,E27,90:90)-SUMIF(89:89,C27,90:90)+100</f>
        <v>100</v>
      </c>
      <c r="G27" s="582"/>
      <c r="H27" s="386">
        <f>SUMIF(89:89,G27,90:90)-SUMIF(89:89,C27,90:90)+100</f>
        <v>100</v>
      </c>
      <c r="I27" s="565"/>
      <c r="J27" s="386">
        <f>SUMIF(89:89,I27,90:90)-SUMIF(89:89,C27,90:90)+100</f>
        <v>100</v>
      </c>
      <c r="K27" s="561"/>
      <c r="L27" s="2720"/>
      <c r="M27" s="2714"/>
      <c r="N27" s="2714"/>
      <c r="O27" s="2714"/>
      <c r="P27" s="3686"/>
      <c r="Q27" s="1352" t="str">
        <f t="shared" ref="Q27:Q47" si="11">B27</f>
        <v>楼层</v>
      </c>
      <c r="R27" s="705" t="s">
        <v>14</v>
      </c>
      <c r="S27" s="706">
        <f>F27</f>
        <v>100</v>
      </c>
      <c r="T27" s="705" t="s">
        <v>14</v>
      </c>
      <c r="U27" s="706">
        <f>H27</f>
        <v>100</v>
      </c>
      <c r="V27" s="705" t="s">
        <v>14</v>
      </c>
      <c r="W27" s="706">
        <f>J27</f>
        <v>100</v>
      </c>
      <c r="X27" s="1355"/>
      <c r="Y27" s="3679"/>
      <c r="Z27" s="1356" t="str">
        <f>Q27</f>
        <v>楼层</v>
      </c>
      <c r="AA27" s="1353">
        <f t="shared" si="3"/>
        <v>1</v>
      </c>
      <c r="AB27" s="1353">
        <f t="shared" si="4"/>
        <v>1</v>
      </c>
      <c r="AC27" s="1962">
        <f t="shared" si="5"/>
        <v>1</v>
      </c>
    </row>
    <row r="28" spans="1:29" s="108" customFormat="1" ht="15">
      <c r="A28" s="382"/>
      <c r="B28" s="579" t="s">
        <v>1815</v>
      </c>
      <c r="C28" s="1965"/>
      <c r="D28" s="413">
        <v>100</v>
      </c>
      <c r="E28" s="1956"/>
      <c r="F28" s="413">
        <f>SUMIF(91:91,E28,92:92)-SUMIF(91:91,C28,92:92)+100</f>
        <v>100</v>
      </c>
      <c r="G28" s="1965"/>
      <c r="H28" s="413">
        <f>SUMIF(91:91,G28,92:92)-SUMIF(91:91,C28,92:92)+100</f>
        <v>100</v>
      </c>
      <c r="I28" s="1956"/>
      <c r="J28" s="413">
        <f>SUMIF(91:91,I28,92:92)-SUMIF(91:91,C28,92:92)+100</f>
        <v>100</v>
      </c>
      <c r="K28" s="561"/>
      <c r="L28" s="2715"/>
      <c r="M28" s="2716"/>
      <c r="N28" s="2716"/>
      <c r="O28" s="2716"/>
      <c r="P28" s="3686"/>
      <c r="Q28" s="1343" t="str">
        <f t="shared" si="11"/>
        <v>朝向</v>
      </c>
      <c r="R28" s="701" t="s">
        <v>14</v>
      </c>
      <c r="S28" s="702">
        <f>F28</f>
        <v>100</v>
      </c>
      <c r="T28" s="701" t="s">
        <v>14</v>
      </c>
      <c r="U28" s="702">
        <f>H28</f>
        <v>100</v>
      </c>
      <c r="V28" s="701" t="s">
        <v>14</v>
      </c>
      <c r="W28" s="702">
        <f>J28</f>
        <v>100</v>
      </c>
      <c r="X28" s="703"/>
      <c r="Y28" s="3679"/>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0"/>
      <c r="M29" s="2714"/>
      <c r="N29" s="2714"/>
      <c r="O29" s="2714"/>
      <c r="P29" s="3686"/>
      <c r="Q29" s="1352">
        <f t="shared" si="11"/>
        <v>111</v>
      </c>
      <c r="R29" s="705" t="s">
        <v>14</v>
      </c>
      <c r="S29" s="706">
        <f t="shared" ref="S29:S47" si="12">F29</f>
        <v>100</v>
      </c>
      <c r="T29" s="705" t="s">
        <v>14</v>
      </c>
      <c r="U29" s="706">
        <f t="shared" ref="U29:U47" si="13">H29</f>
        <v>100</v>
      </c>
      <c r="V29" s="705" t="s">
        <v>14</v>
      </c>
      <c r="W29" s="706">
        <f t="shared" ref="W29:W47" si="14">J29</f>
        <v>100</v>
      </c>
      <c r="X29" s="1355"/>
      <c r="Y29" s="3679"/>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0"/>
      <c r="M30" s="2714"/>
      <c r="N30" s="2714"/>
      <c r="O30" s="2714"/>
      <c r="P30" s="3686"/>
      <c r="Q30" s="1352">
        <f t="shared" si="11"/>
        <v>111</v>
      </c>
      <c r="R30" s="705" t="s">
        <v>14</v>
      </c>
      <c r="S30" s="706">
        <f t="shared" si="12"/>
        <v>100</v>
      </c>
      <c r="T30" s="705" t="s">
        <v>14</v>
      </c>
      <c r="U30" s="706">
        <f t="shared" si="13"/>
        <v>100</v>
      </c>
      <c r="V30" s="705" t="s">
        <v>14</v>
      </c>
      <c r="W30" s="706">
        <f t="shared" si="14"/>
        <v>100</v>
      </c>
      <c r="X30" s="1355"/>
      <c r="Y30" s="3679"/>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0"/>
      <c r="M31" s="2714"/>
      <c r="N31" s="2714"/>
      <c r="O31" s="2714"/>
      <c r="P31" s="3686"/>
      <c r="Q31" s="1352">
        <f t="shared" si="11"/>
        <v>111</v>
      </c>
      <c r="R31" s="705" t="s">
        <v>14</v>
      </c>
      <c r="S31" s="706">
        <f t="shared" si="12"/>
        <v>100</v>
      </c>
      <c r="T31" s="705" t="s">
        <v>14</v>
      </c>
      <c r="U31" s="706">
        <f t="shared" si="13"/>
        <v>100</v>
      </c>
      <c r="V31" s="705" t="s">
        <v>14</v>
      </c>
      <c r="W31" s="706">
        <f t="shared" si="14"/>
        <v>100</v>
      </c>
      <c r="X31" s="1355"/>
      <c r="Y31" s="3679"/>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0"/>
      <c r="M32" s="2714"/>
      <c r="N32" s="2714"/>
      <c r="O32" s="2714"/>
      <c r="P32" s="3686"/>
      <c r="Q32" s="1352">
        <f t="shared" si="11"/>
        <v>111</v>
      </c>
      <c r="R32" s="705" t="s">
        <v>14</v>
      </c>
      <c r="S32" s="706">
        <f t="shared" si="12"/>
        <v>100</v>
      </c>
      <c r="T32" s="705" t="s">
        <v>14</v>
      </c>
      <c r="U32" s="706">
        <f t="shared" si="13"/>
        <v>100</v>
      </c>
      <c r="V32" s="705" t="s">
        <v>14</v>
      </c>
      <c r="W32" s="706">
        <f t="shared" si="14"/>
        <v>100</v>
      </c>
      <c r="X32" s="1355"/>
      <c r="Y32" s="3679"/>
      <c r="Z32" s="1356">
        <f t="shared" si="15"/>
        <v>111</v>
      </c>
      <c r="AA32" s="1353">
        <f t="shared" si="3"/>
        <v>1</v>
      </c>
      <c r="AB32" s="1353">
        <f t="shared" si="4"/>
        <v>1</v>
      </c>
      <c r="AC32" s="1962">
        <f t="shared" si="5"/>
        <v>1</v>
      </c>
    </row>
    <row r="33" spans="1:29" ht="15">
      <c r="A33" s="391" t="s">
        <v>1693</v>
      </c>
      <c r="B33" s="63" t="s">
        <v>1816</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0"/>
      <c r="M33" s="2714"/>
      <c r="N33" s="2714"/>
      <c r="O33" s="2714"/>
      <c r="P33" s="3680" t="s">
        <v>1695</v>
      </c>
      <c r="Q33" s="1352" t="str">
        <f t="shared" si="11"/>
        <v>建筑类型</v>
      </c>
      <c r="R33" s="705" t="s">
        <v>14</v>
      </c>
      <c r="S33" s="706">
        <f t="shared" si="12"/>
        <v>100</v>
      </c>
      <c r="T33" s="705" t="s">
        <v>14</v>
      </c>
      <c r="U33" s="706">
        <f t="shared" si="13"/>
        <v>100</v>
      </c>
      <c r="V33" s="705" t="s">
        <v>14</v>
      </c>
      <c r="W33" s="706">
        <f t="shared" si="14"/>
        <v>100</v>
      </c>
      <c r="X33" s="1355"/>
      <c r="Y33" s="3683" t="s">
        <v>1695</v>
      </c>
      <c r="Z33" s="1356" t="str">
        <f t="shared" si="15"/>
        <v>建筑类型</v>
      </c>
      <c r="AA33" s="1353">
        <f t="shared" si="3"/>
        <v>1</v>
      </c>
      <c r="AB33" s="1353">
        <f t="shared" si="4"/>
        <v>1</v>
      </c>
      <c r="AC33" s="1962">
        <f t="shared" si="5"/>
        <v>1</v>
      </c>
    </row>
    <row r="34" spans="1:29" s="422" customFormat="1" ht="15">
      <c r="A34" s="419"/>
      <c r="B34" s="375" t="s">
        <v>1696</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9"/>
      <c r="M34" s="2721"/>
      <c r="N34" s="2721"/>
      <c r="O34" s="2721"/>
      <c r="P34" s="3681"/>
      <c r="Q34" s="707" t="str">
        <f t="shared" si="11"/>
        <v>项目建筑规模</v>
      </c>
      <c r="R34" s="708" t="s">
        <v>14</v>
      </c>
      <c r="S34" s="709" t="e">
        <f t="shared" si="12"/>
        <v>#N/A</v>
      </c>
      <c r="T34" s="708" t="s">
        <v>14</v>
      </c>
      <c r="U34" s="709" t="e">
        <f t="shared" si="13"/>
        <v>#N/A</v>
      </c>
      <c r="V34" s="708" t="s">
        <v>14</v>
      </c>
      <c r="W34" s="709" t="e">
        <f t="shared" si="14"/>
        <v>#N/A</v>
      </c>
      <c r="X34" s="710"/>
      <c r="Y34" s="3683"/>
      <c r="Z34" s="711" t="str">
        <f t="shared" si="15"/>
        <v>项目建筑规模</v>
      </c>
      <c r="AA34" s="1353" t="e">
        <f t="shared" si="3"/>
        <v>#N/A</v>
      </c>
      <c r="AB34" s="1353" t="e">
        <f t="shared" si="4"/>
        <v>#N/A</v>
      </c>
      <c r="AC34" s="1962" t="e">
        <f t="shared" si="5"/>
        <v>#N/A</v>
      </c>
    </row>
    <row r="35" spans="1:29" ht="15">
      <c r="A35" s="423"/>
      <c r="B35" s="375" t="s">
        <v>1697</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0"/>
      <c r="M35" s="2714"/>
      <c r="N35" s="2714"/>
      <c r="O35" s="2714"/>
      <c r="P35" s="3681"/>
      <c r="Q35" s="1352" t="str">
        <f t="shared" si="11"/>
        <v>建筑结构</v>
      </c>
      <c r="R35" s="705" t="s">
        <v>14</v>
      </c>
      <c r="S35" s="706">
        <f t="shared" si="12"/>
        <v>100</v>
      </c>
      <c r="T35" s="705" t="s">
        <v>14</v>
      </c>
      <c r="U35" s="706">
        <f t="shared" si="13"/>
        <v>100</v>
      </c>
      <c r="V35" s="705" t="s">
        <v>14</v>
      </c>
      <c r="W35" s="706">
        <f t="shared" si="14"/>
        <v>100</v>
      </c>
      <c r="X35" s="1355"/>
      <c r="Y35" s="3683"/>
      <c r="Z35" s="1356" t="str">
        <f t="shared" si="15"/>
        <v>建筑结构</v>
      </c>
      <c r="AA35" s="1353">
        <f t="shared" si="3"/>
        <v>1</v>
      </c>
      <c r="AB35" s="1353">
        <f t="shared" si="4"/>
        <v>1</v>
      </c>
      <c r="AC35" s="1962">
        <f t="shared" si="5"/>
        <v>1</v>
      </c>
    </row>
    <row r="36" spans="1:29" ht="15">
      <c r="A36" s="423"/>
      <c r="B36" s="375" t="s">
        <v>1784</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0"/>
      <c r="M36" s="2714"/>
      <c r="N36" s="2714"/>
      <c r="O36" s="2714"/>
      <c r="P36" s="3681"/>
      <c r="Q36" s="1352" t="str">
        <f t="shared" si="11"/>
        <v>公共部分装修</v>
      </c>
      <c r="R36" s="705" t="s">
        <v>14</v>
      </c>
      <c r="S36" s="706">
        <f t="shared" si="12"/>
        <v>100</v>
      </c>
      <c r="T36" s="705" t="s">
        <v>14</v>
      </c>
      <c r="U36" s="706">
        <f t="shared" si="13"/>
        <v>100</v>
      </c>
      <c r="V36" s="705" t="s">
        <v>14</v>
      </c>
      <c r="W36" s="706">
        <f t="shared" si="14"/>
        <v>100</v>
      </c>
      <c r="X36" s="1355"/>
      <c r="Y36" s="3683"/>
      <c r="Z36" s="1356" t="str">
        <f t="shared" si="15"/>
        <v>公共部分装修</v>
      </c>
      <c r="AA36" s="1353">
        <f t="shared" si="3"/>
        <v>1</v>
      </c>
      <c r="AB36" s="1353">
        <f t="shared" si="4"/>
        <v>1</v>
      </c>
      <c r="AC36" s="1962">
        <f t="shared" si="5"/>
        <v>1</v>
      </c>
    </row>
    <row r="37" spans="1:29" ht="15">
      <c r="A37" s="423"/>
      <c r="B37" s="375" t="s">
        <v>1785</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0"/>
      <c r="M37" s="2714"/>
      <c r="N37" s="2714"/>
      <c r="O37" s="2714"/>
      <c r="P37" s="3681"/>
      <c r="Q37" s="1352" t="str">
        <f t="shared" si="11"/>
        <v>成新度</v>
      </c>
      <c r="R37" s="705" t="s">
        <v>14</v>
      </c>
      <c r="S37" s="706" t="e">
        <f t="shared" si="12"/>
        <v>#N/A</v>
      </c>
      <c r="T37" s="705" t="s">
        <v>14</v>
      </c>
      <c r="U37" s="706" t="e">
        <f t="shared" si="13"/>
        <v>#N/A</v>
      </c>
      <c r="V37" s="705" t="s">
        <v>14</v>
      </c>
      <c r="W37" s="706" t="e">
        <f t="shared" si="14"/>
        <v>#N/A</v>
      </c>
      <c r="X37" s="1355"/>
      <c r="Y37" s="3683"/>
      <c r="Z37" s="1356" t="str">
        <f t="shared" si="15"/>
        <v>成新度</v>
      </c>
      <c r="AA37" s="1353" t="e">
        <f t="shared" si="3"/>
        <v>#N/A</v>
      </c>
      <c r="AB37" s="1353" t="e">
        <f t="shared" si="4"/>
        <v>#N/A</v>
      </c>
      <c r="AC37" s="1962" t="e">
        <f t="shared" si="5"/>
        <v>#N/A</v>
      </c>
    </row>
    <row r="38" spans="1:29" s="108" customFormat="1" ht="15">
      <c r="A38" s="424"/>
      <c r="B38" s="375" t="s">
        <v>1817</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5"/>
      <c r="M38" s="2716"/>
      <c r="N38" s="2716"/>
      <c r="O38" s="2716"/>
      <c r="P38" s="3681"/>
      <c r="Q38" s="1343" t="str">
        <f t="shared" si="11"/>
        <v>写字楼等级</v>
      </c>
      <c r="R38" s="701" t="s">
        <v>14</v>
      </c>
      <c r="S38" s="702">
        <f t="shared" si="12"/>
        <v>100</v>
      </c>
      <c r="T38" s="701" t="s">
        <v>14</v>
      </c>
      <c r="U38" s="702">
        <f t="shared" si="13"/>
        <v>100</v>
      </c>
      <c r="V38" s="701" t="s">
        <v>14</v>
      </c>
      <c r="W38" s="702">
        <f t="shared" si="14"/>
        <v>100</v>
      </c>
      <c r="X38" s="703"/>
      <c r="Y38" s="3683"/>
      <c r="Z38" s="52" t="str">
        <f t="shared" si="15"/>
        <v>写字楼等级</v>
      </c>
      <c r="AA38" s="704">
        <f t="shared" si="3"/>
        <v>1</v>
      </c>
      <c r="AB38" s="704">
        <f t="shared" si="4"/>
        <v>1</v>
      </c>
      <c r="AC38" s="1959">
        <f t="shared" si="5"/>
        <v>1</v>
      </c>
    </row>
    <row r="39" spans="1:29" ht="15">
      <c r="A39" s="423"/>
      <c r="B39" s="375" t="s">
        <v>1818</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0"/>
      <c r="M39" s="2714"/>
      <c r="N39" s="2714"/>
      <c r="O39" s="2714"/>
      <c r="P39" s="3681" t="s">
        <v>1695</v>
      </c>
      <c r="Q39" s="1352" t="str">
        <f t="shared" si="11"/>
        <v>物业管理</v>
      </c>
      <c r="R39" s="705" t="s">
        <v>14</v>
      </c>
      <c r="S39" s="706">
        <f t="shared" si="12"/>
        <v>100</v>
      </c>
      <c r="T39" s="705" t="s">
        <v>14</v>
      </c>
      <c r="U39" s="706">
        <f t="shared" si="13"/>
        <v>100</v>
      </c>
      <c r="V39" s="705" t="s">
        <v>14</v>
      </c>
      <c r="W39" s="706">
        <f t="shared" si="14"/>
        <v>100</v>
      </c>
      <c r="X39" s="1355"/>
      <c r="Y39" s="3683" t="s">
        <v>1695</v>
      </c>
      <c r="Z39" s="1356" t="str">
        <f t="shared" si="15"/>
        <v>物业管理</v>
      </c>
      <c r="AA39" s="1353">
        <f t="shared" si="3"/>
        <v>1</v>
      </c>
      <c r="AB39" s="1353">
        <f t="shared" si="4"/>
        <v>1</v>
      </c>
      <c r="AC39" s="1962">
        <f t="shared" si="5"/>
        <v>1</v>
      </c>
    </row>
    <row r="40" spans="1:29" ht="15">
      <c r="A40" s="423"/>
      <c r="B40" s="375" t="s">
        <v>1786</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681"/>
      <c r="Q40" s="1352" t="str">
        <f t="shared" si="11"/>
        <v>市政基础设施</v>
      </c>
      <c r="R40" s="705" t="s">
        <v>14</v>
      </c>
      <c r="S40" s="706">
        <f t="shared" si="12"/>
        <v>100</v>
      </c>
      <c r="T40" s="705" t="s">
        <v>14</v>
      </c>
      <c r="U40" s="706">
        <f t="shared" si="13"/>
        <v>100</v>
      </c>
      <c r="V40" s="705" t="s">
        <v>14</v>
      </c>
      <c r="W40" s="706">
        <f t="shared" si="14"/>
        <v>100</v>
      </c>
      <c r="X40" s="1355"/>
      <c r="Y40" s="3683"/>
      <c r="Z40" s="1356" t="str">
        <f t="shared" si="15"/>
        <v>市政基础设施</v>
      </c>
      <c r="AA40" s="1353">
        <f t="shared" si="3"/>
        <v>1</v>
      </c>
      <c r="AB40" s="1353">
        <f t="shared" si="4"/>
        <v>1</v>
      </c>
      <c r="AC40" s="1962">
        <f t="shared" si="5"/>
        <v>1</v>
      </c>
    </row>
    <row r="41" spans="1:29" ht="15">
      <c r="A41" s="423"/>
      <c r="B41" s="375" t="s">
        <v>1788</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0"/>
      <c r="M41" s="2714"/>
      <c r="N41" s="2714"/>
      <c r="O41" s="2714"/>
      <c r="P41" s="3681"/>
      <c r="Q41" s="1352" t="str">
        <f t="shared" si="11"/>
        <v>层高</v>
      </c>
      <c r="R41" s="705" t="s">
        <v>14</v>
      </c>
      <c r="S41" s="706">
        <f t="shared" si="12"/>
        <v>100</v>
      </c>
      <c r="T41" s="705" t="s">
        <v>14</v>
      </c>
      <c r="U41" s="706">
        <f t="shared" si="13"/>
        <v>100</v>
      </c>
      <c r="V41" s="705" t="s">
        <v>14</v>
      </c>
      <c r="W41" s="706">
        <f t="shared" si="14"/>
        <v>100</v>
      </c>
      <c r="X41" s="1355"/>
      <c r="Y41" s="3683"/>
      <c r="Z41" s="1356" t="str">
        <f t="shared" si="15"/>
        <v>层高</v>
      </c>
      <c r="AA41" s="1353">
        <f t="shared" si="3"/>
        <v>1</v>
      </c>
      <c r="AB41" s="1353">
        <f t="shared" si="4"/>
        <v>1</v>
      </c>
      <c r="AC41" s="1962">
        <f t="shared" si="5"/>
        <v>1</v>
      </c>
    </row>
    <row r="42" spans="1:29" s="422" customFormat="1" ht="15">
      <c r="A42" s="419"/>
      <c r="B42" s="1354" t="s">
        <v>1819</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681"/>
      <c r="Q42" s="707" t="str">
        <f t="shared" si="11"/>
        <v>单套建筑面积</v>
      </c>
      <c r="R42" s="708" t="s">
        <v>14</v>
      </c>
      <c r="S42" s="709">
        <f t="shared" si="12"/>
        <v>100</v>
      </c>
      <c r="T42" s="708" t="s">
        <v>14</v>
      </c>
      <c r="U42" s="709">
        <f t="shared" si="13"/>
        <v>100</v>
      </c>
      <c r="V42" s="708" t="s">
        <v>14</v>
      </c>
      <c r="W42" s="709">
        <f t="shared" si="14"/>
        <v>100</v>
      </c>
      <c r="X42" s="710"/>
      <c r="Y42" s="3683"/>
      <c r="Z42" s="711" t="str">
        <f t="shared" si="15"/>
        <v>单套建筑面积</v>
      </c>
      <c r="AA42" s="1353">
        <f t="shared" si="3"/>
        <v>1</v>
      </c>
      <c r="AB42" s="1353">
        <f t="shared" si="4"/>
        <v>1</v>
      </c>
      <c r="AC42" s="1962">
        <f t="shared" si="5"/>
        <v>1</v>
      </c>
    </row>
    <row r="43" spans="1:29" ht="15">
      <c r="A43" s="423"/>
      <c r="B43" s="375" t="s">
        <v>1791</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0"/>
      <c r="M43" s="2714"/>
      <c r="N43" s="2714"/>
      <c r="O43" s="2714"/>
      <c r="P43" s="3681"/>
      <c r="Q43" s="1352" t="str">
        <f t="shared" si="11"/>
        <v>内部装修</v>
      </c>
      <c r="R43" s="705" t="s">
        <v>14</v>
      </c>
      <c r="S43" s="706">
        <f t="shared" si="12"/>
        <v>100</v>
      </c>
      <c r="T43" s="705" t="s">
        <v>14</v>
      </c>
      <c r="U43" s="706">
        <f t="shared" si="13"/>
        <v>100</v>
      </c>
      <c r="V43" s="705" t="s">
        <v>14</v>
      </c>
      <c r="W43" s="706">
        <f t="shared" si="14"/>
        <v>100</v>
      </c>
      <c r="X43" s="1355"/>
      <c r="Y43" s="3683"/>
      <c r="Z43" s="1356" t="str">
        <f t="shared" si="15"/>
        <v>内部装修</v>
      </c>
      <c r="AA43" s="1353">
        <f t="shared" si="3"/>
        <v>1</v>
      </c>
      <c r="AB43" s="1353">
        <f t="shared" si="4"/>
        <v>1</v>
      </c>
      <c r="AC43" s="1962">
        <f t="shared" si="5"/>
        <v>1</v>
      </c>
    </row>
    <row r="44" spans="1:29" ht="15">
      <c r="A44" s="423"/>
      <c r="B44" s="375" t="s">
        <v>1706</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0"/>
      <c r="M44" s="2714"/>
      <c r="N44" s="2714"/>
      <c r="O44" s="2714"/>
      <c r="P44" s="3681"/>
      <c r="Q44" s="1352" t="str">
        <f t="shared" si="11"/>
        <v>内部装修维护情况</v>
      </c>
      <c r="R44" s="705" t="s">
        <v>14</v>
      </c>
      <c r="S44" s="706">
        <f t="shared" si="12"/>
        <v>100</v>
      </c>
      <c r="T44" s="705" t="s">
        <v>14</v>
      </c>
      <c r="U44" s="706">
        <f t="shared" si="13"/>
        <v>100</v>
      </c>
      <c r="V44" s="705" t="s">
        <v>14</v>
      </c>
      <c r="W44" s="706">
        <f t="shared" si="14"/>
        <v>100</v>
      </c>
      <c r="X44" s="1355"/>
      <c r="Y44" s="3683"/>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5"/>
      <c r="M45" s="2716"/>
      <c r="N45" s="2716"/>
      <c r="O45" s="2716"/>
      <c r="P45" s="3681"/>
      <c r="Q45" s="1343">
        <f t="shared" si="11"/>
        <v>111</v>
      </c>
      <c r="R45" s="701" t="s">
        <v>14</v>
      </c>
      <c r="S45" s="702">
        <f t="shared" si="12"/>
        <v>100</v>
      </c>
      <c r="T45" s="701" t="s">
        <v>14</v>
      </c>
      <c r="U45" s="702">
        <f t="shared" si="13"/>
        <v>100</v>
      </c>
      <c r="V45" s="701" t="s">
        <v>14</v>
      </c>
      <c r="W45" s="702">
        <f t="shared" si="14"/>
        <v>100</v>
      </c>
      <c r="X45" s="703"/>
      <c r="Y45" s="3683"/>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681"/>
      <c r="Q46" s="1352">
        <f t="shared" si="11"/>
        <v>111</v>
      </c>
      <c r="R46" s="705" t="s">
        <v>14</v>
      </c>
      <c r="S46" s="706">
        <f t="shared" si="12"/>
        <v>100</v>
      </c>
      <c r="T46" s="705" t="s">
        <v>14</v>
      </c>
      <c r="U46" s="706">
        <f t="shared" si="13"/>
        <v>100</v>
      </c>
      <c r="V46" s="705" t="s">
        <v>14</v>
      </c>
      <c r="W46" s="706">
        <f t="shared" si="14"/>
        <v>100</v>
      </c>
      <c r="X46" s="1355"/>
      <c r="Y46" s="3683"/>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682"/>
      <c r="Q47" s="1352">
        <f t="shared" si="11"/>
        <v>111</v>
      </c>
      <c r="R47" s="705" t="s">
        <v>14</v>
      </c>
      <c r="S47" s="706">
        <f t="shared" si="12"/>
        <v>100</v>
      </c>
      <c r="T47" s="705" t="s">
        <v>14</v>
      </c>
      <c r="U47" s="706">
        <f t="shared" si="13"/>
        <v>100</v>
      </c>
      <c r="V47" s="705" t="s">
        <v>14</v>
      </c>
      <c r="W47" s="706">
        <f t="shared" si="14"/>
        <v>100</v>
      </c>
      <c r="X47" s="1355"/>
      <c r="Y47" s="3684"/>
      <c r="Z47" s="1356">
        <f t="shared" si="15"/>
        <v>111</v>
      </c>
      <c r="AA47" s="1353">
        <f t="shared" si="3"/>
        <v>1</v>
      </c>
      <c r="AB47" s="1353">
        <f t="shared" si="4"/>
        <v>1</v>
      </c>
      <c r="AC47" s="1962">
        <f t="shared" si="5"/>
        <v>1</v>
      </c>
    </row>
    <row r="48" spans="1:29" ht="15">
      <c r="A48" s="430" t="s">
        <v>1707</v>
      </c>
      <c r="B48" s="431"/>
      <c r="C48" s="1154" t="s">
        <v>0</v>
      </c>
      <c r="D48" s="1155"/>
      <c r="E48" s="1156"/>
      <c r="F48" s="1157"/>
      <c r="G48" s="1158"/>
      <c r="H48" s="1159"/>
      <c r="I48" s="1156"/>
      <c r="J48" s="436"/>
      <c r="K48" s="714"/>
      <c r="L48" s="2722"/>
      <c r="M48" s="2714"/>
      <c r="N48" s="2714"/>
      <c r="O48" s="2714"/>
      <c r="P48" s="3687" t="str">
        <f>A48</f>
        <v>成交单价（元/平方米）</v>
      </c>
      <c r="Q48" s="3676"/>
      <c r="R48" s="3677">
        <f>E48</f>
        <v>0</v>
      </c>
      <c r="S48" s="3677"/>
      <c r="T48" s="3677">
        <f>G48</f>
        <v>0</v>
      </c>
      <c r="U48" s="3677"/>
      <c r="V48" s="3677">
        <f>I48</f>
        <v>0</v>
      </c>
      <c r="W48" s="3677"/>
      <c r="X48" s="397"/>
      <c r="Y48" s="712"/>
      <c r="Z48" s="397"/>
      <c r="AA48" s="397"/>
      <c r="AB48" s="397"/>
      <c r="AC48" s="578"/>
    </row>
    <row r="49" spans="1:29" ht="15.75" thickBot="1">
      <c r="A49" s="437" t="s">
        <v>1792</v>
      </c>
      <c r="B49" s="438"/>
      <c r="C49" s="1160" t="e">
        <f>R50</f>
        <v>#DIV/0!</v>
      </c>
      <c r="D49" s="2317" t="s">
        <v>2136</v>
      </c>
      <c r="E49" s="1161" t="e">
        <f>R49</f>
        <v>#DIV/0!</v>
      </c>
      <c r="F49" s="2318"/>
      <c r="G49" s="1160" t="e">
        <f>T49</f>
        <v>#DIV/0!</v>
      </c>
      <c r="H49" s="2318"/>
      <c r="I49" s="1161" t="e">
        <f>V49</f>
        <v>#DIV/0!</v>
      </c>
      <c r="J49" s="2318"/>
      <c r="K49" s="2320">
        <f>F49+H49+J49</f>
        <v>0</v>
      </c>
      <c r="L49" s="2722"/>
      <c r="M49" s="2714"/>
      <c r="N49" s="2714"/>
      <c r="O49" s="2714"/>
      <c r="P49" s="3687" t="str">
        <f>A49</f>
        <v>比较价值（元/平方米）</v>
      </c>
      <c r="Q49" s="3676"/>
      <c r="R49" s="3677" t="e">
        <f>IF(F1="售价",ROUND(PRODUCT(R48,AA7:AA47),0),ROUND(PRODUCT(R48,AA7:AA47),1))</f>
        <v>#DIV/0!</v>
      </c>
      <c r="S49" s="3677"/>
      <c r="T49" s="3677" t="e">
        <f>IF(F1="售价",ROUND(PRODUCT(T48,AB7:AB47),0),ROUND(PRODUCT(T48,AB7:AB47),1))</f>
        <v>#DIV/0!</v>
      </c>
      <c r="U49" s="3677"/>
      <c r="V49" s="3677" t="e">
        <f>IF(F1="售价",ROUND(PRODUCT(V48,AC7:AC47),0),ROUND(PRODUCT(V48,AC7:AC47),1))</f>
        <v>#DIV/0!</v>
      </c>
      <c r="W49" s="3677"/>
      <c r="X49" s="397"/>
      <c r="Y49" s="397"/>
      <c r="Z49" s="397"/>
      <c r="AA49" s="397"/>
      <c r="AB49" s="397"/>
      <c r="AC49" s="578"/>
    </row>
    <row r="50" spans="1:29" ht="15.75" thickBot="1">
      <c r="A50" s="441" t="s">
        <v>1793</v>
      </c>
      <c r="B50" s="442"/>
      <c r="C50" s="1163" t="e">
        <f>R50</f>
        <v>#DIV/0!</v>
      </c>
      <c r="D50" s="1163"/>
      <c r="E50" s="1163"/>
      <c r="F50" s="1163"/>
      <c r="G50" s="1163"/>
      <c r="H50" s="1163"/>
      <c r="I50" s="1163"/>
      <c r="J50" s="443"/>
      <c r="K50" s="715"/>
      <c r="L50" s="2722"/>
      <c r="M50" s="2714"/>
      <c r="N50" s="2714"/>
      <c r="O50" s="2714"/>
      <c r="P50" s="3719" t="str">
        <f>A50</f>
        <v>估价对象XX用房的比较价值（楼面单价，元/平方米）</v>
      </c>
      <c r="Q50" s="3720"/>
      <c r="R50" s="3721" t="e">
        <f>IF(F1="售价",ROUND(IF(D49="简单平均",AVERAGE(R49:V49),R49*F49+T49*H49+V49*J49),0),ROUND(IF(D49="简单平均",AVERAGE(R49:V49),R49*F49+T49*H49+V49*J49),1))</f>
        <v>#DIV/0!</v>
      </c>
      <c r="S50" s="3721"/>
      <c r="T50" s="3721"/>
      <c r="U50" s="3721"/>
      <c r="V50" s="3721"/>
      <c r="W50" s="3721"/>
      <c r="X50" s="1946"/>
      <c r="Y50" s="1946"/>
      <c r="Z50" s="1946"/>
      <c r="AA50" s="1946"/>
      <c r="AB50" s="1946"/>
      <c r="AC50" s="1947"/>
    </row>
    <row r="51" spans="1:29">
      <c r="A51" s="2723"/>
      <c r="B51" s="2723"/>
      <c r="C51" s="2723"/>
      <c r="D51" s="2723"/>
      <c r="E51" s="2723"/>
      <c r="F51" s="2723"/>
      <c r="G51" s="2727"/>
      <c r="H51" s="2723"/>
      <c r="I51" s="2723"/>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c r="F52" s="2723"/>
      <c r="G52" s="2723"/>
      <c r="H52" s="2723"/>
      <c r="I52" s="2723"/>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1794</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1795</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1796</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4" t="s">
        <v>1797</v>
      </c>
      <c r="B58" s="690"/>
      <c r="C58" s="695"/>
      <c r="D58" s="695"/>
      <c r="E58" s="695"/>
      <c r="F58" s="696"/>
      <c r="G58" s="696"/>
      <c r="H58" s="695"/>
      <c r="I58" s="695"/>
      <c r="J58" s="695"/>
      <c r="K58" s="697"/>
      <c r="L58" s="942"/>
      <c r="M58" s="940"/>
      <c r="N58" s="2767"/>
      <c r="O58" s="2767"/>
      <c r="P58" s="2756"/>
      <c r="Q58" s="2737"/>
      <c r="R58" s="2723"/>
      <c r="S58" s="2723"/>
      <c r="T58" s="2723"/>
      <c r="U58" s="2723"/>
      <c r="V58" s="2723"/>
      <c r="W58" s="2723"/>
      <c r="X58" s="2723"/>
      <c r="Y58" s="2723"/>
      <c r="Z58" s="2723"/>
      <c r="AA58" s="2723"/>
      <c r="AB58" s="2723"/>
      <c r="AC58" s="2723"/>
    </row>
    <row r="59" spans="1:29" s="457" customFormat="1" ht="15">
      <c r="A59" s="454" t="s">
        <v>1678</v>
      </c>
      <c r="B59" s="455"/>
      <c r="C59" s="1184" t="str">
        <f>YEAR(C7)&amp;"-"&amp;MONTH(C7)</f>
        <v>2023-4</v>
      </c>
      <c r="D59" s="1185">
        <f>EDATE(C59,-1)</f>
        <v>44986</v>
      </c>
      <c r="E59" s="1185">
        <f>EDATE(D59,-1)</f>
        <v>44958</v>
      </c>
      <c r="F59" s="1185">
        <f t="shared" ref="F59:O59" si="16">EDATE(E59,-1)</f>
        <v>44927</v>
      </c>
      <c r="G59" s="1185">
        <f t="shared" si="16"/>
        <v>44896</v>
      </c>
      <c r="H59" s="1185">
        <f t="shared" si="16"/>
        <v>44866</v>
      </c>
      <c r="I59" s="1185">
        <f t="shared" si="16"/>
        <v>44835</v>
      </c>
      <c r="J59" s="1185">
        <f t="shared" si="16"/>
        <v>44805</v>
      </c>
      <c r="K59" s="1185">
        <f t="shared" si="16"/>
        <v>44774</v>
      </c>
      <c r="L59" s="1185">
        <f t="shared" si="16"/>
        <v>44743</v>
      </c>
      <c r="M59" s="1185">
        <f t="shared" si="16"/>
        <v>44713</v>
      </c>
      <c r="N59" s="1185">
        <f t="shared" si="16"/>
        <v>44682</v>
      </c>
      <c r="O59" s="1185">
        <f t="shared" si="16"/>
        <v>44652</v>
      </c>
      <c r="P59" s="2757"/>
      <c r="Q59" s="2739"/>
      <c r="R59" s="2739"/>
      <c r="S59" s="2739"/>
      <c r="T59" s="2739"/>
      <c r="U59" s="2739"/>
      <c r="V59" s="2739"/>
      <c r="W59" s="2739"/>
      <c r="X59" s="2739"/>
      <c r="Y59" s="2739"/>
      <c r="Z59" s="2739"/>
      <c r="AA59" s="2739"/>
      <c r="AB59" s="2739"/>
      <c r="AC59" s="2739"/>
    </row>
    <row r="60" spans="1:29" s="108" customFormat="1" ht="15">
      <c r="A60" s="458"/>
      <c r="B60" s="459"/>
      <c r="C60" s="1183">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1715</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1680</v>
      </c>
      <c r="B62" s="459"/>
      <c r="C62" s="471" t="s">
        <v>1775</v>
      </c>
      <c r="D62" s="472"/>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61"/>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c r="A64" s="476" t="s">
        <v>1718</v>
      </c>
      <c r="B64" s="477" t="s">
        <v>1684</v>
      </c>
      <c r="C64" s="478">
        <f>C9</f>
        <v>0</v>
      </c>
      <c r="D64" s="479"/>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1687</v>
      </c>
      <c r="C66" s="532"/>
      <c r="D66" s="532"/>
      <c r="E66" s="532"/>
      <c r="F66" s="532"/>
      <c r="G66" s="532"/>
      <c r="H66" s="532"/>
      <c r="I66" s="532"/>
      <c r="J66" s="532"/>
      <c r="K66" s="533"/>
      <c r="L66" s="534"/>
      <c r="M66" s="535"/>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c r="D67" s="485"/>
      <c r="E67" s="485"/>
      <c r="F67" s="485"/>
      <c r="G67" s="485"/>
      <c r="H67" s="485"/>
      <c r="I67" s="485"/>
      <c r="J67" s="485"/>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1688</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v>3</v>
      </c>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1689</v>
      </c>
      <c r="B77" s="477" t="s">
        <v>1820</v>
      </c>
      <c r="C77" s="522" t="s">
        <v>1720</v>
      </c>
      <c r="D77" s="522" t="s">
        <v>1721</v>
      </c>
      <c r="E77" s="522" t="s">
        <v>1722</v>
      </c>
      <c r="F77" s="522" t="s">
        <v>1723</v>
      </c>
      <c r="G77" s="522" t="s">
        <v>1724</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1725</v>
      </c>
      <c r="C79" s="527" t="s">
        <v>1720</v>
      </c>
      <c r="D79" s="527" t="s">
        <v>1721</v>
      </c>
      <c r="E79" s="527" t="s">
        <v>1722</v>
      </c>
      <c r="F79" s="527" t="s">
        <v>1723</v>
      </c>
      <c r="G79" s="527" t="s">
        <v>1724</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1726</v>
      </c>
      <c r="C81" s="527" t="s">
        <v>1720</v>
      </c>
      <c r="D81" s="527" t="s">
        <v>1721</v>
      </c>
      <c r="E81" s="527" t="s">
        <v>1722</v>
      </c>
      <c r="F81" s="527" t="s">
        <v>1723</v>
      </c>
      <c r="G81" s="527" t="s">
        <v>1724</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1812</v>
      </c>
      <c r="C83" s="608" t="s">
        <v>1798</v>
      </c>
      <c r="D83" s="608" t="s">
        <v>1799</v>
      </c>
      <c r="E83" s="608" t="s">
        <v>1800</v>
      </c>
      <c r="F83" s="608" t="s">
        <v>1801</v>
      </c>
      <c r="G83" s="608" t="s">
        <v>1802</v>
      </c>
      <c r="H83" s="488"/>
      <c r="I83" s="488"/>
      <c r="J83" s="488"/>
      <c r="K83" s="488"/>
      <c r="L83" s="488"/>
      <c r="M83" s="1129"/>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1821</v>
      </c>
      <c r="C85" s="527" t="s">
        <v>1720</v>
      </c>
      <c r="D85" s="527" t="s">
        <v>1721</v>
      </c>
      <c r="E85" s="527" t="s">
        <v>1722</v>
      </c>
      <c r="F85" s="527" t="s">
        <v>1723</v>
      </c>
      <c r="G85" s="527" t="s">
        <v>1724</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1822</v>
      </c>
      <c r="C87" s="503"/>
      <c r="D87" s="503"/>
      <c r="E87" s="503"/>
      <c r="F87" s="503"/>
      <c r="G87" s="503"/>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503"/>
      <c r="D89" s="503"/>
      <c r="E89" s="503"/>
      <c r="F89" s="1927"/>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8"/>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1693</v>
      </c>
      <c r="B101" s="477" t="s">
        <v>1735</v>
      </c>
      <c r="C101" s="479"/>
      <c r="D101" s="479"/>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2"/>
      <c r="O102" s="2752"/>
      <c r="P102" s="2760"/>
      <c r="Q102" s="2737"/>
      <c r="R102" s="2723"/>
      <c r="S102" s="2723"/>
      <c r="T102" s="2723"/>
      <c r="U102" s="2723"/>
      <c r="V102" s="2723"/>
      <c r="W102" s="2723"/>
      <c r="X102" s="2723"/>
      <c r="Y102" s="2723"/>
      <c r="Z102" s="2723"/>
      <c r="AA102" s="2723"/>
      <c r="AB102" s="2723"/>
      <c r="AC102" s="2723"/>
    </row>
    <row r="103" spans="1:29" ht="15.75" thickTop="1">
      <c r="A103" s="483"/>
      <c r="B103" s="487" t="s">
        <v>1736</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c r="D104" s="544"/>
      <c r="E104" s="544"/>
      <c r="F104" s="544"/>
      <c r="G104" s="544"/>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c r="D105" s="485"/>
      <c r="E105" s="485"/>
      <c r="F105" s="485"/>
      <c r="G105" s="485"/>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1737</v>
      </c>
      <c r="C106" s="503"/>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1739</v>
      </c>
      <c r="C108" s="503"/>
      <c r="D108" s="503"/>
      <c r="E108" s="503"/>
      <c r="F108" s="532"/>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1189</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1823</v>
      </c>
      <c r="C113" s="503"/>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1740</v>
      </c>
      <c r="C115" s="503"/>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1741</v>
      </c>
      <c r="C117" s="503"/>
      <c r="D117" s="503"/>
      <c r="E117" s="503"/>
      <c r="F117" s="503"/>
      <c r="G117" s="503"/>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1824</v>
      </c>
      <c r="C119" s="532"/>
      <c r="D119" s="532"/>
      <c r="E119" s="532"/>
      <c r="F119" s="532"/>
      <c r="G119" s="532"/>
      <c r="H119" s="532"/>
      <c r="I119" s="532"/>
      <c r="J119" s="532"/>
      <c r="K119" s="532"/>
      <c r="L119" s="1968"/>
      <c r="M119" s="1969"/>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1807</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1743</v>
      </c>
      <c r="C123" s="503"/>
      <c r="D123" s="503"/>
      <c r="E123" s="503"/>
      <c r="F123" s="532"/>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1744</v>
      </c>
      <c r="C125" s="527" t="s">
        <v>1720</v>
      </c>
      <c r="D125" s="527" t="s">
        <v>1721</v>
      </c>
      <c r="E125" s="527" t="s">
        <v>1722</v>
      </c>
      <c r="F125" s="527" t="s">
        <v>1723</v>
      </c>
      <c r="G125" s="527" t="s">
        <v>1724</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f>B45</f>
        <v>111</v>
      </c>
      <c r="C127" s="503"/>
      <c r="D127" s="503"/>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c r="D128" s="485"/>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5"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8"/>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J58" sqref="J5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1659</v>
      </c>
      <c r="B1" s="1957" t="s">
        <v>1825</v>
      </c>
      <c r="C1" s="1224" t="s">
        <v>1661</v>
      </c>
      <c r="D1" s="1225"/>
      <c r="E1" s="3431"/>
      <c r="F1" s="1879"/>
      <c r="G1" s="1235" t="s">
        <v>1766</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1461</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1462</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1463</v>
      </c>
      <c r="B3" s="558">
        <f>IF(C2="——",C43,ROUND(B2*10000/D3,0))</f>
        <v>0</v>
      </c>
      <c r="C3" s="354" t="s">
        <v>1767</v>
      </c>
      <c r="D3" s="353">
        <f>IF(D1="",'数据-汇总表'!E3,SUMIF('数据-汇总表'!$C19:$C33,D1,'数据-汇总表'!$E19:$E33))</f>
        <v>34689.100000000006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1768</v>
      </c>
      <c r="B4" s="356"/>
      <c r="C4" s="3691" t="s">
        <v>1769</v>
      </c>
      <c r="D4" s="3692"/>
      <c r="E4" s="3693" t="s">
        <v>1770</v>
      </c>
      <c r="F4" s="3694"/>
      <c r="G4" s="3691" t="s">
        <v>1771</v>
      </c>
      <c r="H4" s="3692"/>
      <c r="I4" s="3691" t="s">
        <v>1772</v>
      </c>
      <c r="J4" s="3692"/>
      <c r="K4" s="559" t="s">
        <v>1773</v>
      </c>
      <c r="L4" s="913"/>
      <c r="M4" s="914"/>
      <c r="N4" s="914"/>
      <c r="O4" s="914"/>
      <c r="P4" s="3695" t="s">
        <v>1774</v>
      </c>
      <c r="Q4" s="3696"/>
      <c r="R4" s="3701" t="s">
        <v>1770</v>
      </c>
      <c r="S4" s="3702"/>
      <c r="T4" s="3701" t="s">
        <v>1771</v>
      </c>
      <c r="U4" s="3702"/>
      <c r="V4" s="3707" t="s">
        <v>1772</v>
      </c>
      <c r="W4" s="3707"/>
      <c r="X4" s="1355"/>
      <c r="Y4" s="3701" t="s">
        <v>1774</v>
      </c>
      <c r="Z4" s="3702"/>
      <c r="AA4" s="3688" t="s">
        <v>1770</v>
      </c>
      <c r="AB4" s="3689" t="s">
        <v>1771</v>
      </c>
      <c r="AC4" s="3688" t="s">
        <v>1772</v>
      </c>
    </row>
    <row r="5" spans="1:29" ht="15">
      <c r="A5" s="358"/>
      <c r="B5" s="359"/>
      <c r="C5" s="3710" t="s">
        <v>1672</v>
      </c>
      <c r="D5" s="3711"/>
      <c r="E5" s="3717" t="s">
        <v>1673</v>
      </c>
      <c r="F5" s="3718"/>
      <c r="G5" s="3710" t="s">
        <v>1674</v>
      </c>
      <c r="H5" s="3711"/>
      <c r="I5" s="3710" t="s">
        <v>1675</v>
      </c>
      <c r="J5" s="3711"/>
      <c r="K5" s="559"/>
      <c r="L5" s="913"/>
      <c r="M5" s="914"/>
      <c r="N5" s="914"/>
      <c r="O5" s="914"/>
      <c r="P5" s="3697"/>
      <c r="Q5" s="3698"/>
      <c r="R5" s="3703"/>
      <c r="S5" s="3704"/>
      <c r="T5" s="3703"/>
      <c r="U5" s="3704"/>
      <c r="V5" s="3707"/>
      <c r="W5" s="3707"/>
      <c r="X5" s="1355"/>
      <c r="Y5" s="3703"/>
      <c r="Z5" s="3704"/>
      <c r="AA5" s="3689"/>
      <c r="AB5" s="3689"/>
      <c r="AC5" s="3689"/>
    </row>
    <row r="6" spans="1:29" ht="15.75" thickBot="1">
      <c r="A6" s="360"/>
      <c r="B6" s="361"/>
      <c r="C6" s="3708" t="s">
        <v>1676</v>
      </c>
      <c r="D6" s="3709"/>
      <c r="E6" s="3715" t="s">
        <v>1676</v>
      </c>
      <c r="F6" s="3716"/>
      <c r="G6" s="3708" t="s">
        <v>1676</v>
      </c>
      <c r="H6" s="3709"/>
      <c r="I6" s="3708" t="s">
        <v>1676</v>
      </c>
      <c r="J6" s="3709"/>
      <c r="K6" s="559" t="s">
        <v>1677</v>
      </c>
      <c r="L6" s="913"/>
      <c r="M6" s="914"/>
      <c r="N6" s="914"/>
      <c r="O6" s="914"/>
      <c r="P6" s="3699"/>
      <c r="Q6" s="3700"/>
      <c r="R6" s="3703"/>
      <c r="S6" s="3704"/>
      <c r="T6" s="3705"/>
      <c r="U6" s="3706"/>
      <c r="V6" s="3707"/>
      <c r="W6" s="3707"/>
      <c r="X6" s="1355"/>
      <c r="Y6" s="3705"/>
      <c r="Z6" s="3706"/>
      <c r="AA6" s="3690"/>
      <c r="AB6" s="3690"/>
      <c r="AC6" s="3690"/>
    </row>
    <row r="7" spans="1:29" s="108" customFormat="1" ht="15.75" thickBot="1">
      <c r="A7" s="362" t="s">
        <v>1678</v>
      </c>
      <c r="B7" s="363"/>
      <c r="C7" s="364">
        <f>'数据-取费表'!B2</f>
        <v>45044</v>
      </c>
      <c r="D7" s="365">
        <v>100</v>
      </c>
      <c r="E7" s="366"/>
      <c r="F7" s="367">
        <f>SUMIF(52:52,YEAR(E7)&amp;"-"&amp;MONTH(E7),53:53)</f>
        <v>0</v>
      </c>
      <c r="G7" s="366"/>
      <c r="H7" s="365">
        <f>SUMIF(52:52,YEAR(G7)&amp;"-"&amp;MONTH(G7),53:53)</f>
        <v>0</v>
      </c>
      <c r="I7" s="366"/>
      <c r="J7" s="365">
        <f>SUMIF(52:52,YEAR(I7)&amp;"-"&amp;MONTH(I7),53:53)</f>
        <v>0</v>
      </c>
      <c r="K7" s="560"/>
      <c r="L7" s="915"/>
      <c r="M7" s="916"/>
      <c r="N7" s="916"/>
      <c r="O7" s="916"/>
      <c r="P7" s="3712" t="s">
        <v>1679</v>
      </c>
      <c r="Q7" s="3714"/>
      <c r="R7" s="701" t="s">
        <v>14</v>
      </c>
      <c r="S7" s="702">
        <f t="shared" ref="S7:S15" si="0">F7</f>
        <v>0</v>
      </c>
      <c r="T7" s="701" t="s">
        <v>14</v>
      </c>
      <c r="U7" s="702">
        <f t="shared" ref="U7:U15" si="1">H7</f>
        <v>0</v>
      </c>
      <c r="V7" s="701" t="s">
        <v>14</v>
      </c>
      <c r="W7" s="702">
        <f t="shared" ref="W7:W15" si="2">J7</f>
        <v>0</v>
      </c>
      <c r="X7" s="703"/>
      <c r="Y7" s="3712" t="s">
        <v>1679</v>
      </c>
      <c r="Z7" s="3713"/>
      <c r="AA7" s="704" t="e">
        <f>D7/F7</f>
        <v>#DIV/0!</v>
      </c>
      <c r="AB7" s="704" t="e">
        <f>D7/H7</f>
        <v>#DIV/0!</v>
      </c>
      <c r="AC7" s="704" t="e">
        <f>D7/J7</f>
        <v>#DIV/0!</v>
      </c>
    </row>
    <row r="8" spans="1:29" s="108" customFormat="1" ht="15.75" thickBot="1">
      <c r="A8" s="362" t="s">
        <v>1680</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12" t="s">
        <v>1682</v>
      </c>
      <c r="Q8" s="3713"/>
      <c r="R8" s="701" t="s">
        <v>14</v>
      </c>
      <c r="S8" s="702">
        <f t="shared" si="0"/>
        <v>100</v>
      </c>
      <c r="T8" s="701" t="s">
        <v>14</v>
      </c>
      <c r="U8" s="702">
        <f t="shared" si="1"/>
        <v>100</v>
      </c>
      <c r="V8" s="701" t="s">
        <v>14</v>
      </c>
      <c r="W8" s="702">
        <f t="shared" si="2"/>
        <v>100</v>
      </c>
      <c r="X8" s="703"/>
      <c r="Y8" s="3712" t="s">
        <v>1682</v>
      </c>
      <c r="Z8" s="3713"/>
      <c r="AA8" s="704">
        <f t="shared" ref="AA8:AA40" si="3">D8/F8</f>
        <v>1</v>
      </c>
      <c r="AB8" s="704">
        <f t="shared" ref="AB8:AB40" si="4">D8/H8</f>
        <v>1</v>
      </c>
      <c r="AC8" s="704">
        <f t="shared" ref="AC8:AC40" si="5">D8/J8</f>
        <v>1</v>
      </c>
    </row>
    <row r="9" spans="1:29" s="108" customFormat="1">
      <c r="A9" s="369" t="s">
        <v>1683</v>
      </c>
      <c r="B9" s="63" t="s">
        <v>1684</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76" t="s">
        <v>1685</v>
      </c>
      <c r="Q9" s="1343" t="str">
        <f t="shared" ref="Q9:Q15" si="6">B9</f>
        <v>用途</v>
      </c>
      <c r="R9" s="701" t="s">
        <v>14</v>
      </c>
      <c r="S9" s="702">
        <f t="shared" si="0"/>
        <v>100</v>
      </c>
      <c r="T9" s="701" t="s">
        <v>14</v>
      </c>
      <c r="U9" s="702">
        <f t="shared" si="1"/>
        <v>100</v>
      </c>
      <c r="V9" s="701" t="s">
        <v>14</v>
      </c>
      <c r="W9" s="702">
        <f t="shared" si="2"/>
        <v>100</v>
      </c>
      <c r="X9" s="703"/>
      <c r="Y9" s="3551" t="s">
        <v>1686</v>
      </c>
      <c r="Z9" s="52" t="str">
        <f t="shared" ref="Z9:Z15" si="7">Q9</f>
        <v>用途</v>
      </c>
      <c r="AA9" s="704">
        <f t="shared" si="3"/>
        <v>1</v>
      </c>
      <c r="AB9" s="704">
        <f t="shared" si="4"/>
        <v>1</v>
      </c>
      <c r="AC9" s="704">
        <f t="shared" si="5"/>
        <v>1</v>
      </c>
    </row>
    <row r="10" spans="1:29" s="378" customFormat="1" ht="27">
      <c r="A10" s="374"/>
      <c r="B10" s="375" t="s">
        <v>1687</v>
      </c>
      <c r="C10" s="3432"/>
      <c r="D10" s="127">
        <v>100</v>
      </c>
      <c r="E10" s="3432"/>
      <c r="F10" s="127">
        <f>SUMIF(59:59,E10,60:60)-SUMIF(59:59,C10,60:60)+100</f>
        <v>100</v>
      </c>
      <c r="G10" s="3433"/>
      <c r="H10" s="127">
        <f>SUMIF(59:59,G10,60:60)-SUMIF(59:59,C10,60:60)+100</f>
        <v>100</v>
      </c>
      <c r="I10" s="3432"/>
      <c r="J10" s="127">
        <f>SUMIF(59:59,I10,60:60)-SUMIF(59:59,C10,60:60)+100</f>
        <v>100</v>
      </c>
      <c r="K10" s="560"/>
      <c r="L10" s="918"/>
      <c r="M10" s="919"/>
      <c r="N10" s="919"/>
      <c r="O10" s="920"/>
      <c r="P10" s="3676"/>
      <c r="Q10" s="1343" t="str">
        <f t="shared" si="6"/>
        <v>土地使用年限（年）</v>
      </c>
      <c r="R10" s="701" t="s">
        <v>14</v>
      </c>
      <c r="S10" s="702">
        <f t="shared" si="0"/>
        <v>100</v>
      </c>
      <c r="T10" s="701" t="s">
        <v>14</v>
      </c>
      <c r="U10" s="702">
        <f t="shared" si="1"/>
        <v>100</v>
      </c>
      <c r="V10" s="701" t="s">
        <v>14</v>
      </c>
      <c r="W10" s="702">
        <f t="shared" si="2"/>
        <v>100</v>
      </c>
      <c r="X10" s="703"/>
      <c r="Y10" s="3551"/>
      <c r="Z10" s="52" t="str">
        <f t="shared" si="7"/>
        <v>土地使用年限（年）</v>
      </c>
      <c r="AA10" s="704">
        <f t="shared" si="3"/>
        <v>1</v>
      </c>
      <c r="AB10" s="704">
        <f t="shared" si="4"/>
        <v>1</v>
      </c>
      <c r="AC10" s="704">
        <f t="shared" si="5"/>
        <v>1</v>
      </c>
    </row>
    <row r="11" spans="1:29" ht="15">
      <c r="A11" s="379"/>
      <c r="B11" s="375" t="s">
        <v>1688</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76"/>
      <c r="Q11" s="1343" t="str">
        <f t="shared" si="6"/>
        <v>容积率</v>
      </c>
      <c r="R11" s="701" t="s">
        <v>14</v>
      </c>
      <c r="S11" s="702">
        <f t="shared" si="0"/>
        <v>100</v>
      </c>
      <c r="T11" s="701" t="s">
        <v>14</v>
      </c>
      <c r="U11" s="702">
        <f t="shared" si="1"/>
        <v>100</v>
      </c>
      <c r="V11" s="701" t="s">
        <v>14</v>
      </c>
      <c r="W11" s="702">
        <f t="shared" si="2"/>
        <v>100</v>
      </c>
      <c r="X11" s="703"/>
      <c r="Y11" s="3551"/>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76"/>
      <c r="Q12" s="1343">
        <f t="shared" si="6"/>
        <v>111</v>
      </c>
      <c r="R12" s="701" t="s">
        <v>14</v>
      </c>
      <c r="S12" s="702">
        <f t="shared" si="0"/>
        <v>100</v>
      </c>
      <c r="T12" s="701" t="s">
        <v>14</v>
      </c>
      <c r="U12" s="702">
        <f t="shared" si="1"/>
        <v>100</v>
      </c>
      <c r="V12" s="701" t="s">
        <v>14</v>
      </c>
      <c r="W12" s="702">
        <f t="shared" si="2"/>
        <v>100</v>
      </c>
      <c r="X12" s="703"/>
      <c r="Y12" s="3551"/>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76"/>
      <c r="Q13" s="1343">
        <f t="shared" si="6"/>
        <v>111</v>
      </c>
      <c r="R13" s="701" t="s">
        <v>14</v>
      </c>
      <c r="S13" s="702">
        <f t="shared" si="0"/>
        <v>100</v>
      </c>
      <c r="T13" s="701" t="s">
        <v>14</v>
      </c>
      <c r="U13" s="702">
        <f t="shared" si="1"/>
        <v>100</v>
      </c>
      <c r="V13" s="701" t="s">
        <v>14</v>
      </c>
      <c r="W13" s="702">
        <f t="shared" si="2"/>
        <v>100</v>
      </c>
      <c r="X13" s="703"/>
      <c r="Y13" s="3551"/>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76"/>
      <c r="Q14" s="1343">
        <f t="shared" si="6"/>
        <v>111</v>
      </c>
      <c r="R14" s="701" t="s">
        <v>14</v>
      </c>
      <c r="S14" s="702">
        <f t="shared" si="0"/>
        <v>100</v>
      </c>
      <c r="T14" s="701" t="s">
        <v>14</v>
      </c>
      <c r="U14" s="702">
        <f t="shared" si="1"/>
        <v>100</v>
      </c>
      <c r="V14" s="701" t="s">
        <v>14</v>
      </c>
      <c r="W14" s="702">
        <f t="shared" si="2"/>
        <v>100</v>
      </c>
      <c r="X14" s="703"/>
      <c r="Y14" s="3551"/>
      <c r="Z14" s="52">
        <f t="shared" si="7"/>
        <v>111</v>
      </c>
      <c r="AA14" s="704">
        <f t="shared" si="3"/>
        <v>1</v>
      </c>
      <c r="AB14" s="704">
        <f t="shared" si="4"/>
        <v>1</v>
      </c>
      <c r="AC14" s="704">
        <f t="shared" si="5"/>
        <v>1</v>
      </c>
    </row>
    <row r="15" spans="1:29" ht="57">
      <c r="A15" s="391" t="s">
        <v>1689</v>
      </c>
      <c r="B15" s="61" t="s">
        <v>1826</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78" t="s">
        <v>1690</v>
      </c>
      <c r="Q15" s="1352" t="str">
        <f t="shared" si="6"/>
        <v>产业集聚程度</v>
      </c>
      <c r="R15" s="705" t="s">
        <v>14</v>
      </c>
      <c r="S15" s="706">
        <f t="shared" si="0"/>
        <v>100</v>
      </c>
      <c r="T15" s="705" t="s">
        <v>14</v>
      </c>
      <c r="U15" s="706">
        <f t="shared" si="1"/>
        <v>100</v>
      </c>
      <c r="V15" s="705" t="s">
        <v>14</v>
      </c>
      <c r="W15" s="706">
        <f t="shared" si="2"/>
        <v>100</v>
      </c>
      <c r="X15" s="1355"/>
      <c r="Y15" s="3678" t="s">
        <v>1690</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79"/>
      <c r="Q16" s="1352"/>
      <c r="R16" s="705"/>
      <c r="S16" s="706"/>
      <c r="T16" s="705"/>
      <c r="U16" s="706"/>
      <c r="V16" s="705"/>
      <c r="W16" s="706"/>
      <c r="X16" s="1355"/>
      <c r="Y16" s="3679"/>
      <c r="Z16" s="1356"/>
      <c r="AA16" s="1353">
        <v>1</v>
      </c>
      <c r="AB16" s="1353">
        <v>1</v>
      </c>
      <c r="AC16" s="1353">
        <v>1</v>
      </c>
    </row>
    <row r="17" spans="1:29" ht="85.5">
      <c r="A17" s="379"/>
      <c r="B17" s="402" t="s">
        <v>1258</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79"/>
      <c r="Q17" s="1352" t="str">
        <f>B17</f>
        <v>交通便捷度</v>
      </c>
      <c r="R17" s="705" t="s">
        <v>14</v>
      </c>
      <c r="S17" s="706">
        <f>F17</f>
        <v>100</v>
      </c>
      <c r="T17" s="705" t="s">
        <v>14</v>
      </c>
      <c r="U17" s="706">
        <f>H17</f>
        <v>100</v>
      </c>
      <c r="V17" s="705" t="s">
        <v>14</v>
      </c>
      <c r="W17" s="706">
        <f>J17</f>
        <v>100</v>
      </c>
      <c r="X17" s="1355"/>
      <c r="Y17" s="367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79"/>
      <c r="Q18" s="1352"/>
      <c r="R18" s="705"/>
      <c r="S18" s="706"/>
      <c r="T18" s="705"/>
      <c r="U18" s="706"/>
      <c r="V18" s="705"/>
      <c r="W18" s="706"/>
      <c r="X18" s="1355"/>
      <c r="Y18" s="3679"/>
      <c r="Z18" s="1356"/>
      <c r="AA18" s="1353">
        <v>1</v>
      </c>
      <c r="AB18" s="1353">
        <v>1</v>
      </c>
      <c r="AC18" s="1353">
        <v>1</v>
      </c>
    </row>
    <row r="19" spans="1:29" ht="42.75">
      <c r="A19" s="379"/>
      <c r="B19" s="402" t="s">
        <v>1811</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79"/>
      <c r="Q19" s="1352" t="str">
        <f>B19</f>
        <v>公共配套设施</v>
      </c>
      <c r="R19" s="705" t="s">
        <v>14</v>
      </c>
      <c r="S19" s="706">
        <f>F19</f>
        <v>100</v>
      </c>
      <c r="T19" s="705" t="s">
        <v>14</v>
      </c>
      <c r="U19" s="706">
        <f>H19</f>
        <v>100</v>
      </c>
      <c r="V19" s="705" t="s">
        <v>14</v>
      </c>
      <c r="W19" s="706">
        <f>J19</f>
        <v>100</v>
      </c>
      <c r="X19" s="1355"/>
      <c r="Y19" s="367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79"/>
      <c r="Q20" s="1352"/>
      <c r="R20" s="705"/>
      <c r="S20" s="706"/>
      <c r="T20" s="705"/>
      <c r="U20" s="706"/>
      <c r="V20" s="705"/>
      <c r="W20" s="706"/>
      <c r="X20" s="1355"/>
      <c r="Y20" s="3679"/>
      <c r="Z20" s="1356"/>
      <c r="AA20" s="1353">
        <v>1</v>
      </c>
      <c r="AB20" s="1353">
        <v>1</v>
      </c>
      <c r="AC20" s="1353">
        <v>1</v>
      </c>
    </row>
    <row r="21" spans="1:29" ht="28.5">
      <c r="A21" s="379"/>
      <c r="B21" s="1131" t="s">
        <v>1812</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79"/>
      <c r="Q21" s="1352" t="str">
        <f>B21</f>
        <v>基础设施水平</v>
      </c>
      <c r="R21" s="705" t="s">
        <v>14</v>
      </c>
      <c r="S21" s="706">
        <f>F21</f>
        <v>100</v>
      </c>
      <c r="T21" s="705" t="s">
        <v>14</v>
      </c>
      <c r="U21" s="706">
        <f>H21</f>
        <v>100</v>
      </c>
      <c r="V21" s="705" t="s">
        <v>14</v>
      </c>
      <c r="W21" s="706">
        <f>J21</f>
        <v>100</v>
      </c>
      <c r="X21" s="1355"/>
      <c r="Y21" s="367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79"/>
      <c r="Q22" s="1352"/>
      <c r="R22" s="705"/>
      <c r="S22" s="706"/>
      <c r="T22" s="705"/>
      <c r="U22" s="706"/>
      <c r="V22" s="705"/>
      <c r="W22" s="706"/>
      <c r="X22" s="1355"/>
      <c r="Y22" s="3679"/>
      <c r="Z22" s="1356"/>
      <c r="AA22" s="1353">
        <v>1</v>
      </c>
      <c r="AB22" s="1353">
        <v>1</v>
      </c>
      <c r="AC22" s="1353">
        <v>1</v>
      </c>
    </row>
    <row r="23" spans="1:29" ht="71.25">
      <c r="A23" s="379"/>
      <c r="B23" s="402" t="s">
        <v>1813</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79"/>
      <c r="Q23" s="1352" t="str">
        <f>B23</f>
        <v>环境质量</v>
      </c>
      <c r="R23" s="705" t="s">
        <v>14</v>
      </c>
      <c r="S23" s="706">
        <f>F23</f>
        <v>100</v>
      </c>
      <c r="T23" s="705" t="s">
        <v>14</v>
      </c>
      <c r="U23" s="706">
        <f>H23</f>
        <v>100</v>
      </c>
      <c r="V23" s="705" t="s">
        <v>14</v>
      </c>
      <c r="W23" s="706">
        <f>J23</f>
        <v>100</v>
      </c>
      <c r="X23" s="1355"/>
      <c r="Y23" s="3679"/>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79"/>
      <c r="Q24" s="1352"/>
      <c r="R24" s="705"/>
      <c r="S24" s="706"/>
      <c r="T24" s="705"/>
      <c r="U24" s="706"/>
      <c r="V24" s="705"/>
      <c r="W24" s="706"/>
      <c r="X24" s="1355"/>
      <c r="Y24" s="3679"/>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79"/>
      <c r="Q25" s="1352">
        <f>B25</f>
        <v>111</v>
      </c>
      <c r="R25" s="705" t="s">
        <v>14</v>
      </c>
      <c r="S25" s="706">
        <f>F25</f>
        <v>100</v>
      </c>
      <c r="T25" s="705" t="s">
        <v>14</v>
      </c>
      <c r="U25" s="706">
        <f>H25</f>
        <v>100</v>
      </c>
      <c r="V25" s="705" t="s">
        <v>14</v>
      </c>
      <c r="W25" s="706">
        <f>J25</f>
        <v>100</v>
      </c>
      <c r="X25" s="1355"/>
      <c r="Y25" s="3679"/>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79"/>
      <c r="Q26" s="1352">
        <f t="shared" ref="Q26:Q40" si="11">B26</f>
        <v>111</v>
      </c>
      <c r="R26" s="705" t="s">
        <v>14</v>
      </c>
      <c r="S26" s="706">
        <f>F26</f>
        <v>100</v>
      </c>
      <c r="T26" s="705" t="s">
        <v>14</v>
      </c>
      <c r="U26" s="706">
        <f>H26</f>
        <v>100</v>
      </c>
      <c r="V26" s="705" t="s">
        <v>14</v>
      </c>
      <c r="W26" s="706">
        <f>J26</f>
        <v>100</v>
      </c>
      <c r="X26" s="1355"/>
      <c r="Y26" s="3679"/>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79"/>
      <c r="Q27" s="1343">
        <f t="shared" si="11"/>
        <v>111</v>
      </c>
      <c r="R27" s="701" t="s">
        <v>14</v>
      </c>
      <c r="S27" s="702">
        <f>F27</f>
        <v>100</v>
      </c>
      <c r="T27" s="701" t="s">
        <v>14</v>
      </c>
      <c r="U27" s="702">
        <f>H27</f>
        <v>100</v>
      </c>
      <c r="V27" s="701" t="s">
        <v>14</v>
      </c>
      <c r="W27" s="702">
        <f>J27</f>
        <v>100</v>
      </c>
      <c r="X27" s="703"/>
      <c r="Y27" s="3679"/>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79"/>
      <c r="Q28" s="1352">
        <f t="shared" si="11"/>
        <v>111</v>
      </c>
      <c r="R28" s="705" t="s">
        <v>14</v>
      </c>
      <c r="S28" s="706">
        <f t="shared" ref="S28:S40" si="12">F28</f>
        <v>100</v>
      </c>
      <c r="T28" s="705" t="s">
        <v>14</v>
      </c>
      <c r="U28" s="706">
        <f t="shared" ref="U28:U40" si="13">H28</f>
        <v>100</v>
      </c>
      <c r="V28" s="705" t="s">
        <v>14</v>
      </c>
      <c r="W28" s="706">
        <f t="shared" ref="W28:W40" si="14">J28</f>
        <v>100</v>
      </c>
      <c r="X28" s="1355"/>
      <c r="Y28" s="3679"/>
      <c r="Z28" s="1356">
        <f t="shared" ref="Z28:Z40" si="15">Q28</f>
        <v>111</v>
      </c>
      <c r="AA28" s="1353">
        <f t="shared" si="3"/>
        <v>1</v>
      </c>
      <c r="AB28" s="1353">
        <f t="shared" si="4"/>
        <v>1</v>
      </c>
      <c r="AC28" s="1353">
        <f t="shared" si="5"/>
        <v>1</v>
      </c>
    </row>
    <row r="29" spans="1:29" ht="28.5">
      <c r="A29" s="417" t="s">
        <v>1693</v>
      </c>
      <c r="B29" s="63" t="s">
        <v>1816</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34" t="s">
        <v>1695</v>
      </c>
      <c r="Q29" s="1352" t="str">
        <f t="shared" si="11"/>
        <v>建筑类型</v>
      </c>
      <c r="R29" s="705" t="s">
        <v>14</v>
      </c>
      <c r="S29" s="706">
        <f t="shared" si="12"/>
        <v>100</v>
      </c>
      <c r="T29" s="705" t="s">
        <v>14</v>
      </c>
      <c r="U29" s="706">
        <f t="shared" si="13"/>
        <v>100</v>
      </c>
      <c r="V29" s="705" t="s">
        <v>14</v>
      </c>
      <c r="W29" s="706">
        <f t="shared" si="14"/>
        <v>100</v>
      </c>
      <c r="X29" s="1355"/>
      <c r="Y29" s="3683" t="s">
        <v>1695</v>
      </c>
      <c r="Z29" s="1356" t="str">
        <f t="shared" si="15"/>
        <v>建筑类型</v>
      </c>
      <c r="AA29" s="1353">
        <f t="shared" si="3"/>
        <v>1</v>
      </c>
      <c r="AB29" s="1353">
        <f t="shared" si="4"/>
        <v>1</v>
      </c>
      <c r="AC29" s="1353">
        <f t="shared" si="5"/>
        <v>1</v>
      </c>
    </row>
    <row r="30" spans="1:29" s="422" customFormat="1" ht="15">
      <c r="A30" s="419"/>
      <c r="B30" s="375" t="s">
        <v>1696</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83"/>
      <c r="Q30" s="707" t="str">
        <f t="shared" si="11"/>
        <v>项目建筑规模</v>
      </c>
      <c r="R30" s="708" t="s">
        <v>14</v>
      </c>
      <c r="S30" s="709" t="e">
        <f t="shared" si="12"/>
        <v>#N/A</v>
      </c>
      <c r="T30" s="708" t="s">
        <v>14</v>
      </c>
      <c r="U30" s="709" t="e">
        <f t="shared" si="13"/>
        <v>#N/A</v>
      </c>
      <c r="V30" s="708" t="s">
        <v>14</v>
      </c>
      <c r="W30" s="709" t="e">
        <f t="shared" si="14"/>
        <v>#N/A</v>
      </c>
      <c r="X30" s="710"/>
      <c r="Y30" s="3683"/>
      <c r="Z30" s="711" t="str">
        <f t="shared" si="15"/>
        <v>项目建筑规模</v>
      </c>
      <c r="AA30" s="1353" t="e">
        <f t="shared" si="3"/>
        <v>#N/A</v>
      </c>
      <c r="AB30" s="1353" t="e">
        <f t="shared" si="4"/>
        <v>#N/A</v>
      </c>
      <c r="AC30" s="1353" t="e">
        <f t="shared" si="5"/>
        <v>#N/A</v>
      </c>
    </row>
    <row r="31" spans="1:29" ht="15">
      <c r="A31" s="423"/>
      <c r="B31" s="375" t="s">
        <v>1697</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83"/>
      <c r="Q31" s="1352" t="str">
        <f t="shared" si="11"/>
        <v>建筑结构</v>
      </c>
      <c r="R31" s="705" t="s">
        <v>14</v>
      </c>
      <c r="S31" s="706">
        <f t="shared" si="12"/>
        <v>100</v>
      </c>
      <c r="T31" s="705" t="s">
        <v>14</v>
      </c>
      <c r="U31" s="706">
        <f t="shared" si="13"/>
        <v>100</v>
      </c>
      <c r="V31" s="705" t="s">
        <v>14</v>
      </c>
      <c r="W31" s="706">
        <f t="shared" si="14"/>
        <v>100</v>
      </c>
      <c r="X31" s="1355"/>
      <c r="Y31" s="3683"/>
      <c r="Z31" s="1356" t="str">
        <f t="shared" si="15"/>
        <v>建筑结构</v>
      </c>
      <c r="AA31" s="1353">
        <f t="shared" si="3"/>
        <v>1</v>
      </c>
      <c r="AB31" s="1353">
        <f t="shared" si="4"/>
        <v>1</v>
      </c>
      <c r="AC31" s="1353">
        <f t="shared" si="5"/>
        <v>1</v>
      </c>
    </row>
    <row r="32" spans="1:29" ht="15">
      <c r="A32" s="423"/>
      <c r="B32" s="375" t="s">
        <v>1784</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83"/>
      <c r="Q32" s="1352" t="str">
        <f t="shared" si="11"/>
        <v>公共部分装修</v>
      </c>
      <c r="R32" s="705" t="s">
        <v>14</v>
      </c>
      <c r="S32" s="706">
        <f t="shared" si="12"/>
        <v>100</v>
      </c>
      <c r="T32" s="705" t="s">
        <v>14</v>
      </c>
      <c r="U32" s="706">
        <f t="shared" si="13"/>
        <v>100</v>
      </c>
      <c r="V32" s="705" t="s">
        <v>14</v>
      </c>
      <c r="W32" s="706">
        <f t="shared" si="14"/>
        <v>100</v>
      </c>
      <c r="X32" s="1355"/>
      <c r="Y32" s="3683"/>
      <c r="Z32" s="1356" t="str">
        <f t="shared" si="15"/>
        <v>公共部分装修</v>
      </c>
      <c r="AA32" s="1353">
        <f t="shared" si="3"/>
        <v>1</v>
      </c>
      <c r="AB32" s="1353">
        <f t="shared" si="4"/>
        <v>1</v>
      </c>
      <c r="AC32" s="1353">
        <f t="shared" si="5"/>
        <v>1</v>
      </c>
    </row>
    <row r="33" spans="1:29" ht="15">
      <c r="A33" s="423"/>
      <c r="B33" s="375" t="s">
        <v>1785</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83"/>
      <c r="Q33" s="1352" t="str">
        <f t="shared" si="11"/>
        <v>成新度</v>
      </c>
      <c r="R33" s="705" t="s">
        <v>14</v>
      </c>
      <c r="S33" s="706" t="e">
        <f t="shared" si="12"/>
        <v>#N/A</v>
      </c>
      <c r="T33" s="705" t="s">
        <v>14</v>
      </c>
      <c r="U33" s="706" t="e">
        <f t="shared" si="13"/>
        <v>#N/A</v>
      </c>
      <c r="V33" s="705" t="s">
        <v>14</v>
      </c>
      <c r="W33" s="706" t="e">
        <f t="shared" si="14"/>
        <v>#N/A</v>
      </c>
      <c r="X33" s="1355"/>
      <c r="Y33" s="3683"/>
      <c r="Z33" s="1356" t="str">
        <f t="shared" si="15"/>
        <v>成新度</v>
      </c>
      <c r="AA33" s="1353" t="e">
        <f t="shared" si="3"/>
        <v>#N/A</v>
      </c>
      <c r="AB33" s="1353" t="e">
        <f t="shared" si="4"/>
        <v>#N/A</v>
      </c>
      <c r="AC33" s="1353" t="e">
        <f t="shared" si="5"/>
        <v>#N/A</v>
      </c>
    </row>
    <row r="34" spans="1:29" s="108" customFormat="1" ht="15">
      <c r="A34" s="424"/>
      <c r="B34" s="375" t="s">
        <v>1818</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83"/>
      <c r="Q34" s="1343" t="str">
        <f t="shared" si="11"/>
        <v>物业管理</v>
      </c>
      <c r="R34" s="701" t="s">
        <v>14</v>
      </c>
      <c r="S34" s="702">
        <f t="shared" si="12"/>
        <v>100</v>
      </c>
      <c r="T34" s="701" t="s">
        <v>14</v>
      </c>
      <c r="U34" s="702">
        <f t="shared" si="13"/>
        <v>100</v>
      </c>
      <c r="V34" s="701" t="s">
        <v>14</v>
      </c>
      <c r="W34" s="702">
        <f t="shared" si="14"/>
        <v>100</v>
      </c>
      <c r="X34" s="703"/>
      <c r="Y34" s="3683"/>
      <c r="Z34" s="52" t="str">
        <f t="shared" si="15"/>
        <v>物业管理</v>
      </c>
      <c r="AA34" s="704">
        <f t="shared" si="3"/>
        <v>1</v>
      </c>
      <c r="AB34" s="704">
        <f t="shared" si="4"/>
        <v>1</v>
      </c>
      <c r="AC34" s="704">
        <f t="shared" si="5"/>
        <v>1</v>
      </c>
    </row>
    <row r="35" spans="1:29" ht="15">
      <c r="A35" s="423"/>
      <c r="B35" s="375" t="s">
        <v>1786</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83" t="s">
        <v>1695</v>
      </c>
      <c r="Q35" s="1352" t="str">
        <f t="shared" si="11"/>
        <v>市政基础设施</v>
      </c>
      <c r="R35" s="705" t="s">
        <v>14</v>
      </c>
      <c r="S35" s="706">
        <f t="shared" si="12"/>
        <v>100</v>
      </c>
      <c r="T35" s="705" t="s">
        <v>14</v>
      </c>
      <c r="U35" s="706">
        <f t="shared" si="13"/>
        <v>100</v>
      </c>
      <c r="V35" s="705" t="s">
        <v>14</v>
      </c>
      <c r="W35" s="706">
        <f t="shared" si="14"/>
        <v>100</v>
      </c>
      <c r="X35" s="1355"/>
      <c r="Y35" s="3683" t="s">
        <v>1695</v>
      </c>
      <c r="Z35" s="1356" t="str">
        <f t="shared" si="15"/>
        <v>市政基础设施</v>
      </c>
      <c r="AA35" s="1353">
        <f t="shared" si="3"/>
        <v>1</v>
      </c>
      <c r="AB35" s="1353">
        <f t="shared" si="4"/>
        <v>1</v>
      </c>
      <c r="AC35" s="1353">
        <f t="shared" si="5"/>
        <v>1</v>
      </c>
    </row>
    <row r="36" spans="1:29" ht="15">
      <c r="A36" s="423"/>
      <c r="B36" s="375" t="s">
        <v>1791</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83"/>
      <c r="Q36" s="1352" t="str">
        <f t="shared" si="11"/>
        <v>内部装修</v>
      </c>
      <c r="R36" s="705" t="s">
        <v>14</v>
      </c>
      <c r="S36" s="706">
        <f t="shared" si="12"/>
        <v>100</v>
      </c>
      <c r="T36" s="705" t="s">
        <v>14</v>
      </c>
      <c r="U36" s="706">
        <f t="shared" si="13"/>
        <v>100</v>
      </c>
      <c r="V36" s="705" t="s">
        <v>14</v>
      </c>
      <c r="W36" s="706">
        <f t="shared" si="14"/>
        <v>100</v>
      </c>
      <c r="X36" s="1355"/>
      <c r="Y36" s="3683"/>
      <c r="Z36" s="1356" t="str">
        <f t="shared" si="15"/>
        <v>内部装修</v>
      </c>
      <c r="AA36" s="1353">
        <f t="shared" si="3"/>
        <v>1</v>
      </c>
      <c r="AB36" s="1353">
        <f t="shared" si="4"/>
        <v>1</v>
      </c>
      <c r="AC36" s="1353">
        <f t="shared" si="5"/>
        <v>1</v>
      </c>
    </row>
    <row r="37" spans="1:29" ht="15">
      <c r="A37" s="423"/>
      <c r="B37" s="375" t="s">
        <v>1827</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83"/>
      <c r="Q37" s="1352" t="str">
        <f t="shared" si="11"/>
        <v>内部装修状况</v>
      </c>
      <c r="R37" s="705" t="s">
        <v>14</v>
      </c>
      <c r="S37" s="706">
        <f t="shared" si="12"/>
        <v>100</v>
      </c>
      <c r="T37" s="705" t="s">
        <v>14</v>
      </c>
      <c r="U37" s="706">
        <f t="shared" si="13"/>
        <v>100</v>
      </c>
      <c r="V37" s="705" t="s">
        <v>14</v>
      </c>
      <c r="W37" s="706">
        <f t="shared" si="14"/>
        <v>100</v>
      </c>
      <c r="X37" s="1355"/>
      <c r="Y37" s="3683"/>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83"/>
      <c r="Q38" s="707">
        <f t="shared" si="11"/>
        <v>111</v>
      </c>
      <c r="R38" s="708" t="s">
        <v>14</v>
      </c>
      <c r="S38" s="709">
        <f t="shared" si="12"/>
        <v>100</v>
      </c>
      <c r="T38" s="708" t="s">
        <v>14</v>
      </c>
      <c r="U38" s="709">
        <f t="shared" si="13"/>
        <v>100</v>
      </c>
      <c r="V38" s="708" t="s">
        <v>14</v>
      </c>
      <c r="W38" s="709">
        <f t="shared" si="14"/>
        <v>100</v>
      </c>
      <c r="X38" s="710"/>
      <c r="Y38" s="3683"/>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83"/>
      <c r="Q39" s="1352">
        <f t="shared" si="11"/>
        <v>111</v>
      </c>
      <c r="R39" s="705" t="s">
        <v>14</v>
      </c>
      <c r="S39" s="706">
        <f t="shared" si="12"/>
        <v>100</v>
      </c>
      <c r="T39" s="705" t="s">
        <v>14</v>
      </c>
      <c r="U39" s="706">
        <f t="shared" si="13"/>
        <v>100</v>
      </c>
      <c r="V39" s="705" t="s">
        <v>14</v>
      </c>
      <c r="W39" s="706">
        <f t="shared" si="14"/>
        <v>100</v>
      </c>
      <c r="X39" s="1355"/>
      <c r="Y39" s="3683"/>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84"/>
      <c r="Q40" s="1352">
        <f t="shared" si="11"/>
        <v>111</v>
      </c>
      <c r="R40" s="705" t="s">
        <v>14</v>
      </c>
      <c r="S40" s="706">
        <f t="shared" si="12"/>
        <v>100</v>
      </c>
      <c r="T40" s="705" t="s">
        <v>14</v>
      </c>
      <c r="U40" s="706">
        <f t="shared" si="13"/>
        <v>100</v>
      </c>
      <c r="V40" s="705" t="s">
        <v>14</v>
      </c>
      <c r="W40" s="706">
        <f t="shared" si="14"/>
        <v>100</v>
      </c>
      <c r="X40" s="1355"/>
      <c r="Y40" s="3684"/>
      <c r="Z40" s="1356">
        <f t="shared" si="15"/>
        <v>111</v>
      </c>
      <c r="AA40" s="1353">
        <f t="shared" si="3"/>
        <v>1</v>
      </c>
      <c r="AB40" s="1353">
        <f t="shared" si="4"/>
        <v>1</v>
      </c>
      <c r="AC40" s="1353">
        <f t="shared" si="5"/>
        <v>1</v>
      </c>
    </row>
    <row r="41" spans="1:29" ht="15">
      <c r="A41" s="430" t="s">
        <v>1707</v>
      </c>
      <c r="B41" s="431"/>
      <c r="C41" s="1154" t="s">
        <v>0</v>
      </c>
      <c r="D41" s="1155"/>
      <c r="E41" s="1156"/>
      <c r="F41" s="1157"/>
      <c r="G41" s="1158"/>
      <c r="H41" s="1159"/>
      <c r="I41" s="1156"/>
      <c r="J41" s="1159"/>
      <c r="K41" s="714"/>
      <c r="L41" s="926"/>
      <c r="M41" s="927"/>
      <c r="N41" s="914"/>
      <c r="O41" s="927"/>
      <c r="P41" s="3676" t="str">
        <f>A41</f>
        <v>成交单价（元/平方米）</v>
      </c>
      <c r="Q41" s="3676"/>
      <c r="R41" s="3677">
        <f>E41</f>
        <v>0</v>
      </c>
      <c r="S41" s="3677"/>
      <c r="T41" s="3677">
        <f>G41</f>
        <v>0</v>
      </c>
      <c r="U41" s="3677"/>
      <c r="V41" s="3677">
        <f>I41</f>
        <v>0</v>
      </c>
      <c r="W41" s="3677"/>
      <c r="X41" s="690"/>
      <c r="Y41" s="712"/>
      <c r="Z41" s="690"/>
      <c r="AA41" s="690"/>
      <c r="AB41" s="690"/>
      <c r="AC41" s="690"/>
    </row>
    <row r="42" spans="1:29" ht="15.75" thickBot="1">
      <c r="A42" s="437" t="s">
        <v>1792</v>
      </c>
      <c r="B42" s="438"/>
      <c r="C42" s="1160" t="e">
        <f>R43</f>
        <v>#DIV/0!</v>
      </c>
      <c r="D42" s="2317" t="s">
        <v>2136</v>
      </c>
      <c r="E42" s="1161" t="e">
        <f>R42</f>
        <v>#DIV/0!</v>
      </c>
      <c r="F42" s="2318"/>
      <c r="G42" s="1160" t="e">
        <f>T42</f>
        <v>#DIV/0!</v>
      </c>
      <c r="H42" s="2318"/>
      <c r="I42" s="1161" t="e">
        <f>V42</f>
        <v>#DIV/0!</v>
      </c>
      <c r="J42" s="2318"/>
      <c r="K42" s="2320">
        <f>F42+H42+J42</f>
        <v>0</v>
      </c>
      <c r="L42" s="926"/>
      <c r="M42" s="927"/>
      <c r="N42" s="914"/>
      <c r="O42" s="927"/>
      <c r="P42" s="3676" t="str">
        <f>A42</f>
        <v>比较价值（元/平方米）</v>
      </c>
      <c r="Q42" s="3676"/>
      <c r="R42" s="3677" t="e">
        <f>IF(F1="售价",ROUND(PRODUCT(R41,AA7:AA40),0),ROUND(PRODUCT(R41,AA7:AA40),1))</f>
        <v>#DIV/0!</v>
      </c>
      <c r="S42" s="3677"/>
      <c r="T42" s="3677" t="e">
        <f>IF(F1="售价",ROUND(PRODUCT(T41,AB7:AB40),0),ROUND(PRODUCT(T41,AB7:AB40),1))</f>
        <v>#DIV/0!</v>
      </c>
      <c r="U42" s="3677"/>
      <c r="V42" s="3677" t="e">
        <f>IF(F1="售价",ROUND(PRODUCT(V41,AC7:AC40),0),ROUND(PRODUCT(V41,AC7:AC40),1))</f>
        <v>#DIV/0!</v>
      </c>
      <c r="W42" s="3677"/>
      <c r="X42" s="690"/>
      <c r="Y42" s="690"/>
      <c r="Z42" s="690"/>
      <c r="AA42" s="690"/>
      <c r="AB42" s="690"/>
      <c r="AC42" s="690"/>
    </row>
    <row r="43" spans="1:29" ht="15.75" thickBot="1">
      <c r="A43" s="441" t="s">
        <v>1793</v>
      </c>
      <c r="B43" s="442"/>
      <c r="C43" s="1163" t="e">
        <f>R43</f>
        <v>#DIV/0!</v>
      </c>
      <c r="D43" s="1163"/>
      <c r="E43" s="1163"/>
      <c r="F43" s="1163"/>
      <c r="G43" s="1163"/>
      <c r="H43" s="1163"/>
      <c r="I43" s="1163"/>
      <c r="J43" s="1163"/>
      <c r="K43" s="715"/>
      <c r="L43" s="926"/>
      <c r="M43" s="927"/>
      <c r="N43" s="927"/>
      <c r="O43" s="927"/>
      <c r="P43" s="3673" t="str">
        <f>A43</f>
        <v>估价对象XX用房的比较价值（楼面单价，元/平方米）</v>
      </c>
      <c r="Q43" s="3674"/>
      <c r="R43" s="3675" t="e">
        <f>IF(F1="售价",ROUND(IF(D42="简单平均",AVERAGE(R42:V42),R42*F42+T42*H42+V42*J42),0),ROUND(IF(D42="简单平均",AVERAGE(R42:V42),R42*F42+T42*H42+V42*J42),1))</f>
        <v>#DIV/0!</v>
      </c>
      <c r="S43" s="3675"/>
      <c r="T43" s="3675"/>
      <c r="U43" s="3675"/>
      <c r="V43" s="3675"/>
      <c r="W43" s="3675"/>
      <c r="X43" s="690"/>
      <c r="Y43" s="690"/>
      <c r="Z43" s="690"/>
      <c r="AA43" s="690"/>
      <c r="AB43" s="690"/>
      <c r="AC43" s="690"/>
    </row>
    <row r="44" spans="1:29">
      <c r="A44" s="2723"/>
      <c r="B44" s="2723"/>
      <c r="C44" s="2723"/>
      <c r="D44" s="2723"/>
      <c r="E44" s="2723"/>
      <c r="F44" s="2723"/>
      <c r="G44" s="2727"/>
      <c r="H44" s="2723"/>
      <c r="I44" s="2723"/>
      <c r="J44" s="2723"/>
      <c r="K44" s="2728"/>
      <c r="L44" s="889"/>
      <c r="M44" s="927"/>
      <c r="N44" s="927"/>
      <c r="O44" s="927"/>
    </row>
    <row r="45" spans="1:29">
      <c r="A45" s="2723"/>
      <c r="B45" s="2723"/>
      <c r="C45" s="2723"/>
      <c r="D45" s="2723"/>
      <c r="E45" s="2723"/>
      <c r="F45" s="2723"/>
      <c r="G45" s="2723"/>
      <c r="H45" s="2723"/>
      <c r="I45" s="2723"/>
      <c r="J45" s="2723"/>
      <c r="K45" s="2728"/>
      <c r="L45" s="889"/>
      <c r="M45" s="927"/>
      <c r="N45" s="927"/>
      <c r="O45" s="927"/>
    </row>
    <row r="46" spans="1:29" ht="13.5" customHeight="1">
      <c r="A46" s="2723"/>
      <c r="B46" s="2723"/>
      <c r="C46" s="446" t="s">
        <v>1794</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9"/>
      <c r="M46" s="927"/>
      <c r="N46" s="927"/>
      <c r="O46" s="927"/>
    </row>
    <row r="47" spans="1:29" ht="13.5" customHeight="1">
      <c r="A47" s="2723"/>
      <c r="B47" s="2723"/>
      <c r="C47" s="446" t="s">
        <v>1795</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9"/>
      <c r="M47" s="927"/>
      <c r="N47" s="927"/>
      <c r="O47" s="927"/>
    </row>
    <row r="48" spans="1:29" s="451" customFormat="1" ht="13.5" customHeight="1">
      <c r="A48" s="2726"/>
      <c r="B48" s="2726"/>
      <c r="C48" s="446" t="s">
        <v>1796</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30"/>
      <c r="M48" s="928"/>
      <c r="N48" s="928"/>
      <c r="O48" s="928"/>
    </row>
    <row r="49" spans="1:17" s="451" customFormat="1">
      <c r="A49" s="2726"/>
      <c r="B49" s="2729"/>
      <c r="C49" s="2730"/>
      <c r="D49" s="2726"/>
      <c r="E49" s="2726"/>
      <c r="F49" s="2726"/>
      <c r="G49" s="2726"/>
      <c r="H49" s="2726"/>
      <c r="I49" s="2726"/>
      <c r="J49" s="2726"/>
      <c r="K49" s="2731"/>
      <c r="L49" s="930"/>
      <c r="M49" s="928"/>
      <c r="N49" s="928"/>
      <c r="O49" s="928"/>
    </row>
    <row r="50" spans="1:17">
      <c r="A50" s="2723"/>
      <c r="B50" s="2729"/>
      <c r="C50" s="2730"/>
      <c r="D50" s="2723"/>
      <c r="E50" s="2723"/>
      <c r="F50" s="2723"/>
      <c r="G50" s="2723"/>
      <c r="H50" s="2723"/>
      <c r="I50" s="2723"/>
      <c r="J50" s="2723"/>
      <c r="K50" s="2728"/>
      <c r="L50" s="889"/>
      <c r="M50" s="927"/>
      <c r="N50" s="927"/>
      <c r="O50" s="927"/>
    </row>
    <row r="51" spans="1:17" ht="21.75" thickBot="1">
      <c r="A51" s="694" t="s">
        <v>1797</v>
      </c>
      <c r="B51" s="690"/>
      <c r="C51" s="695"/>
      <c r="D51" s="695"/>
      <c r="E51" s="695"/>
      <c r="F51" s="696"/>
      <c r="G51" s="696"/>
      <c r="H51" s="695"/>
      <c r="I51" s="695"/>
      <c r="J51" s="695"/>
      <c r="K51" s="941"/>
      <c r="L51" s="942"/>
      <c r="M51" s="940"/>
      <c r="N51" s="940"/>
      <c r="O51" s="940"/>
      <c r="P51" s="452"/>
      <c r="Q51" s="453"/>
    </row>
    <row r="52" spans="1:17" s="457" customFormat="1" ht="15">
      <c r="A52" s="454" t="s">
        <v>1678</v>
      </c>
      <c r="B52" s="455"/>
      <c r="C52" s="1184" t="str">
        <f>YEAR(C7)&amp;"-"&amp;MONTH(C7)</f>
        <v>2023-4</v>
      </c>
      <c r="D52" s="1185">
        <f>EDATE(C52,-1)</f>
        <v>44986</v>
      </c>
      <c r="E52" s="1185">
        <f t="shared" ref="E52:O52" si="16">EDATE(D52,-1)</f>
        <v>44958</v>
      </c>
      <c r="F52" s="1185">
        <f t="shared" si="16"/>
        <v>44927</v>
      </c>
      <c r="G52" s="1185">
        <f t="shared" si="16"/>
        <v>44896</v>
      </c>
      <c r="H52" s="1185">
        <f t="shared" si="16"/>
        <v>44866</v>
      </c>
      <c r="I52" s="1185">
        <f t="shared" si="16"/>
        <v>44835</v>
      </c>
      <c r="J52" s="1185">
        <f t="shared" si="16"/>
        <v>44805</v>
      </c>
      <c r="K52" s="1185">
        <f t="shared" si="16"/>
        <v>44774</v>
      </c>
      <c r="L52" s="1185">
        <f t="shared" si="16"/>
        <v>44743</v>
      </c>
      <c r="M52" s="1185">
        <f t="shared" si="16"/>
        <v>44713</v>
      </c>
      <c r="N52" s="1185">
        <f t="shared" si="16"/>
        <v>44682</v>
      </c>
      <c r="O52" s="1185">
        <f t="shared" si="16"/>
        <v>44652</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1715</v>
      </c>
      <c r="B54" s="465"/>
      <c r="C54" s="466"/>
      <c r="D54" s="467"/>
      <c r="E54" s="467"/>
      <c r="F54" s="467"/>
      <c r="G54" s="467"/>
      <c r="H54" s="467"/>
      <c r="I54" s="467"/>
      <c r="J54" s="467"/>
      <c r="K54" s="467"/>
      <c r="L54" s="467"/>
      <c r="M54" s="468"/>
      <c r="N54" s="2768"/>
      <c r="O54" s="2769"/>
      <c r="P54" s="453"/>
      <c r="Q54" s="453"/>
    </row>
    <row r="55" spans="1:17" s="108" customFormat="1" ht="15">
      <c r="A55" s="470" t="s">
        <v>1680</v>
      </c>
      <c r="B55" s="459"/>
      <c r="C55" s="471" t="s">
        <v>1775</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1718</v>
      </c>
      <c r="B57" s="477" t="s">
        <v>1684</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1687</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1688</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1689</v>
      </c>
      <c r="B70" s="477" t="s">
        <v>1828</v>
      </c>
      <c r="C70" s="522" t="s">
        <v>1720</v>
      </c>
      <c r="D70" s="522" t="s">
        <v>1721</v>
      </c>
      <c r="E70" s="522" t="s">
        <v>1722</v>
      </c>
      <c r="F70" s="522" t="s">
        <v>1723</v>
      </c>
      <c r="G70" s="522" t="s">
        <v>1724</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1725</v>
      </c>
      <c r="C72" s="527" t="s">
        <v>1720</v>
      </c>
      <c r="D72" s="527" t="s">
        <v>1721</v>
      </c>
      <c r="E72" s="527" t="s">
        <v>1722</v>
      </c>
      <c r="F72" s="527" t="s">
        <v>1723</v>
      </c>
      <c r="G72" s="527" t="s">
        <v>1724</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1726</v>
      </c>
      <c r="C74" s="527" t="s">
        <v>1720</v>
      </c>
      <c r="D74" s="527" t="s">
        <v>1721</v>
      </c>
      <c r="E74" s="527" t="s">
        <v>1722</v>
      </c>
      <c r="F74" s="527" t="s">
        <v>1723</v>
      </c>
      <c r="G74" s="527" t="s">
        <v>1724</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1812</v>
      </c>
      <c r="C76" s="608" t="s">
        <v>1798</v>
      </c>
      <c r="D76" s="608" t="s">
        <v>1799</v>
      </c>
      <c r="E76" s="608" t="s">
        <v>1800</v>
      </c>
      <c r="F76" s="608" t="s">
        <v>1801</v>
      </c>
      <c r="G76" s="608" t="s">
        <v>1802</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1821</v>
      </c>
      <c r="C78" s="527" t="s">
        <v>1720</v>
      </c>
      <c r="D78" s="527" t="s">
        <v>1721</v>
      </c>
      <c r="E78" s="527" t="s">
        <v>1722</v>
      </c>
      <c r="F78" s="527" t="s">
        <v>1723</v>
      </c>
      <c r="G78" s="527" t="s">
        <v>1724</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1693</v>
      </c>
      <c r="B88" s="477" t="s">
        <v>1735</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1736</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1737</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1739</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1189</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1740</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1741</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1743</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1829</v>
      </c>
      <c r="C106" s="527" t="s">
        <v>1720</v>
      </c>
      <c r="D106" s="527" t="s">
        <v>1721</v>
      </c>
      <c r="E106" s="527" t="s">
        <v>1722</v>
      </c>
      <c r="F106" s="527" t="s">
        <v>1723</v>
      </c>
      <c r="G106" s="527" t="s">
        <v>1724</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工行翠微路：</v>
      </c>
    </row>
    <row r="4" spans="1:1" ht="36">
      <c r="A4" s="1480" t="str">
        <f>"受贵公司委托，我公司对"&amp;项目基本情况!S1&amp;"进行了预评估。"</f>
        <v>受贵公司委托，我公司对北京市出让国有建设用地使用权及在建建筑物房地产抵押价值进行了预评估。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北京巴瑞医疗器械有限公司所有。根据《国有土地使用证》[]，估价对象（分摊）出让国有建设用地使用权面积为23254.45平方米，建筑面积为34689.1平方米。</v>
      </c>
    </row>
    <row r="8" spans="1:1" ht="57.75">
      <c r="A8" s="1483" t="s">
        <v>901</v>
      </c>
    </row>
    <row r="9" spans="1:1" ht="18.75">
      <c r="A9" s="1482" t="s">
        <v>902</v>
      </c>
    </row>
    <row r="10" spans="1:1" ht="7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为北京巴瑞医疗器械有限公司开发建设的，该项目尚在开发建设中。根据《国有土地使用证》[]，估价对象（分摊）出让国有建设用地使用权面积为23254.45平方米，规划建筑面积为34689.1平方米。</v>
      </c>
    </row>
    <row r="11" spans="1:1" ht="76.5">
      <c r="A11" s="1483" t="s">
        <v>903</v>
      </c>
    </row>
    <row r="12" spans="1:1" ht="18.75">
      <c r="A12" s="1481" t="s">
        <v>904</v>
      </c>
    </row>
    <row r="13" spans="1:1" ht="38.25" customHeight="1">
      <c r="A13" s="1484" t="str">
        <f>IF(项目基本情况!B8="抵押",IF(项目基本情况!B5=项目基本情况!B6,定义!C51,定义!B51),定义!D51)</f>
        <v>北京巴瑞医疗器械有限公司拟使用北京市出让国有建设用地使用权及在建建筑物房地产作为抵押担保物，向工行翠微路办理贷款手续。工行翠微路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2023年4月28日（评估专业人员实地查勘之日）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4月28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80" t="str">
        <f>IF(项目基本情况!B9="房地产市场价值","——",IF(项目基本情况!E9="——","",定义!C57))</f>
        <v/>
      </c>
    </row>
    <row r="23" spans="1:1" ht="18.75">
      <c r="A23" s="1485" t="s">
        <v>896</v>
      </c>
    </row>
    <row r="24" spans="1:1" ht="18">
      <c r="A24" s="1487" t="str">
        <f>"本次评估采用的主估价方法为"&amp;结果表!K4&amp;"和"&amp;结果表!L4&amp;"。"</f>
        <v>本次评估采用的主估价方法为成本法和假设开发法。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J58" sqref="J5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1830</v>
      </c>
      <c r="B1" s="1223" t="s">
        <v>3336</v>
      </c>
      <c r="C1" s="1224" t="s">
        <v>1661</v>
      </c>
      <c r="D1" s="1225"/>
      <c r="E1" s="3431"/>
      <c r="F1" s="1879"/>
      <c r="G1" s="1227" t="s">
        <v>1766</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1461</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1462</v>
      </c>
      <c r="F2" s="1883"/>
      <c r="G2" s="908"/>
      <c r="H2" s="908"/>
      <c r="I2" s="908"/>
      <c r="J2" s="908"/>
      <c r="K2" s="910"/>
      <c r="L2" s="2732"/>
      <c r="M2" s="2733"/>
      <c r="N2" s="2733"/>
      <c r="O2" s="2733"/>
      <c r="P2" s="1165"/>
      <c r="Q2" s="699"/>
      <c r="R2" s="699"/>
      <c r="S2" s="699"/>
      <c r="T2" s="699"/>
      <c r="U2" s="699"/>
      <c r="V2" s="699"/>
      <c r="W2" s="699"/>
      <c r="X2" s="699"/>
      <c r="Y2" s="699"/>
      <c r="Z2" s="699"/>
      <c r="AA2" s="699"/>
      <c r="AB2" s="699"/>
      <c r="AC2" s="700"/>
    </row>
    <row r="3" spans="1:29" s="352" customFormat="1" ht="28.5" customHeight="1" thickBot="1">
      <c r="A3" s="203" t="s">
        <v>1463</v>
      </c>
      <c r="B3" s="558" t="e">
        <f>IF(AND(C2="——",B37="元/平方米"),C39,ROUND(B2*10000/D3,0))</f>
        <v>#DIV/0!</v>
      </c>
      <c r="C3" s="354" t="s">
        <v>1767</v>
      </c>
      <c r="D3" s="353">
        <f>SUMIF('数据-汇总表'!$C19:$C33,D1,'数据-汇总表'!$E19:$E33)</f>
        <v>0</v>
      </c>
      <c r="E3" s="354" t="s">
        <v>1831</v>
      </c>
      <c r="F3" s="353">
        <f>SUMIF('数据-取费表'!A5:A15,D1,'数据-取费表'!AH5:AH15)</f>
        <v>0</v>
      </c>
      <c r="G3" s="908"/>
      <c r="H3" s="908"/>
      <c r="I3" s="908"/>
      <c r="J3" s="908"/>
      <c r="K3" s="910"/>
      <c r="L3" s="2732"/>
      <c r="M3" s="2733" t="e">
        <f ca="1">IF(C2="——",IF(B37="元/平方米",ROUND(C39*D3/10000,0),ROUND(F3*C39/10000,0)),IF(B37="元/平方米",ROUND(C39*D3/10000,0),ROUND(F3*C39/10000,0))-D2)</f>
        <v>#DIV/0!</v>
      </c>
      <c r="N3" s="2733"/>
      <c r="O3" s="2733"/>
      <c r="P3" s="1165"/>
      <c r="Q3" s="699"/>
      <c r="R3" s="699"/>
      <c r="S3" s="699"/>
      <c r="T3" s="699"/>
      <c r="U3" s="699"/>
      <c r="V3" s="699"/>
      <c r="W3" s="699"/>
      <c r="X3" s="699"/>
      <c r="Y3" s="699"/>
      <c r="Z3" s="699"/>
      <c r="AA3" s="699"/>
      <c r="AB3" s="716"/>
      <c r="AC3" s="713"/>
    </row>
    <row r="4" spans="1:29" ht="15">
      <c r="A4" s="355" t="s">
        <v>1768</v>
      </c>
      <c r="B4" s="356"/>
      <c r="C4" s="3691" t="s">
        <v>1769</v>
      </c>
      <c r="D4" s="3692"/>
      <c r="E4" s="3693" t="s">
        <v>1770</v>
      </c>
      <c r="F4" s="3694"/>
      <c r="G4" s="3691" t="s">
        <v>1771</v>
      </c>
      <c r="H4" s="3692"/>
      <c r="I4" s="3691" t="s">
        <v>1772</v>
      </c>
      <c r="J4" s="3692"/>
      <c r="K4" s="559" t="s">
        <v>1773</v>
      </c>
      <c r="L4" s="2713"/>
      <c r="M4" s="2714"/>
      <c r="N4" s="2714"/>
      <c r="O4" s="2714"/>
      <c r="P4" s="3695" t="s">
        <v>1774</v>
      </c>
      <c r="Q4" s="3696"/>
      <c r="R4" s="3701" t="s">
        <v>1770</v>
      </c>
      <c r="S4" s="3702"/>
      <c r="T4" s="3701" t="s">
        <v>1771</v>
      </c>
      <c r="U4" s="3702"/>
      <c r="V4" s="3707" t="s">
        <v>1772</v>
      </c>
      <c r="W4" s="3707"/>
      <c r="X4" s="1355"/>
      <c r="Y4" s="3701" t="s">
        <v>1774</v>
      </c>
      <c r="Z4" s="3702"/>
      <c r="AA4" s="3688" t="s">
        <v>1770</v>
      </c>
      <c r="AB4" s="3689" t="s">
        <v>1771</v>
      </c>
      <c r="AC4" s="3688" t="s">
        <v>1772</v>
      </c>
    </row>
    <row r="5" spans="1:29" ht="15">
      <c r="A5" s="358"/>
      <c r="B5" s="359"/>
      <c r="C5" s="3710" t="s">
        <v>1672</v>
      </c>
      <c r="D5" s="3711"/>
      <c r="E5" s="3717" t="s">
        <v>1673</v>
      </c>
      <c r="F5" s="3718"/>
      <c r="G5" s="3710" t="s">
        <v>1674</v>
      </c>
      <c r="H5" s="3711"/>
      <c r="I5" s="3710" t="s">
        <v>1675</v>
      </c>
      <c r="J5" s="3711"/>
      <c r="K5" s="559"/>
      <c r="L5" s="2713"/>
      <c r="M5" s="2714"/>
      <c r="N5" s="2714"/>
      <c r="O5" s="2714"/>
      <c r="P5" s="3697"/>
      <c r="Q5" s="3698"/>
      <c r="R5" s="3703"/>
      <c r="S5" s="3704"/>
      <c r="T5" s="3703"/>
      <c r="U5" s="3704"/>
      <c r="V5" s="3707"/>
      <c r="W5" s="3707"/>
      <c r="X5" s="1355"/>
      <c r="Y5" s="3703"/>
      <c r="Z5" s="3704"/>
      <c r="AA5" s="3689"/>
      <c r="AB5" s="3689"/>
      <c r="AC5" s="3689"/>
    </row>
    <row r="6" spans="1:29" ht="15.75" thickBot="1">
      <c r="A6" s="360"/>
      <c r="B6" s="361"/>
      <c r="C6" s="3708" t="s">
        <v>1676</v>
      </c>
      <c r="D6" s="3709"/>
      <c r="E6" s="3715" t="s">
        <v>1676</v>
      </c>
      <c r="F6" s="3716"/>
      <c r="G6" s="3708" t="s">
        <v>1676</v>
      </c>
      <c r="H6" s="3709"/>
      <c r="I6" s="3708" t="s">
        <v>1676</v>
      </c>
      <c r="J6" s="3709"/>
      <c r="K6" s="559" t="s">
        <v>1677</v>
      </c>
      <c r="L6" s="2713"/>
      <c r="M6" s="2714"/>
      <c r="N6" s="2714"/>
      <c r="O6" s="2714"/>
      <c r="P6" s="3699"/>
      <c r="Q6" s="3700"/>
      <c r="R6" s="3703"/>
      <c r="S6" s="3704"/>
      <c r="T6" s="3705"/>
      <c r="U6" s="3706"/>
      <c r="V6" s="3707"/>
      <c r="W6" s="3707"/>
      <c r="X6" s="1355"/>
      <c r="Y6" s="3705"/>
      <c r="Z6" s="3706"/>
      <c r="AA6" s="3690"/>
      <c r="AB6" s="3690"/>
      <c r="AC6" s="3690"/>
    </row>
    <row r="7" spans="1:29" s="108" customFormat="1" ht="15.75" thickBot="1">
      <c r="A7" s="362" t="s">
        <v>1678</v>
      </c>
      <c r="B7" s="363"/>
      <c r="C7" s="364">
        <f>'数据-取费表'!B2</f>
        <v>45044</v>
      </c>
      <c r="D7" s="365">
        <v>100</v>
      </c>
      <c r="E7" s="366"/>
      <c r="F7" s="367">
        <f>SUMIF(48:48,YEAR(E7)&amp;"-"&amp;MONTH(E7),49:49)</f>
        <v>0</v>
      </c>
      <c r="G7" s="366"/>
      <c r="H7" s="365">
        <f>SUMIF(48:48,YEAR(G7)&amp;"-"&amp;MONTH(G7),49:49)</f>
        <v>0</v>
      </c>
      <c r="I7" s="366"/>
      <c r="J7" s="365">
        <f>SUMIF(48:48,YEAR(I7)&amp;"-"&amp;MONTH(I7),49:49)</f>
        <v>0</v>
      </c>
      <c r="K7" s="560"/>
      <c r="L7" s="2715"/>
      <c r="M7" s="2716"/>
      <c r="N7" s="2716"/>
      <c r="O7" s="2716"/>
      <c r="P7" s="3712" t="s">
        <v>1679</v>
      </c>
      <c r="Q7" s="3714"/>
      <c r="R7" s="701" t="s">
        <v>14</v>
      </c>
      <c r="S7" s="702">
        <f t="shared" ref="S7:S14" si="0">F7</f>
        <v>0</v>
      </c>
      <c r="T7" s="701" t="s">
        <v>14</v>
      </c>
      <c r="U7" s="702">
        <f t="shared" ref="U7:U14" si="1">H7</f>
        <v>0</v>
      </c>
      <c r="V7" s="701" t="s">
        <v>14</v>
      </c>
      <c r="W7" s="702">
        <f t="shared" ref="W7:W14" si="2">J7</f>
        <v>0</v>
      </c>
      <c r="X7" s="703"/>
      <c r="Y7" s="3712" t="s">
        <v>1679</v>
      </c>
      <c r="Z7" s="3713"/>
      <c r="AA7" s="704" t="e">
        <f>D7/F7</f>
        <v>#DIV/0!</v>
      </c>
      <c r="AB7" s="704" t="e">
        <f>D7/H7</f>
        <v>#DIV/0!</v>
      </c>
      <c r="AC7" s="704" t="e">
        <f>D7/J7</f>
        <v>#DIV/0!</v>
      </c>
    </row>
    <row r="8" spans="1:29" s="108" customFormat="1" ht="15.75" thickBot="1">
      <c r="A8" s="362" t="s">
        <v>1680</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712" t="s">
        <v>1682</v>
      </c>
      <c r="Q8" s="3713"/>
      <c r="R8" s="701" t="s">
        <v>14</v>
      </c>
      <c r="S8" s="702">
        <f t="shared" si="0"/>
        <v>100</v>
      </c>
      <c r="T8" s="701" t="s">
        <v>14</v>
      </c>
      <c r="U8" s="702">
        <f t="shared" si="1"/>
        <v>100</v>
      </c>
      <c r="V8" s="701" t="s">
        <v>14</v>
      </c>
      <c r="W8" s="702">
        <f t="shared" si="2"/>
        <v>100</v>
      </c>
      <c r="X8" s="703"/>
      <c r="Y8" s="3712" t="s">
        <v>1682</v>
      </c>
      <c r="Z8" s="3713"/>
      <c r="AA8" s="704">
        <f t="shared" ref="AA8:AA36" si="3">D8/F8</f>
        <v>1</v>
      </c>
      <c r="AB8" s="704">
        <f t="shared" ref="AB8:AB36" si="4">D8/H8</f>
        <v>1</v>
      </c>
      <c r="AC8" s="704">
        <f t="shared" ref="AC8:AC36" si="5">D8/J8</f>
        <v>1</v>
      </c>
    </row>
    <row r="9" spans="1:29" s="108" customFormat="1">
      <c r="A9" s="60" t="s">
        <v>1683</v>
      </c>
      <c r="B9" s="588" t="s">
        <v>1684</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676" t="s">
        <v>1685</v>
      </c>
      <c r="Q9" s="1343" t="str">
        <f t="shared" ref="Q9:Q14" si="6">B9</f>
        <v>用途</v>
      </c>
      <c r="R9" s="701" t="s">
        <v>14</v>
      </c>
      <c r="S9" s="702">
        <f t="shared" si="0"/>
        <v>100</v>
      </c>
      <c r="T9" s="701" t="s">
        <v>14</v>
      </c>
      <c r="U9" s="702">
        <f t="shared" si="1"/>
        <v>100</v>
      </c>
      <c r="V9" s="701" t="s">
        <v>14</v>
      </c>
      <c r="W9" s="702">
        <f t="shared" si="2"/>
        <v>100</v>
      </c>
      <c r="X9" s="703"/>
      <c r="Y9" s="3551" t="s">
        <v>1686</v>
      </c>
      <c r="Z9" s="52" t="str">
        <f t="shared" ref="Z9:Z14" si="7">Q9</f>
        <v>用途</v>
      </c>
      <c r="AA9" s="704">
        <f t="shared" si="3"/>
        <v>1</v>
      </c>
      <c r="AB9" s="704">
        <f t="shared" si="4"/>
        <v>1</v>
      </c>
      <c r="AC9" s="704">
        <f t="shared" si="5"/>
        <v>1</v>
      </c>
    </row>
    <row r="10" spans="1:29" s="378" customFormat="1" ht="27">
      <c r="A10" s="589"/>
      <c r="B10" s="590" t="s">
        <v>1687</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676"/>
      <c r="Q10" s="1343" t="str">
        <f t="shared" si="6"/>
        <v>土地使用年限（年）</v>
      </c>
      <c r="R10" s="701" t="s">
        <v>14</v>
      </c>
      <c r="S10" s="702">
        <f t="shared" si="0"/>
        <v>100</v>
      </c>
      <c r="T10" s="701" t="s">
        <v>14</v>
      </c>
      <c r="U10" s="702">
        <f t="shared" si="1"/>
        <v>100</v>
      </c>
      <c r="V10" s="701" t="s">
        <v>14</v>
      </c>
      <c r="W10" s="702">
        <f t="shared" si="2"/>
        <v>100</v>
      </c>
      <c r="X10" s="703"/>
      <c r="Y10" s="3551"/>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676"/>
      <c r="Q11" s="1343">
        <f t="shared" si="6"/>
        <v>111</v>
      </c>
      <c r="R11" s="701" t="s">
        <v>14</v>
      </c>
      <c r="S11" s="702">
        <f t="shared" si="0"/>
        <v>100</v>
      </c>
      <c r="T11" s="701" t="s">
        <v>14</v>
      </c>
      <c r="U11" s="702">
        <f t="shared" si="1"/>
        <v>100</v>
      </c>
      <c r="V11" s="701" t="s">
        <v>14</v>
      </c>
      <c r="W11" s="702">
        <f t="shared" si="2"/>
        <v>100</v>
      </c>
      <c r="X11" s="703"/>
      <c r="Y11" s="3551"/>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676"/>
      <c r="Q12" s="1343">
        <f t="shared" si="6"/>
        <v>111</v>
      </c>
      <c r="R12" s="701" t="s">
        <v>14</v>
      </c>
      <c r="S12" s="702">
        <f t="shared" si="0"/>
        <v>100</v>
      </c>
      <c r="T12" s="701" t="s">
        <v>14</v>
      </c>
      <c r="U12" s="702">
        <f t="shared" si="1"/>
        <v>100</v>
      </c>
      <c r="V12" s="701" t="s">
        <v>14</v>
      </c>
      <c r="W12" s="702">
        <f t="shared" si="2"/>
        <v>100</v>
      </c>
      <c r="X12" s="703"/>
      <c r="Y12" s="3551"/>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676"/>
      <c r="Q13" s="1343">
        <f t="shared" si="6"/>
        <v>111</v>
      </c>
      <c r="R13" s="701" t="s">
        <v>14</v>
      </c>
      <c r="S13" s="702">
        <f t="shared" si="0"/>
        <v>100</v>
      </c>
      <c r="T13" s="701" t="s">
        <v>14</v>
      </c>
      <c r="U13" s="702">
        <f t="shared" si="1"/>
        <v>100</v>
      </c>
      <c r="V13" s="701" t="s">
        <v>14</v>
      </c>
      <c r="W13" s="702">
        <f t="shared" si="2"/>
        <v>100</v>
      </c>
      <c r="X13" s="703"/>
      <c r="Y13" s="3551"/>
      <c r="Z13" s="52">
        <f t="shared" si="7"/>
        <v>111</v>
      </c>
      <c r="AA13" s="704">
        <f t="shared" si="3"/>
        <v>1</v>
      </c>
      <c r="AB13" s="704">
        <f t="shared" si="4"/>
        <v>1</v>
      </c>
      <c r="AC13" s="704">
        <f t="shared" si="5"/>
        <v>1</v>
      </c>
    </row>
    <row r="14" spans="1:29" ht="85.5">
      <c r="A14" s="355" t="s">
        <v>1689</v>
      </c>
      <c r="B14" s="577" t="s">
        <v>1832</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678" t="s">
        <v>1690</v>
      </c>
      <c r="Q14" s="1352" t="str">
        <f t="shared" si="6"/>
        <v>交通便捷度</v>
      </c>
      <c r="R14" s="705" t="s">
        <v>14</v>
      </c>
      <c r="S14" s="706">
        <f t="shared" si="0"/>
        <v>100</v>
      </c>
      <c r="T14" s="705" t="s">
        <v>14</v>
      </c>
      <c r="U14" s="706">
        <f t="shared" si="1"/>
        <v>100</v>
      </c>
      <c r="V14" s="705" t="s">
        <v>14</v>
      </c>
      <c r="W14" s="706">
        <f t="shared" si="2"/>
        <v>100</v>
      </c>
      <c r="X14" s="1355"/>
      <c r="Y14" s="3678" t="s">
        <v>1690</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0"/>
      <c r="M15" s="2714"/>
      <c r="N15" s="2714"/>
      <c r="O15" s="2714"/>
      <c r="P15" s="3679"/>
      <c r="Q15" s="1352"/>
      <c r="R15" s="705"/>
      <c r="S15" s="706"/>
      <c r="T15" s="705"/>
      <c r="U15" s="706"/>
      <c r="V15" s="705"/>
      <c r="W15" s="706"/>
      <c r="X15" s="1355"/>
      <c r="Y15" s="3679"/>
      <c r="Z15" s="1356"/>
      <c r="AA15" s="1353">
        <v>1</v>
      </c>
      <c r="AB15" s="1353">
        <v>1</v>
      </c>
      <c r="AC15" s="1353">
        <v>1</v>
      </c>
    </row>
    <row r="16" spans="1:29" ht="42.75">
      <c r="A16" s="358"/>
      <c r="B16" s="579" t="s">
        <v>1811</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679"/>
      <c r="Q16" s="1352" t="str">
        <f>B16</f>
        <v>公共配套设施</v>
      </c>
      <c r="R16" s="705" t="s">
        <v>14</v>
      </c>
      <c r="S16" s="706">
        <f>F16</f>
        <v>100</v>
      </c>
      <c r="T16" s="705" t="s">
        <v>14</v>
      </c>
      <c r="U16" s="706">
        <f>H16</f>
        <v>100</v>
      </c>
      <c r="V16" s="705" t="s">
        <v>14</v>
      </c>
      <c r="W16" s="706">
        <f>J16</f>
        <v>100</v>
      </c>
      <c r="X16" s="1355"/>
      <c r="Y16" s="3679"/>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0"/>
      <c r="M17" s="2714"/>
      <c r="N17" s="2714"/>
      <c r="O17" s="2714"/>
      <c r="P17" s="3679"/>
      <c r="Q17" s="1352"/>
      <c r="R17" s="705"/>
      <c r="S17" s="706"/>
      <c r="T17" s="705"/>
      <c r="U17" s="706"/>
      <c r="V17" s="705"/>
      <c r="W17" s="706"/>
      <c r="X17" s="1355"/>
      <c r="Y17" s="3679"/>
      <c r="Z17" s="1356"/>
      <c r="AA17" s="1353">
        <v>1</v>
      </c>
      <c r="AB17" s="1353">
        <v>1</v>
      </c>
      <c r="AC17" s="1353">
        <v>1</v>
      </c>
    </row>
    <row r="18" spans="1:29" ht="28.5">
      <c r="A18" s="358"/>
      <c r="B18" s="581" t="s">
        <v>1812</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679"/>
      <c r="Q18" s="1352" t="str">
        <f>B18</f>
        <v>基础设施水平</v>
      </c>
      <c r="R18" s="705" t="s">
        <v>14</v>
      </c>
      <c r="S18" s="706">
        <f>F18</f>
        <v>100</v>
      </c>
      <c r="T18" s="705" t="s">
        <v>14</v>
      </c>
      <c r="U18" s="706">
        <f>H18</f>
        <v>100</v>
      </c>
      <c r="V18" s="705" t="s">
        <v>14</v>
      </c>
      <c r="W18" s="706">
        <f>J18</f>
        <v>100</v>
      </c>
      <c r="X18" s="1355"/>
      <c r="Y18" s="3679"/>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0"/>
      <c r="M19" s="2714"/>
      <c r="N19" s="2714"/>
      <c r="O19" s="2714"/>
      <c r="P19" s="3679"/>
      <c r="Q19" s="1352"/>
      <c r="R19" s="705"/>
      <c r="S19" s="706"/>
      <c r="T19" s="705"/>
      <c r="U19" s="706"/>
      <c r="V19" s="705"/>
      <c r="W19" s="706"/>
      <c r="X19" s="1355"/>
      <c r="Y19" s="3679"/>
      <c r="Z19" s="1356"/>
      <c r="AA19" s="1353">
        <v>1</v>
      </c>
      <c r="AB19" s="1353">
        <v>1</v>
      </c>
      <c r="AC19" s="1353">
        <v>1</v>
      </c>
    </row>
    <row r="20" spans="1:29" ht="57">
      <c r="A20" s="358"/>
      <c r="B20" s="579" t="s">
        <v>1833</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679"/>
      <c r="Q20" s="1352" t="str">
        <f>B20</f>
        <v>自然及人文环境</v>
      </c>
      <c r="R20" s="705" t="s">
        <v>14</v>
      </c>
      <c r="S20" s="706">
        <f>F20</f>
        <v>100</v>
      </c>
      <c r="T20" s="705" t="s">
        <v>14</v>
      </c>
      <c r="U20" s="706">
        <f>H20</f>
        <v>100</v>
      </c>
      <c r="V20" s="705" t="s">
        <v>14</v>
      </c>
      <c r="W20" s="706">
        <f>J20</f>
        <v>100</v>
      </c>
      <c r="X20" s="1355"/>
      <c r="Y20" s="3679"/>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0"/>
      <c r="M21" s="2714"/>
      <c r="N21" s="2714"/>
      <c r="O21" s="2714"/>
      <c r="P21" s="3679"/>
      <c r="Q21" s="1352"/>
      <c r="R21" s="705"/>
      <c r="S21" s="706"/>
      <c r="T21" s="705"/>
      <c r="U21" s="706"/>
      <c r="V21" s="705"/>
      <c r="W21" s="706"/>
      <c r="X21" s="1355"/>
      <c r="Y21" s="3679"/>
      <c r="Z21" s="1356"/>
      <c r="AA21" s="1353">
        <v>1</v>
      </c>
      <c r="AB21" s="1353">
        <v>1</v>
      </c>
      <c r="AC21" s="1353">
        <v>1</v>
      </c>
    </row>
    <row r="22" spans="1:29" ht="15">
      <c r="A22" s="358"/>
      <c r="B22" s="579" t="s">
        <v>1834</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679"/>
      <c r="Q22" s="1352" t="str">
        <f>B22</f>
        <v>楼层</v>
      </c>
      <c r="R22" s="705" t="s">
        <v>14</v>
      </c>
      <c r="S22" s="706">
        <f>F22</f>
        <v>100</v>
      </c>
      <c r="T22" s="705" t="s">
        <v>14</v>
      </c>
      <c r="U22" s="706">
        <f>H22</f>
        <v>100</v>
      </c>
      <c r="V22" s="705" t="s">
        <v>14</v>
      </c>
      <c r="W22" s="706">
        <f>J22</f>
        <v>100</v>
      </c>
      <c r="X22" s="1355"/>
      <c r="Y22" s="3679"/>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679"/>
      <c r="Q23" s="1352">
        <f>B23</f>
        <v>111</v>
      </c>
      <c r="R23" s="705" t="s">
        <v>14</v>
      </c>
      <c r="S23" s="706">
        <f>F23</f>
        <v>100</v>
      </c>
      <c r="T23" s="705" t="s">
        <v>14</v>
      </c>
      <c r="U23" s="706">
        <f>H23</f>
        <v>100</v>
      </c>
      <c r="V23" s="705" t="s">
        <v>14</v>
      </c>
      <c r="W23" s="706">
        <f>J23</f>
        <v>100</v>
      </c>
      <c r="X23" s="1355"/>
      <c r="Y23" s="3679"/>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679"/>
      <c r="Q24" s="1352">
        <f t="shared" ref="Q24:Q36" si="11">B24</f>
        <v>111</v>
      </c>
      <c r="R24" s="705" t="s">
        <v>14</v>
      </c>
      <c r="S24" s="706">
        <f>F24</f>
        <v>100</v>
      </c>
      <c r="T24" s="705" t="s">
        <v>14</v>
      </c>
      <c r="U24" s="706">
        <f>H24</f>
        <v>100</v>
      </c>
      <c r="V24" s="705" t="s">
        <v>14</v>
      </c>
      <c r="W24" s="706">
        <f>J24</f>
        <v>100</v>
      </c>
      <c r="X24" s="1355"/>
      <c r="Y24" s="3679"/>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679"/>
      <c r="Q25" s="1343">
        <f t="shared" si="11"/>
        <v>111</v>
      </c>
      <c r="R25" s="701" t="s">
        <v>14</v>
      </c>
      <c r="S25" s="702">
        <f>F25</f>
        <v>100</v>
      </c>
      <c r="T25" s="701" t="s">
        <v>14</v>
      </c>
      <c r="U25" s="702">
        <f>H25</f>
        <v>100</v>
      </c>
      <c r="V25" s="701" t="s">
        <v>14</v>
      </c>
      <c r="W25" s="702">
        <f>J25</f>
        <v>100</v>
      </c>
      <c r="X25" s="703"/>
      <c r="Y25" s="3679"/>
      <c r="Z25" s="52">
        <f>Q25</f>
        <v>111</v>
      </c>
      <c r="AA25" s="1353">
        <f>D25/F25</f>
        <v>1</v>
      </c>
      <c r="AB25" s="1353">
        <f>D25/H25</f>
        <v>1</v>
      </c>
      <c r="AC25" s="1353">
        <f>D25/J25</f>
        <v>1</v>
      </c>
    </row>
    <row r="26" spans="1:29" ht="28.5">
      <c r="A26" s="600" t="s">
        <v>1693</v>
      </c>
      <c r="B26" s="62" t="s">
        <v>1835</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34" t="s">
        <v>1695</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83" t="s">
        <v>1695</v>
      </c>
      <c r="Z26" s="1356" t="str">
        <f t="shared" ref="Z26:Z36" si="15">Q26</f>
        <v>配套类型</v>
      </c>
      <c r="AA26" s="1353" t="e">
        <f t="shared" si="3"/>
        <v>#DIV/0!</v>
      </c>
      <c r="AB26" s="1353" t="e">
        <f t="shared" si="4"/>
        <v>#DIV/0!</v>
      </c>
      <c r="AC26" s="1353" t="e">
        <f t="shared" si="5"/>
        <v>#DIV/0!</v>
      </c>
    </row>
    <row r="27" spans="1:29" s="422" customFormat="1" ht="15">
      <c r="A27" s="601"/>
      <c r="B27" s="602" t="s">
        <v>1836</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683"/>
      <c r="Q27" s="707" t="str">
        <f t="shared" si="11"/>
        <v>项目停车位配比</v>
      </c>
      <c r="R27" s="708" t="s">
        <v>14</v>
      </c>
      <c r="S27" s="709">
        <f t="shared" si="12"/>
        <v>100</v>
      </c>
      <c r="T27" s="708" t="s">
        <v>14</v>
      </c>
      <c r="U27" s="709">
        <f t="shared" si="13"/>
        <v>100</v>
      </c>
      <c r="V27" s="708" t="s">
        <v>14</v>
      </c>
      <c r="W27" s="709">
        <f t="shared" si="14"/>
        <v>100</v>
      </c>
      <c r="X27" s="710"/>
      <c r="Y27" s="3683"/>
      <c r="Z27" s="711" t="str">
        <f t="shared" si="15"/>
        <v>项目停车位配比</v>
      </c>
      <c r="AA27" s="1353">
        <f t="shared" si="3"/>
        <v>1</v>
      </c>
      <c r="AB27" s="1353">
        <f t="shared" si="4"/>
        <v>1</v>
      </c>
      <c r="AC27" s="1353">
        <f t="shared" si="5"/>
        <v>1</v>
      </c>
    </row>
    <row r="28" spans="1:29" ht="15">
      <c r="A28" s="604"/>
      <c r="B28" s="602" t="s">
        <v>1837</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683"/>
      <c r="Q28" s="1352" t="str">
        <f t="shared" si="11"/>
        <v>公共部分装修</v>
      </c>
      <c r="R28" s="705" t="s">
        <v>14</v>
      </c>
      <c r="S28" s="706">
        <f t="shared" si="12"/>
        <v>100</v>
      </c>
      <c r="T28" s="705" t="s">
        <v>14</v>
      </c>
      <c r="U28" s="706">
        <f t="shared" si="13"/>
        <v>100</v>
      </c>
      <c r="V28" s="705" t="s">
        <v>14</v>
      </c>
      <c r="W28" s="706">
        <f t="shared" si="14"/>
        <v>100</v>
      </c>
      <c r="X28" s="1355"/>
      <c r="Y28" s="3683"/>
      <c r="Z28" s="1356" t="str">
        <f t="shared" si="15"/>
        <v>公共部分装修</v>
      </c>
      <c r="AA28" s="1353">
        <f t="shared" si="3"/>
        <v>1</v>
      </c>
      <c r="AB28" s="1353">
        <f t="shared" si="4"/>
        <v>1</v>
      </c>
      <c r="AC28" s="1353">
        <f t="shared" si="5"/>
        <v>1</v>
      </c>
    </row>
    <row r="29" spans="1:29" ht="15">
      <c r="A29" s="604"/>
      <c r="B29" s="602" t="s">
        <v>1838</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683"/>
      <c r="Q29" s="1352" t="str">
        <f t="shared" si="11"/>
        <v>成新率</v>
      </c>
      <c r="R29" s="705" t="s">
        <v>14</v>
      </c>
      <c r="S29" s="706" t="e">
        <f t="shared" si="12"/>
        <v>#N/A</v>
      </c>
      <c r="T29" s="705" t="s">
        <v>14</v>
      </c>
      <c r="U29" s="706" t="e">
        <f t="shared" si="13"/>
        <v>#N/A</v>
      </c>
      <c r="V29" s="705" t="s">
        <v>14</v>
      </c>
      <c r="W29" s="706" t="e">
        <f t="shared" si="14"/>
        <v>#N/A</v>
      </c>
      <c r="X29" s="1355"/>
      <c r="Y29" s="3683"/>
      <c r="Z29" s="1356" t="str">
        <f t="shared" si="15"/>
        <v>成新率</v>
      </c>
      <c r="AA29" s="1353" t="e">
        <f t="shared" si="3"/>
        <v>#N/A</v>
      </c>
      <c r="AB29" s="1353" t="e">
        <f t="shared" si="4"/>
        <v>#N/A</v>
      </c>
      <c r="AC29" s="1353" t="e">
        <f t="shared" si="5"/>
        <v>#N/A</v>
      </c>
    </row>
    <row r="30" spans="1:29" ht="15">
      <c r="A30" s="604"/>
      <c r="B30" s="602" t="s">
        <v>1839</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683"/>
      <c r="Q30" s="1352" t="str">
        <f t="shared" si="11"/>
        <v>物业等级</v>
      </c>
      <c r="R30" s="705" t="s">
        <v>14</v>
      </c>
      <c r="S30" s="706">
        <f t="shared" si="12"/>
        <v>100</v>
      </c>
      <c r="T30" s="705" t="s">
        <v>14</v>
      </c>
      <c r="U30" s="706">
        <f t="shared" si="13"/>
        <v>100</v>
      </c>
      <c r="V30" s="705" t="s">
        <v>14</v>
      </c>
      <c r="W30" s="706">
        <f t="shared" si="14"/>
        <v>100</v>
      </c>
      <c r="X30" s="1355"/>
      <c r="Y30" s="3683"/>
      <c r="Z30" s="1356" t="str">
        <f t="shared" si="15"/>
        <v>物业等级</v>
      </c>
      <c r="AA30" s="1353">
        <f t="shared" si="3"/>
        <v>1</v>
      </c>
      <c r="AB30" s="1353">
        <f t="shared" si="4"/>
        <v>1</v>
      </c>
      <c r="AC30" s="1353">
        <f t="shared" si="5"/>
        <v>1</v>
      </c>
    </row>
    <row r="31" spans="1:29" s="108" customFormat="1" ht="15">
      <c r="A31" s="606"/>
      <c r="B31" s="602" t="s">
        <v>1840</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683"/>
      <c r="Q31" s="1343" t="str">
        <f t="shared" si="11"/>
        <v>停车位面积</v>
      </c>
      <c r="R31" s="701" t="s">
        <v>14</v>
      </c>
      <c r="S31" s="702" t="e">
        <f t="shared" si="12"/>
        <v>#N/A</v>
      </c>
      <c r="T31" s="701" t="s">
        <v>14</v>
      </c>
      <c r="U31" s="702" t="e">
        <f t="shared" si="13"/>
        <v>#N/A</v>
      </c>
      <c r="V31" s="701" t="s">
        <v>14</v>
      </c>
      <c r="W31" s="702" t="e">
        <f t="shared" si="14"/>
        <v>#N/A</v>
      </c>
      <c r="X31" s="703"/>
      <c r="Y31" s="3683"/>
      <c r="Z31" s="52" t="str">
        <f t="shared" si="15"/>
        <v>停车位面积</v>
      </c>
      <c r="AA31" s="704" t="e">
        <f t="shared" si="3"/>
        <v>#N/A</v>
      </c>
      <c r="AB31" s="704" t="e">
        <f t="shared" si="4"/>
        <v>#N/A</v>
      </c>
      <c r="AC31" s="704" t="e">
        <f t="shared" si="5"/>
        <v>#N/A</v>
      </c>
    </row>
    <row r="32" spans="1:29" ht="15">
      <c r="A32" s="604"/>
      <c r="B32" s="602" t="s">
        <v>1841</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683" t="s">
        <v>1695</v>
      </c>
      <c r="Q32" s="1352" t="str">
        <f t="shared" si="11"/>
        <v>车位类型</v>
      </c>
      <c r="R32" s="705" t="s">
        <v>14</v>
      </c>
      <c r="S32" s="706">
        <f t="shared" si="12"/>
        <v>100</v>
      </c>
      <c r="T32" s="705" t="s">
        <v>14</v>
      </c>
      <c r="U32" s="706">
        <f t="shared" si="13"/>
        <v>100</v>
      </c>
      <c r="V32" s="705" t="s">
        <v>14</v>
      </c>
      <c r="W32" s="706">
        <f t="shared" si="14"/>
        <v>100</v>
      </c>
      <c r="X32" s="1355"/>
      <c r="Y32" s="3683" t="s">
        <v>1695</v>
      </c>
      <c r="Z32" s="1356" t="str">
        <f t="shared" si="15"/>
        <v>车位类型</v>
      </c>
      <c r="AA32" s="1353">
        <f t="shared" si="3"/>
        <v>1</v>
      </c>
      <c r="AB32" s="1353">
        <f t="shared" si="4"/>
        <v>1</v>
      </c>
      <c r="AC32" s="1353">
        <f t="shared" si="5"/>
        <v>1</v>
      </c>
    </row>
    <row r="33" spans="1:29" ht="15">
      <c r="A33" s="604"/>
      <c r="B33" s="602" t="s">
        <v>1842</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683"/>
      <c r="Q33" s="1352" t="str">
        <f t="shared" si="11"/>
        <v>是否直接入户</v>
      </c>
      <c r="R33" s="705" t="s">
        <v>14</v>
      </c>
      <c r="S33" s="706">
        <f t="shared" si="12"/>
        <v>100</v>
      </c>
      <c r="T33" s="705" t="s">
        <v>14</v>
      </c>
      <c r="U33" s="706">
        <f t="shared" si="13"/>
        <v>100</v>
      </c>
      <c r="V33" s="705" t="s">
        <v>14</v>
      </c>
      <c r="W33" s="706">
        <f t="shared" si="14"/>
        <v>100</v>
      </c>
      <c r="X33" s="1355"/>
      <c r="Y33" s="3683"/>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683"/>
      <c r="Q34" s="1352">
        <f t="shared" si="11"/>
        <v>111</v>
      </c>
      <c r="R34" s="705" t="s">
        <v>14</v>
      </c>
      <c r="S34" s="706">
        <f t="shared" si="12"/>
        <v>100</v>
      </c>
      <c r="T34" s="705" t="s">
        <v>14</v>
      </c>
      <c r="U34" s="706">
        <f t="shared" si="13"/>
        <v>100</v>
      </c>
      <c r="V34" s="705" t="s">
        <v>14</v>
      </c>
      <c r="W34" s="706">
        <f t="shared" si="14"/>
        <v>100</v>
      </c>
      <c r="X34" s="1355"/>
      <c r="Y34" s="3683"/>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683"/>
      <c r="Q35" s="707">
        <f t="shared" si="11"/>
        <v>111</v>
      </c>
      <c r="R35" s="708" t="s">
        <v>14</v>
      </c>
      <c r="S35" s="709">
        <f t="shared" si="12"/>
        <v>100</v>
      </c>
      <c r="T35" s="708" t="s">
        <v>14</v>
      </c>
      <c r="U35" s="709">
        <f t="shared" si="13"/>
        <v>100</v>
      </c>
      <c r="V35" s="708" t="s">
        <v>14</v>
      </c>
      <c r="W35" s="709">
        <f t="shared" si="14"/>
        <v>100</v>
      </c>
      <c r="X35" s="710"/>
      <c r="Y35" s="3683"/>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683"/>
      <c r="Q36" s="1352">
        <f t="shared" si="11"/>
        <v>111</v>
      </c>
      <c r="R36" s="705" t="s">
        <v>14</v>
      </c>
      <c r="S36" s="706">
        <f t="shared" si="12"/>
        <v>100</v>
      </c>
      <c r="T36" s="705" t="s">
        <v>14</v>
      </c>
      <c r="U36" s="706">
        <f t="shared" si="13"/>
        <v>100</v>
      </c>
      <c r="V36" s="705" t="s">
        <v>14</v>
      </c>
      <c r="W36" s="706">
        <f t="shared" si="14"/>
        <v>100</v>
      </c>
      <c r="X36" s="1355"/>
      <c r="Y36" s="3683"/>
      <c r="Z36" s="1356">
        <f t="shared" si="15"/>
        <v>111</v>
      </c>
      <c r="AA36" s="1353">
        <f t="shared" si="3"/>
        <v>1</v>
      </c>
      <c r="AB36" s="1353">
        <f t="shared" si="4"/>
        <v>1</v>
      </c>
      <c r="AC36" s="1353">
        <f t="shared" si="5"/>
        <v>1</v>
      </c>
    </row>
    <row r="37" spans="1:29" ht="15">
      <c r="A37" s="430" t="s">
        <v>1843</v>
      </c>
      <c r="B37" s="1973" t="s">
        <v>3357</v>
      </c>
      <c r="C37" s="1154" t="s">
        <v>0</v>
      </c>
      <c r="D37" s="1155"/>
      <c r="E37" s="1156"/>
      <c r="F37" s="1157"/>
      <c r="G37" s="1158"/>
      <c r="H37" s="1159"/>
      <c r="I37" s="1156"/>
      <c r="J37" s="1159"/>
      <c r="K37" s="568"/>
      <c r="L37" s="2722"/>
      <c r="M37" s="2723"/>
      <c r="N37" s="2714"/>
      <c r="O37" s="2723"/>
      <c r="P37" s="3676" t="str">
        <f>A37</f>
        <v>成交单价</v>
      </c>
      <c r="Q37" s="3676"/>
      <c r="R37" s="3677">
        <f>E37</f>
        <v>0</v>
      </c>
      <c r="S37" s="3677"/>
      <c r="T37" s="3677">
        <f>G37</f>
        <v>0</v>
      </c>
      <c r="U37" s="3677"/>
      <c r="V37" s="3677">
        <f>I37</f>
        <v>0</v>
      </c>
      <c r="W37" s="3677"/>
      <c r="X37" s="690"/>
      <c r="Y37" s="712"/>
      <c r="Z37" s="690"/>
      <c r="AA37" s="690"/>
      <c r="AB37" s="690"/>
      <c r="AC37" s="690"/>
    </row>
    <row r="38" spans="1:29" ht="15.75" thickBot="1">
      <c r="A38" s="437" t="s">
        <v>1844</v>
      </c>
      <c r="B38" s="438" t="str">
        <f>B37</f>
        <v>元/平方米</v>
      </c>
      <c r="C38" s="1160" t="e">
        <f>R39</f>
        <v>#DIV/0!</v>
      </c>
      <c r="D38" s="2317" t="s">
        <v>2136</v>
      </c>
      <c r="E38" s="1161" t="e">
        <f>R38</f>
        <v>#DIV/0!</v>
      </c>
      <c r="F38" s="2318"/>
      <c r="G38" s="1160" t="e">
        <f>T38</f>
        <v>#DIV/0!</v>
      </c>
      <c r="H38" s="2318"/>
      <c r="I38" s="1161" t="e">
        <f>V38</f>
        <v>#DIV/0!</v>
      </c>
      <c r="J38" s="2318"/>
      <c r="K38" s="2320">
        <f>F38+H38+J38</f>
        <v>0</v>
      </c>
      <c r="L38" s="2722"/>
      <c r="M38" s="2723"/>
      <c r="N38" s="2723"/>
      <c r="O38" s="2723"/>
      <c r="P38" s="3676" t="str">
        <f>A38</f>
        <v>比较价值（元/平方米）</v>
      </c>
      <c r="Q38" s="3676"/>
      <c r="R38" s="3677" t="e">
        <f>IF(F1="售价",ROUND(PRODUCT(R37,AA7:AA36),0),ROUND(PRODUCT(R37,AA7:AA36),1))</f>
        <v>#DIV/0!</v>
      </c>
      <c r="S38" s="3677"/>
      <c r="T38" s="3677" t="e">
        <f>IF(F1="售价",ROUND(PRODUCT(T37,AB7:AB36),0),ROUND(PRODUCT(T37,AB7:AB36),1))</f>
        <v>#DIV/0!</v>
      </c>
      <c r="U38" s="3677"/>
      <c r="V38" s="3677" t="e">
        <f>IF(F1="售价",ROUND(PRODUCT(V37,AC7:AC36),0),ROUND(PRODUCT(V37,AC7:AC36),1))</f>
        <v>#DIV/0!</v>
      </c>
      <c r="W38" s="3677"/>
      <c r="X38" s="690"/>
      <c r="Y38" s="690"/>
      <c r="Z38" s="690"/>
      <c r="AA38" s="690"/>
      <c r="AB38" s="690"/>
      <c r="AC38" s="690"/>
    </row>
    <row r="39" spans="1:29" ht="15.75" thickBot="1">
      <c r="A39" s="441" t="s">
        <v>1845</v>
      </c>
      <c r="B39" s="442"/>
      <c r="C39" s="1163" t="e">
        <f>R39</f>
        <v>#DIV/0!</v>
      </c>
      <c r="D39" s="1163"/>
      <c r="E39" s="1163"/>
      <c r="F39" s="1163"/>
      <c r="G39" s="1163"/>
      <c r="H39" s="1163"/>
      <c r="I39" s="1163"/>
      <c r="J39" s="1163"/>
      <c r="K39" s="569"/>
      <c r="L39" s="2722"/>
      <c r="M39" s="2723"/>
      <c r="N39" s="2723"/>
      <c r="O39" s="2723"/>
      <c r="P39" s="3673" t="str">
        <f>A39</f>
        <v>估价对象XX用房的比较价值（楼面单价，元/平方米）</v>
      </c>
      <c r="Q39" s="3674"/>
      <c r="R39" s="3735" t="e">
        <f>IF(F1="售价",ROUND(IF(D38="简单平均",AVERAGE(R38:W38),R38*F38+T38*H38+V38*J38),0),ROUND(IF(D38="简单平均",AVERAGE(R38:V38),R38*F38+T38*H38+V38*J38),1))</f>
        <v>#DIV/0!</v>
      </c>
      <c r="S39" s="3735"/>
      <c r="T39" s="3735"/>
      <c r="U39" s="3735"/>
      <c r="V39" s="3735"/>
      <c r="W39" s="3735"/>
      <c r="X39" s="690"/>
      <c r="Y39" s="690"/>
      <c r="Z39" s="690"/>
      <c r="AA39" s="690"/>
      <c r="AB39" s="690"/>
      <c r="AC39" s="690"/>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1846</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1847</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1848</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6" t="s">
        <v>1849</v>
      </c>
      <c r="B47" s="927"/>
      <c r="C47" s="940"/>
      <c r="D47" s="940"/>
      <c r="E47" s="940"/>
      <c r="F47" s="1167"/>
      <c r="G47" s="1167"/>
      <c r="H47" s="940"/>
      <c r="I47" s="940"/>
      <c r="J47" s="940"/>
      <c r="K47" s="941"/>
      <c r="L47" s="942"/>
      <c r="M47" s="940"/>
      <c r="N47" s="2767"/>
      <c r="O47" s="2767"/>
      <c r="P47" s="2756"/>
      <c r="Q47" s="2737"/>
      <c r="R47" s="2723"/>
      <c r="S47" s="2723"/>
      <c r="T47" s="2723"/>
      <c r="U47" s="2723"/>
      <c r="V47" s="2723"/>
      <c r="W47" s="2723"/>
      <c r="X47" s="2723"/>
      <c r="Y47" s="2723"/>
      <c r="Z47" s="2723"/>
      <c r="AA47" s="2723"/>
      <c r="AB47" s="2723"/>
      <c r="AC47" s="2723"/>
    </row>
    <row r="48" spans="1:29" s="457" customFormat="1" ht="15">
      <c r="A48" s="454" t="s">
        <v>1850</v>
      </c>
      <c r="B48" s="455"/>
      <c r="C48" s="1184" t="str">
        <f>YEAR(C7)&amp;"-"&amp;MONTH(C7)</f>
        <v>2023-4</v>
      </c>
      <c r="D48" s="1185">
        <f>EDATE(C48,-1)</f>
        <v>44986</v>
      </c>
      <c r="E48" s="1185">
        <f t="shared" ref="E48:O48" si="16">EDATE(D48,-1)</f>
        <v>44958</v>
      </c>
      <c r="F48" s="1185">
        <f t="shared" si="16"/>
        <v>44927</v>
      </c>
      <c r="G48" s="1185">
        <f t="shared" si="16"/>
        <v>44896</v>
      </c>
      <c r="H48" s="1185">
        <f t="shared" si="16"/>
        <v>44866</v>
      </c>
      <c r="I48" s="1185">
        <f t="shared" si="16"/>
        <v>44835</v>
      </c>
      <c r="J48" s="1185">
        <f t="shared" si="16"/>
        <v>44805</v>
      </c>
      <c r="K48" s="1185">
        <f t="shared" si="16"/>
        <v>44774</v>
      </c>
      <c r="L48" s="1185">
        <f t="shared" si="16"/>
        <v>44743</v>
      </c>
      <c r="M48" s="1185">
        <f t="shared" si="16"/>
        <v>44713</v>
      </c>
      <c r="N48" s="1185">
        <f t="shared" si="16"/>
        <v>44682</v>
      </c>
      <c r="O48" s="1185">
        <f t="shared" si="16"/>
        <v>44652</v>
      </c>
      <c r="P48" s="2757"/>
      <c r="Q48" s="2739"/>
      <c r="R48" s="2739"/>
      <c r="S48" s="2739"/>
      <c r="T48" s="2739"/>
      <c r="U48" s="2739"/>
      <c r="V48" s="2739"/>
      <c r="W48" s="2739"/>
      <c r="X48" s="2739"/>
      <c r="Y48" s="2739"/>
      <c r="Z48" s="2739"/>
      <c r="AA48" s="2739"/>
      <c r="AB48" s="2739"/>
      <c r="AC48" s="2739"/>
    </row>
    <row r="49" spans="1:29" s="108" customFormat="1" ht="15">
      <c r="A49" s="458"/>
      <c r="B49" s="459"/>
      <c r="C49" s="1177">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1715</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1680</v>
      </c>
      <c r="B51" s="459"/>
      <c r="C51" s="471" t="s">
        <v>1775</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1718</v>
      </c>
      <c r="B53" s="477" t="s">
        <v>1684</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1687</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1689</v>
      </c>
      <c r="B63" s="477" t="s">
        <v>1725</v>
      </c>
      <c r="C63" s="522" t="s">
        <v>1720</v>
      </c>
      <c r="D63" s="522" t="s">
        <v>1721</v>
      </c>
      <c r="E63" s="522" t="s">
        <v>1722</v>
      </c>
      <c r="F63" s="522" t="s">
        <v>1723</v>
      </c>
      <c r="G63" s="522" t="s">
        <v>1724</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1726</v>
      </c>
      <c r="C65" s="527" t="s">
        <v>1720</v>
      </c>
      <c r="D65" s="527" t="s">
        <v>1721</v>
      </c>
      <c r="E65" s="527" t="s">
        <v>1722</v>
      </c>
      <c r="F65" s="527" t="s">
        <v>1723</v>
      </c>
      <c r="G65" s="527" t="s">
        <v>1724</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1812</v>
      </c>
      <c r="C67" s="608" t="s">
        <v>1798</v>
      </c>
      <c r="D67" s="608" t="s">
        <v>1799</v>
      </c>
      <c r="E67" s="608" t="s">
        <v>1800</v>
      </c>
      <c r="F67" s="608" t="s">
        <v>1801</v>
      </c>
      <c r="G67" s="608" t="s">
        <v>1802</v>
      </c>
      <c r="H67" s="488"/>
      <c r="I67" s="488"/>
      <c r="J67" s="488"/>
      <c r="K67" s="488"/>
      <c r="L67" s="488"/>
      <c r="M67" s="1129"/>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1732</v>
      </c>
      <c r="C69" s="527" t="s">
        <v>1720</v>
      </c>
      <c r="D69" s="527" t="s">
        <v>1721</v>
      </c>
      <c r="E69" s="527" t="s">
        <v>1722</v>
      </c>
      <c r="F69" s="527" t="s">
        <v>1723</v>
      </c>
      <c r="G69" s="527" t="s">
        <v>1724</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1851</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1693</v>
      </c>
      <c r="B79" s="477" t="s">
        <v>1852</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1853</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1739</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1854</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1855</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1856</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1857</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1858</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J58" sqref="J5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1830</v>
      </c>
      <c r="B1" s="1223" t="s">
        <v>3337</v>
      </c>
      <c r="C1" s="1224" t="s">
        <v>1661</v>
      </c>
      <c r="D1" s="1225"/>
      <c r="E1" s="3431"/>
      <c r="F1" s="1879"/>
      <c r="G1" s="1235" t="s">
        <v>1766</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1461</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1462</v>
      </c>
      <c r="F2" s="1883"/>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1463</v>
      </c>
      <c r="B3" s="558" t="e">
        <f>IF(C2="——",C37,ROUND(B2*10000/D3,0))</f>
        <v>#DIV/0!</v>
      </c>
      <c r="C3" s="354" t="s">
        <v>1767</v>
      </c>
      <c r="D3" s="353">
        <f>SUMIF('数据-汇总表'!$C19:$C33,D1,'数据-汇总表'!$E19:$E33)</f>
        <v>0</v>
      </c>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5">
      <c r="A4" s="355" t="s">
        <v>1768</v>
      </c>
      <c r="B4" s="356"/>
      <c r="C4" s="3691" t="s">
        <v>1769</v>
      </c>
      <c r="D4" s="3692"/>
      <c r="E4" s="3693" t="s">
        <v>1770</v>
      </c>
      <c r="F4" s="3694"/>
      <c r="G4" s="3691" t="s">
        <v>1771</v>
      </c>
      <c r="H4" s="3692"/>
      <c r="I4" s="3691" t="s">
        <v>1772</v>
      </c>
      <c r="J4" s="3692"/>
      <c r="K4" s="559" t="s">
        <v>1773</v>
      </c>
      <c r="L4" s="2713"/>
      <c r="M4" s="2714"/>
      <c r="N4" s="2714"/>
      <c r="O4" s="2714"/>
      <c r="P4" s="3695" t="s">
        <v>1774</v>
      </c>
      <c r="Q4" s="3696"/>
      <c r="R4" s="3701" t="s">
        <v>1770</v>
      </c>
      <c r="S4" s="3702"/>
      <c r="T4" s="3701" t="s">
        <v>1771</v>
      </c>
      <c r="U4" s="3702"/>
      <c r="V4" s="3707" t="s">
        <v>1772</v>
      </c>
      <c r="W4" s="3707"/>
      <c r="X4" s="1355"/>
      <c r="Y4" s="3701" t="s">
        <v>1774</v>
      </c>
      <c r="Z4" s="3702"/>
      <c r="AA4" s="3688" t="s">
        <v>1770</v>
      </c>
      <c r="AB4" s="3689" t="s">
        <v>1771</v>
      </c>
      <c r="AC4" s="3688" t="s">
        <v>1772</v>
      </c>
    </row>
    <row r="5" spans="1:29" ht="15">
      <c r="A5" s="358"/>
      <c r="B5" s="359"/>
      <c r="C5" s="3710" t="s">
        <v>1672</v>
      </c>
      <c r="D5" s="3711"/>
      <c r="E5" s="3717" t="s">
        <v>1673</v>
      </c>
      <c r="F5" s="3718"/>
      <c r="G5" s="3710" t="s">
        <v>1674</v>
      </c>
      <c r="H5" s="3711"/>
      <c r="I5" s="3710" t="s">
        <v>1675</v>
      </c>
      <c r="J5" s="3711"/>
      <c r="K5" s="559"/>
      <c r="L5" s="2713"/>
      <c r="M5" s="2714"/>
      <c r="N5" s="2714"/>
      <c r="O5" s="2714"/>
      <c r="P5" s="3697"/>
      <c r="Q5" s="3698"/>
      <c r="R5" s="3703"/>
      <c r="S5" s="3704"/>
      <c r="T5" s="3703"/>
      <c r="U5" s="3704"/>
      <c r="V5" s="3707"/>
      <c r="W5" s="3707"/>
      <c r="X5" s="1355"/>
      <c r="Y5" s="3703"/>
      <c r="Z5" s="3704"/>
      <c r="AA5" s="3689"/>
      <c r="AB5" s="3689"/>
      <c r="AC5" s="3689"/>
    </row>
    <row r="6" spans="1:29" ht="15.75" thickBot="1">
      <c r="A6" s="360"/>
      <c r="B6" s="361"/>
      <c r="C6" s="3708" t="s">
        <v>1676</v>
      </c>
      <c r="D6" s="3709"/>
      <c r="E6" s="3715" t="s">
        <v>1676</v>
      </c>
      <c r="F6" s="3716"/>
      <c r="G6" s="3708" t="s">
        <v>1676</v>
      </c>
      <c r="H6" s="3709"/>
      <c r="I6" s="3708" t="s">
        <v>1676</v>
      </c>
      <c r="J6" s="3709"/>
      <c r="K6" s="559" t="s">
        <v>1677</v>
      </c>
      <c r="L6" s="2713"/>
      <c r="M6" s="2714"/>
      <c r="N6" s="2714"/>
      <c r="O6" s="2714"/>
      <c r="P6" s="3699"/>
      <c r="Q6" s="3700"/>
      <c r="R6" s="3703"/>
      <c r="S6" s="3704"/>
      <c r="T6" s="3705"/>
      <c r="U6" s="3706"/>
      <c r="V6" s="3707"/>
      <c r="W6" s="3707"/>
      <c r="X6" s="1355"/>
      <c r="Y6" s="3705"/>
      <c r="Z6" s="3706"/>
      <c r="AA6" s="3690"/>
      <c r="AB6" s="3690"/>
      <c r="AC6" s="3690"/>
    </row>
    <row r="7" spans="1:29" s="108" customFormat="1" ht="15.75" thickBot="1">
      <c r="A7" s="362" t="s">
        <v>1678</v>
      </c>
      <c r="B7" s="363"/>
      <c r="C7" s="364">
        <f>'数据-取费表'!B2</f>
        <v>45044</v>
      </c>
      <c r="D7" s="365">
        <v>100</v>
      </c>
      <c r="E7" s="366"/>
      <c r="F7" s="367">
        <f>SUMIF(46:46,YEAR(E7)&amp;"-"&amp;MONTH(E7),47:47)</f>
        <v>0</v>
      </c>
      <c r="G7" s="1974"/>
      <c r="H7" s="365">
        <f>SUMIF(46:46,YEAR(G7)&amp;"-"&amp;MONTH(G7),47:47)</f>
        <v>0</v>
      </c>
      <c r="I7" s="366"/>
      <c r="J7" s="365">
        <f>SUMIF(46:46,YEAR(I7)&amp;"-"&amp;MONTH(I7),47:47)</f>
        <v>0</v>
      </c>
      <c r="K7" s="560"/>
      <c r="L7" s="2715"/>
      <c r="M7" s="2716"/>
      <c r="N7" s="2716"/>
      <c r="O7" s="2716"/>
      <c r="P7" s="3712" t="s">
        <v>1679</v>
      </c>
      <c r="Q7" s="3714"/>
      <c r="R7" s="701" t="s">
        <v>14</v>
      </c>
      <c r="S7" s="702">
        <f t="shared" ref="S7:S14" si="0">F7</f>
        <v>0</v>
      </c>
      <c r="T7" s="701" t="s">
        <v>14</v>
      </c>
      <c r="U7" s="702">
        <f t="shared" ref="U7:U14" si="1">H7</f>
        <v>0</v>
      </c>
      <c r="V7" s="701" t="s">
        <v>14</v>
      </c>
      <c r="W7" s="702">
        <f t="shared" ref="W7:W14" si="2">J7</f>
        <v>0</v>
      </c>
      <c r="X7" s="703"/>
      <c r="Y7" s="3712" t="s">
        <v>1679</v>
      </c>
      <c r="Z7" s="3713"/>
      <c r="AA7" s="704" t="e">
        <f>D7/F7</f>
        <v>#DIV/0!</v>
      </c>
      <c r="AB7" s="704" t="e">
        <f>D7/H7</f>
        <v>#DIV/0!</v>
      </c>
      <c r="AC7" s="704" t="e">
        <f>D7/J7</f>
        <v>#DIV/0!</v>
      </c>
    </row>
    <row r="8" spans="1:29" s="108" customFormat="1" ht="15.75" thickBot="1">
      <c r="A8" s="362" t="s">
        <v>1680</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712" t="s">
        <v>1682</v>
      </c>
      <c r="Q8" s="3713"/>
      <c r="R8" s="701" t="s">
        <v>14</v>
      </c>
      <c r="S8" s="702">
        <f t="shared" si="0"/>
        <v>100</v>
      </c>
      <c r="T8" s="701" t="s">
        <v>14</v>
      </c>
      <c r="U8" s="702">
        <f t="shared" si="1"/>
        <v>100</v>
      </c>
      <c r="V8" s="701" t="s">
        <v>14</v>
      </c>
      <c r="W8" s="702">
        <f t="shared" si="2"/>
        <v>100</v>
      </c>
      <c r="X8" s="703"/>
      <c r="Y8" s="3712" t="s">
        <v>1682</v>
      </c>
      <c r="Z8" s="3713"/>
      <c r="AA8" s="704">
        <f t="shared" ref="AA8:AA34" si="3">D8/F8</f>
        <v>1</v>
      </c>
      <c r="AB8" s="704">
        <f t="shared" ref="AB8:AB34" si="4">D8/H8</f>
        <v>1</v>
      </c>
      <c r="AC8" s="704">
        <f t="shared" ref="AC8:AC34" si="5">D8/J8</f>
        <v>1</v>
      </c>
    </row>
    <row r="9" spans="1:29" s="108" customFormat="1">
      <c r="A9" s="369" t="s">
        <v>1683</v>
      </c>
      <c r="B9" s="63" t="s">
        <v>1684</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676" t="s">
        <v>1685</v>
      </c>
      <c r="Q9" s="1343" t="str">
        <f t="shared" ref="Q9:Q14" si="6">B9</f>
        <v>用途</v>
      </c>
      <c r="R9" s="701" t="s">
        <v>14</v>
      </c>
      <c r="S9" s="702">
        <f t="shared" si="0"/>
        <v>100</v>
      </c>
      <c r="T9" s="701" t="s">
        <v>14</v>
      </c>
      <c r="U9" s="702">
        <f t="shared" si="1"/>
        <v>100</v>
      </c>
      <c r="V9" s="701" t="s">
        <v>14</v>
      </c>
      <c r="W9" s="702">
        <f t="shared" si="2"/>
        <v>100</v>
      </c>
      <c r="X9" s="703"/>
      <c r="Y9" s="3551" t="s">
        <v>1686</v>
      </c>
      <c r="Z9" s="52" t="str">
        <f t="shared" ref="Z9:Z14" si="7">Q9</f>
        <v>用途</v>
      </c>
      <c r="AA9" s="704">
        <f t="shared" si="3"/>
        <v>1</v>
      </c>
      <c r="AB9" s="704">
        <f t="shared" si="4"/>
        <v>1</v>
      </c>
      <c r="AC9" s="704">
        <f t="shared" si="5"/>
        <v>1</v>
      </c>
    </row>
    <row r="10" spans="1:29" s="378" customFormat="1" ht="27">
      <c r="A10" s="374"/>
      <c r="B10" s="375" t="s">
        <v>1687</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676"/>
      <c r="Q10" s="1343" t="str">
        <f t="shared" si="6"/>
        <v>土地使用年限（年）</v>
      </c>
      <c r="R10" s="701" t="s">
        <v>14</v>
      </c>
      <c r="S10" s="702">
        <f t="shared" si="0"/>
        <v>100</v>
      </c>
      <c r="T10" s="701" t="s">
        <v>14</v>
      </c>
      <c r="U10" s="702">
        <f t="shared" si="1"/>
        <v>100</v>
      </c>
      <c r="V10" s="701" t="s">
        <v>14</v>
      </c>
      <c r="W10" s="702">
        <f t="shared" si="2"/>
        <v>100</v>
      </c>
      <c r="X10" s="703"/>
      <c r="Y10" s="3551"/>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676"/>
      <c r="Q11" s="1343">
        <f t="shared" si="6"/>
        <v>111</v>
      </c>
      <c r="R11" s="701" t="s">
        <v>14</v>
      </c>
      <c r="S11" s="702">
        <f t="shared" si="0"/>
        <v>100</v>
      </c>
      <c r="T11" s="701" t="s">
        <v>14</v>
      </c>
      <c r="U11" s="702">
        <f t="shared" si="1"/>
        <v>100</v>
      </c>
      <c r="V11" s="701" t="s">
        <v>14</v>
      </c>
      <c r="W11" s="702">
        <f t="shared" si="2"/>
        <v>100</v>
      </c>
      <c r="X11" s="703"/>
      <c r="Y11" s="3551"/>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676"/>
      <c r="Q12" s="1343">
        <f t="shared" si="6"/>
        <v>111</v>
      </c>
      <c r="R12" s="701" t="s">
        <v>14</v>
      </c>
      <c r="S12" s="702">
        <f t="shared" si="0"/>
        <v>100</v>
      </c>
      <c r="T12" s="701" t="s">
        <v>14</v>
      </c>
      <c r="U12" s="702">
        <f t="shared" si="1"/>
        <v>100</v>
      </c>
      <c r="V12" s="701" t="s">
        <v>14</v>
      </c>
      <c r="W12" s="702">
        <f t="shared" si="2"/>
        <v>100</v>
      </c>
      <c r="X12" s="703"/>
      <c r="Y12" s="3551"/>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0"/>
      <c r="M13" s="2714"/>
      <c r="N13" s="2714"/>
      <c r="O13" s="2772"/>
      <c r="P13" s="3676"/>
      <c r="Q13" s="1343">
        <f t="shared" si="6"/>
        <v>111</v>
      </c>
      <c r="R13" s="701" t="s">
        <v>14</v>
      </c>
      <c r="S13" s="702">
        <f t="shared" si="0"/>
        <v>100</v>
      </c>
      <c r="T13" s="701" t="s">
        <v>14</v>
      </c>
      <c r="U13" s="702">
        <f t="shared" si="1"/>
        <v>100</v>
      </c>
      <c r="V13" s="701" t="s">
        <v>14</v>
      </c>
      <c r="W13" s="702">
        <f t="shared" si="2"/>
        <v>100</v>
      </c>
      <c r="X13" s="703"/>
      <c r="Y13" s="3551"/>
      <c r="Z13" s="52">
        <f t="shared" si="7"/>
        <v>111</v>
      </c>
      <c r="AA13" s="704">
        <f t="shared" si="3"/>
        <v>1</v>
      </c>
      <c r="AB13" s="704">
        <f t="shared" si="4"/>
        <v>1</v>
      </c>
      <c r="AC13" s="704">
        <f t="shared" si="5"/>
        <v>1</v>
      </c>
    </row>
    <row r="14" spans="1:29" ht="85.5">
      <c r="A14" s="391" t="s">
        <v>1689</v>
      </c>
      <c r="B14" s="61" t="s">
        <v>1832</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678" t="s">
        <v>1690</v>
      </c>
      <c r="Q14" s="1352" t="str">
        <f t="shared" si="6"/>
        <v>交通便捷度</v>
      </c>
      <c r="R14" s="705" t="s">
        <v>14</v>
      </c>
      <c r="S14" s="706">
        <f t="shared" si="0"/>
        <v>100</v>
      </c>
      <c r="T14" s="705" t="s">
        <v>14</v>
      </c>
      <c r="U14" s="706">
        <f t="shared" si="1"/>
        <v>100</v>
      </c>
      <c r="V14" s="705" t="s">
        <v>14</v>
      </c>
      <c r="W14" s="706">
        <f t="shared" si="2"/>
        <v>100</v>
      </c>
      <c r="X14" s="1355"/>
      <c r="Y14" s="3678" t="s">
        <v>1690</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0"/>
      <c r="M15" s="2714"/>
      <c r="N15" s="2714"/>
      <c r="O15" s="2772"/>
      <c r="P15" s="3679"/>
      <c r="Q15" s="1352"/>
      <c r="R15" s="705"/>
      <c r="S15" s="706"/>
      <c r="T15" s="705"/>
      <c r="U15" s="706"/>
      <c r="V15" s="705"/>
      <c r="W15" s="706"/>
      <c r="X15" s="1355"/>
      <c r="Y15" s="3679"/>
      <c r="Z15" s="1356"/>
      <c r="AA15" s="1353">
        <v>1</v>
      </c>
      <c r="AB15" s="1353">
        <v>1</v>
      </c>
      <c r="AC15" s="1353">
        <v>1</v>
      </c>
    </row>
    <row r="16" spans="1:29" ht="42.75">
      <c r="A16" s="379"/>
      <c r="B16" s="402" t="s">
        <v>1811</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679"/>
      <c r="Q16" s="1352" t="str">
        <f>B16</f>
        <v>公共配套设施</v>
      </c>
      <c r="R16" s="705" t="s">
        <v>14</v>
      </c>
      <c r="S16" s="706">
        <f>F16</f>
        <v>100</v>
      </c>
      <c r="T16" s="705" t="s">
        <v>14</v>
      </c>
      <c r="U16" s="706">
        <f>H16</f>
        <v>100</v>
      </c>
      <c r="V16" s="705" t="s">
        <v>14</v>
      </c>
      <c r="W16" s="706">
        <f>J16</f>
        <v>100</v>
      </c>
      <c r="X16" s="1355"/>
      <c r="Y16" s="3679"/>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0"/>
      <c r="M17" s="2714"/>
      <c r="N17" s="2714"/>
      <c r="O17" s="2772"/>
      <c r="P17" s="3679"/>
      <c r="Q17" s="1352"/>
      <c r="R17" s="705"/>
      <c r="S17" s="706"/>
      <c r="T17" s="705"/>
      <c r="U17" s="706"/>
      <c r="V17" s="705"/>
      <c r="W17" s="706"/>
      <c r="X17" s="1355"/>
      <c r="Y17" s="3679"/>
      <c r="Z17" s="1356"/>
      <c r="AA17" s="1353">
        <v>1</v>
      </c>
      <c r="AB17" s="1353">
        <v>1</v>
      </c>
      <c r="AC17" s="1353">
        <v>1</v>
      </c>
    </row>
    <row r="18" spans="1:29" ht="28.5">
      <c r="A18" s="379"/>
      <c r="B18" s="1131" t="s">
        <v>1812</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679"/>
      <c r="Q18" s="1352" t="str">
        <f>B18</f>
        <v>基础设施水平</v>
      </c>
      <c r="R18" s="705" t="s">
        <v>14</v>
      </c>
      <c r="S18" s="706">
        <f>F18</f>
        <v>100</v>
      </c>
      <c r="T18" s="705" t="s">
        <v>14</v>
      </c>
      <c r="U18" s="706">
        <f>H18</f>
        <v>100</v>
      </c>
      <c r="V18" s="705" t="s">
        <v>14</v>
      </c>
      <c r="W18" s="706">
        <f>J18</f>
        <v>100</v>
      </c>
      <c r="X18" s="1355"/>
      <c r="Y18" s="3679"/>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0"/>
      <c r="M19" s="2714"/>
      <c r="N19" s="2714"/>
      <c r="O19" s="2772"/>
      <c r="P19" s="3679"/>
      <c r="Q19" s="1352"/>
      <c r="R19" s="705"/>
      <c r="S19" s="706"/>
      <c r="T19" s="705"/>
      <c r="U19" s="706"/>
      <c r="V19" s="705"/>
      <c r="W19" s="706"/>
      <c r="X19" s="1355"/>
      <c r="Y19" s="3679"/>
      <c r="Z19" s="1356"/>
      <c r="AA19" s="1353">
        <v>1</v>
      </c>
      <c r="AB19" s="1353">
        <v>1</v>
      </c>
      <c r="AC19" s="1353">
        <v>1</v>
      </c>
    </row>
    <row r="20" spans="1:29" ht="57">
      <c r="A20" s="379"/>
      <c r="B20" s="402" t="s">
        <v>1833</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679"/>
      <c r="Q20" s="1352" t="str">
        <f>B20</f>
        <v>自然及人文环境</v>
      </c>
      <c r="R20" s="705" t="s">
        <v>14</v>
      </c>
      <c r="S20" s="706">
        <f>F20</f>
        <v>100</v>
      </c>
      <c r="T20" s="705" t="s">
        <v>14</v>
      </c>
      <c r="U20" s="706">
        <f>H20</f>
        <v>100</v>
      </c>
      <c r="V20" s="705" t="s">
        <v>14</v>
      </c>
      <c r="W20" s="706">
        <f>J20</f>
        <v>100</v>
      </c>
      <c r="X20" s="1355"/>
      <c r="Y20" s="3679"/>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0"/>
      <c r="M21" s="2714"/>
      <c r="N21" s="2714"/>
      <c r="O21" s="2772"/>
      <c r="P21" s="3679"/>
      <c r="Q21" s="1352"/>
      <c r="R21" s="705"/>
      <c r="S21" s="706"/>
      <c r="T21" s="705"/>
      <c r="U21" s="706"/>
      <c r="V21" s="705"/>
      <c r="W21" s="706"/>
      <c r="X21" s="1355"/>
      <c r="Y21" s="3679"/>
      <c r="Z21" s="1356"/>
      <c r="AA21" s="1353">
        <v>1</v>
      </c>
      <c r="AB21" s="1353">
        <v>1</v>
      </c>
      <c r="AC21" s="1353">
        <v>1</v>
      </c>
    </row>
    <row r="22" spans="1:29" ht="15">
      <c r="A22" s="379"/>
      <c r="B22" s="402" t="s">
        <v>1834</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679"/>
      <c r="Q22" s="1352" t="str">
        <f>B22</f>
        <v>楼层</v>
      </c>
      <c r="R22" s="705" t="s">
        <v>14</v>
      </c>
      <c r="S22" s="706">
        <f>F22</f>
        <v>100</v>
      </c>
      <c r="T22" s="705" t="s">
        <v>14</v>
      </c>
      <c r="U22" s="706">
        <f>H22</f>
        <v>100</v>
      </c>
      <c r="V22" s="705" t="s">
        <v>14</v>
      </c>
      <c r="W22" s="706">
        <f>J22</f>
        <v>100</v>
      </c>
      <c r="X22" s="1355"/>
      <c r="Y22" s="3679"/>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679"/>
      <c r="Q23" s="1352">
        <f>B23</f>
        <v>111</v>
      </c>
      <c r="R23" s="705" t="s">
        <v>14</v>
      </c>
      <c r="S23" s="706">
        <f>F23</f>
        <v>100</v>
      </c>
      <c r="T23" s="705" t="s">
        <v>14</v>
      </c>
      <c r="U23" s="706">
        <f>H23</f>
        <v>100</v>
      </c>
      <c r="V23" s="705" t="s">
        <v>14</v>
      </c>
      <c r="W23" s="706">
        <f>J23</f>
        <v>100</v>
      </c>
      <c r="X23" s="1355"/>
      <c r="Y23" s="3679"/>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679"/>
      <c r="Q24" s="1352">
        <f t="shared" ref="Q24:Q34" si="11">B24</f>
        <v>111</v>
      </c>
      <c r="R24" s="705" t="s">
        <v>14</v>
      </c>
      <c r="S24" s="706">
        <f>F24</f>
        <v>100</v>
      </c>
      <c r="T24" s="705" t="s">
        <v>14</v>
      </c>
      <c r="U24" s="706">
        <f>H24</f>
        <v>100</v>
      </c>
      <c r="V24" s="705" t="s">
        <v>14</v>
      </c>
      <c r="W24" s="706">
        <f>J24</f>
        <v>100</v>
      </c>
      <c r="X24" s="1355"/>
      <c r="Y24" s="3679"/>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5"/>
      <c r="M25" s="2716"/>
      <c r="N25" s="2716"/>
      <c r="O25" s="2770"/>
      <c r="P25" s="3679"/>
      <c r="Q25" s="1343">
        <f t="shared" si="11"/>
        <v>111</v>
      </c>
      <c r="R25" s="701" t="s">
        <v>14</v>
      </c>
      <c r="S25" s="702">
        <f>F25</f>
        <v>100</v>
      </c>
      <c r="T25" s="701" t="s">
        <v>14</v>
      </c>
      <c r="U25" s="702">
        <f>H25</f>
        <v>100</v>
      </c>
      <c r="V25" s="701" t="s">
        <v>14</v>
      </c>
      <c r="W25" s="702">
        <f>J25</f>
        <v>100</v>
      </c>
      <c r="X25" s="703"/>
      <c r="Y25" s="3679"/>
      <c r="Z25" s="52">
        <f>Q25</f>
        <v>111</v>
      </c>
      <c r="AA25" s="1353">
        <f>D25/F25</f>
        <v>1</v>
      </c>
      <c r="AB25" s="1353">
        <f>D25/H25</f>
        <v>1</v>
      </c>
      <c r="AC25" s="1353">
        <f>D25/J25</f>
        <v>1</v>
      </c>
    </row>
    <row r="26" spans="1:29" ht="28.5">
      <c r="A26" s="417" t="s">
        <v>1693</v>
      </c>
      <c r="B26" s="63" t="s">
        <v>1837</v>
      </c>
      <c r="C26" s="1967"/>
      <c r="D26" s="418">
        <v>100</v>
      </c>
      <c r="E26" s="1967"/>
      <c r="F26" s="615">
        <f>SUMIF(77:77,E26,78:78)-SUMIF(77:77,C26,78:78)+100</f>
        <v>100</v>
      </c>
      <c r="G26" s="1967"/>
      <c r="H26" s="418">
        <f>SUMIF(77:77,G26,78:78)-SUMIF(77:77,C26,78:78)+100</f>
        <v>100</v>
      </c>
      <c r="I26" s="1967"/>
      <c r="J26" s="418">
        <f>SUMIF(77:77,I26,78:78)-SUMIF(77:77,C26,78:78)+100</f>
        <v>100</v>
      </c>
      <c r="K26" s="561"/>
      <c r="L26" s="2720"/>
      <c r="M26" s="2714"/>
      <c r="N26" s="2714"/>
      <c r="O26" s="2772"/>
      <c r="P26" s="3734" t="s">
        <v>1695</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83" t="s">
        <v>1695</v>
      </c>
      <c r="Z26" s="1356" t="str">
        <f t="shared" ref="Z26:Z34" si="15">Q26</f>
        <v>公共部分装修</v>
      </c>
      <c r="AA26" s="1353">
        <f t="shared" si="3"/>
        <v>1</v>
      </c>
      <c r="AB26" s="1353">
        <f t="shared" si="4"/>
        <v>1</v>
      </c>
      <c r="AC26" s="1353">
        <f t="shared" si="5"/>
        <v>1</v>
      </c>
    </row>
    <row r="27" spans="1:29" s="422" customFormat="1" ht="15">
      <c r="A27" s="419"/>
      <c r="B27" s="375" t="s">
        <v>1838</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683"/>
      <c r="Q27" s="707" t="str">
        <f t="shared" si="11"/>
        <v>成新率</v>
      </c>
      <c r="R27" s="708" t="s">
        <v>14</v>
      </c>
      <c r="S27" s="709" t="e">
        <f t="shared" si="12"/>
        <v>#N/A</v>
      </c>
      <c r="T27" s="708" t="s">
        <v>14</v>
      </c>
      <c r="U27" s="709" t="e">
        <f t="shared" si="13"/>
        <v>#N/A</v>
      </c>
      <c r="V27" s="708" t="s">
        <v>14</v>
      </c>
      <c r="W27" s="709" t="e">
        <f t="shared" si="14"/>
        <v>#N/A</v>
      </c>
      <c r="X27" s="710"/>
      <c r="Y27" s="3683"/>
      <c r="Z27" s="711" t="str">
        <f t="shared" si="15"/>
        <v>成新率</v>
      </c>
      <c r="AA27" s="1353" t="e">
        <f t="shared" si="3"/>
        <v>#N/A</v>
      </c>
      <c r="AB27" s="1353" t="e">
        <f t="shared" si="4"/>
        <v>#N/A</v>
      </c>
      <c r="AC27" s="1353" t="e">
        <f t="shared" si="5"/>
        <v>#N/A</v>
      </c>
    </row>
    <row r="28" spans="1:29" ht="15">
      <c r="A28" s="423"/>
      <c r="B28" s="375" t="s">
        <v>1839</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683"/>
      <c r="Q28" s="1352" t="str">
        <f t="shared" si="11"/>
        <v>物业等级</v>
      </c>
      <c r="R28" s="705" t="s">
        <v>14</v>
      </c>
      <c r="S28" s="706">
        <f t="shared" si="12"/>
        <v>100</v>
      </c>
      <c r="T28" s="705" t="s">
        <v>14</v>
      </c>
      <c r="U28" s="706">
        <f t="shared" si="13"/>
        <v>100</v>
      </c>
      <c r="V28" s="705" t="s">
        <v>14</v>
      </c>
      <c r="W28" s="706">
        <f t="shared" si="14"/>
        <v>100</v>
      </c>
      <c r="X28" s="1355"/>
      <c r="Y28" s="3683"/>
      <c r="Z28" s="1356" t="str">
        <f t="shared" si="15"/>
        <v>物业等级</v>
      </c>
      <c r="AA28" s="1353">
        <f t="shared" si="3"/>
        <v>1</v>
      </c>
      <c r="AB28" s="1353">
        <f t="shared" si="4"/>
        <v>1</v>
      </c>
      <c r="AC28" s="1353">
        <f t="shared" si="5"/>
        <v>1</v>
      </c>
    </row>
    <row r="29" spans="1:29" ht="15">
      <c r="A29" s="423"/>
      <c r="B29" s="375" t="s">
        <v>1859</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683"/>
      <c r="Q29" s="1352" t="str">
        <f t="shared" si="11"/>
        <v>有无电梯</v>
      </c>
      <c r="R29" s="705" t="s">
        <v>14</v>
      </c>
      <c r="S29" s="706">
        <f t="shared" si="12"/>
        <v>100</v>
      </c>
      <c r="T29" s="705" t="s">
        <v>14</v>
      </c>
      <c r="U29" s="706">
        <f t="shared" si="13"/>
        <v>100</v>
      </c>
      <c r="V29" s="705" t="s">
        <v>14</v>
      </c>
      <c r="W29" s="706">
        <f t="shared" si="14"/>
        <v>100</v>
      </c>
      <c r="X29" s="1355"/>
      <c r="Y29" s="3683"/>
      <c r="Z29" s="1356" t="str">
        <f t="shared" si="15"/>
        <v>有无电梯</v>
      </c>
      <c r="AA29" s="1353">
        <f t="shared" si="3"/>
        <v>1</v>
      </c>
      <c r="AB29" s="1353">
        <f t="shared" si="4"/>
        <v>1</v>
      </c>
      <c r="AC29" s="1353">
        <f t="shared" si="5"/>
        <v>1</v>
      </c>
    </row>
    <row r="30" spans="1:29" ht="15">
      <c r="A30" s="423"/>
      <c r="B30" s="375" t="s">
        <v>1860</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683"/>
      <c r="Q30" s="1352" t="str">
        <f t="shared" si="11"/>
        <v>建筑面积</v>
      </c>
      <c r="R30" s="705" t="s">
        <v>14</v>
      </c>
      <c r="S30" s="706" t="e">
        <f t="shared" si="12"/>
        <v>#N/A</v>
      </c>
      <c r="T30" s="705" t="s">
        <v>14</v>
      </c>
      <c r="U30" s="706" t="e">
        <f t="shared" si="13"/>
        <v>#N/A</v>
      </c>
      <c r="V30" s="705" t="s">
        <v>14</v>
      </c>
      <c r="W30" s="706" t="e">
        <f t="shared" si="14"/>
        <v>#N/A</v>
      </c>
      <c r="X30" s="1355"/>
      <c r="Y30" s="3683"/>
      <c r="Z30" s="1356" t="str">
        <f t="shared" si="15"/>
        <v>建筑面积</v>
      </c>
      <c r="AA30" s="1353" t="e">
        <f t="shared" si="3"/>
        <v>#N/A</v>
      </c>
      <c r="AB30" s="1353" t="e">
        <f t="shared" si="4"/>
        <v>#N/A</v>
      </c>
      <c r="AC30" s="1353" t="e">
        <f t="shared" si="5"/>
        <v>#N/A</v>
      </c>
    </row>
    <row r="31" spans="1:29" s="108" customFormat="1" ht="15">
      <c r="A31" s="424"/>
      <c r="B31" s="375" t="s">
        <v>1861</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683"/>
      <c r="Q31" s="1343" t="str">
        <f t="shared" si="11"/>
        <v>是否封闭</v>
      </c>
      <c r="R31" s="701" t="s">
        <v>14</v>
      </c>
      <c r="S31" s="702">
        <f t="shared" si="12"/>
        <v>100</v>
      </c>
      <c r="T31" s="701" t="s">
        <v>14</v>
      </c>
      <c r="U31" s="702">
        <f t="shared" si="13"/>
        <v>100</v>
      </c>
      <c r="V31" s="701" t="s">
        <v>14</v>
      </c>
      <c r="W31" s="702">
        <f t="shared" si="14"/>
        <v>100</v>
      </c>
      <c r="X31" s="703"/>
      <c r="Y31" s="3683"/>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683" t="s">
        <v>1695</v>
      </c>
      <c r="Q32" s="1352">
        <f t="shared" si="11"/>
        <v>111</v>
      </c>
      <c r="R32" s="705" t="s">
        <v>14</v>
      </c>
      <c r="S32" s="706">
        <f t="shared" si="12"/>
        <v>100</v>
      </c>
      <c r="T32" s="705" t="s">
        <v>14</v>
      </c>
      <c r="U32" s="706">
        <f t="shared" si="13"/>
        <v>100</v>
      </c>
      <c r="V32" s="705" t="s">
        <v>14</v>
      </c>
      <c r="W32" s="706">
        <f t="shared" si="14"/>
        <v>100</v>
      </c>
      <c r="X32" s="1355"/>
      <c r="Y32" s="3683" t="s">
        <v>1695</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683"/>
      <c r="Q33" s="1352">
        <f t="shared" si="11"/>
        <v>111</v>
      </c>
      <c r="R33" s="705" t="s">
        <v>14</v>
      </c>
      <c r="S33" s="706">
        <f t="shared" si="12"/>
        <v>100</v>
      </c>
      <c r="T33" s="705" t="s">
        <v>14</v>
      </c>
      <c r="U33" s="706">
        <f t="shared" si="13"/>
        <v>100</v>
      </c>
      <c r="V33" s="705" t="s">
        <v>14</v>
      </c>
      <c r="W33" s="706">
        <f t="shared" si="14"/>
        <v>100</v>
      </c>
      <c r="X33" s="1355"/>
      <c r="Y33" s="3683"/>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0"/>
      <c r="M34" s="2714"/>
      <c r="N34" s="2714"/>
      <c r="O34" s="2772"/>
      <c r="P34" s="3683"/>
      <c r="Q34" s="1352">
        <f t="shared" si="11"/>
        <v>111</v>
      </c>
      <c r="R34" s="705" t="s">
        <v>14</v>
      </c>
      <c r="S34" s="706">
        <f t="shared" si="12"/>
        <v>100</v>
      </c>
      <c r="T34" s="705" t="s">
        <v>14</v>
      </c>
      <c r="U34" s="706">
        <f t="shared" si="13"/>
        <v>100</v>
      </c>
      <c r="V34" s="705" t="s">
        <v>14</v>
      </c>
      <c r="W34" s="706">
        <f t="shared" si="14"/>
        <v>100</v>
      </c>
      <c r="X34" s="1355"/>
      <c r="Y34" s="3683"/>
      <c r="Z34" s="1356">
        <f t="shared" si="15"/>
        <v>111</v>
      </c>
      <c r="AA34" s="1353">
        <f t="shared" si="3"/>
        <v>1</v>
      </c>
      <c r="AB34" s="1353">
        <f t="shared" si="4"/>
        <v>1</v>
      </c>
      <c r="AC34" s="1353">
        <f t="shared" si="5"/>
        <v>1</v>
      </c>
    </row>
    <row r="35" spans="1:30" ht="15">
      <c r="A35" s="430" t="s">
        <v>1707</v>
      </c>
      <c r="B35" s="431"/>
      <c r="C35" s="1154" t="s">
        <v>0</v>
      </c>
      <c r="D35" s="1155"/>
      <c r="E35" s="1156"/>
      <c r="F35" s="1157"/>
      <c r="G35" s="1158"/>
      <c r="H35" s="1159"/>
      <c r="I35" s="1156"/>
      <c r="J35" s="1159"/>
      <c r="K35" s="714"/>
      <c r="L35" s="2722"/>
      <c r="M35" s="2723"/>
      <c r="N35" s="2714"/>
      <c r="O35" s="2723"/>
      <c r="P35" s="3676" t="str">
        <f>A35</f>
        <v>成交单价（元/平方米）</v>
      </c>
      <c r="Q35" s="3676"/>
      <c r="R35" s="3677">
        <f>E35</f>
        <v>0</v>
      </c>
      <c r="S35" s="3677"/>
      <c r="T35" s="3677">
        <f>G35</f>
        <v>0</v>
      </c>
      <c r="U35" s="3677"/>
      <c r="V35" s="3677">
        <f>I35</f>
        <v>0</v>
      </c>
      <c r="W35" s="3677"/>
      <c r="X35" s="690"/>
      <c r="Y35" s="712"/>
      <c r="Z35" s="690"/>
      <c r="AA35" s="690"/>
      <c r="AB35" s="690"/>
      <c r="AC35" s="690"/>
    </row>
    <row r="36" spans="1:30" ht="15.75" thickBot="1">
      <c r="A36" s="437" t="s">
        <v>1792</v>
      </c>
      <c r="B36" s="438"/>
      <c r="C36" s="1160" t="e">
        <f>R37</f>
        <v>#DIV/0!</v>
      </c>
      <c r="D36" s="2317" t="s">
        <v>2136</v>
      </c>
      <c r="E36" s="1161" t="e">
        <f>R36</f>
        <v>#DIV/0!</v>
      </c>
      <c r="F36" s="2318"/>
      <c r="G36" s="1160" t="e">
        <f>T36</f>
        <v>#DIV/0!</v>
      </c>
      <c r="H36" s="2318"/>
      <c r="I36" s="1161" t="e">
        <f>V36</f>
        <v>#DIV/0!</v>
      </c>
      <c r="J36" s="2318"/>
      <c r="K36" s="2320">
        <f>F36+H36+J36</f>
        <v>0</v>
      </c>
      <c r="L36" s="2722"/>
      <c r="M36" s="2723"/>
      <c r="N36" s="2714"/>
      <c r="O36" s="2723"/>
      <c r="P36" s="3676" t="str">
        <f>A36</f>
        <v>比较价值（元/平方米）</v>
      </c>
      <c r="Q36" s="3676"/>
      <c r="R36" s="3677" t="e">
        <f>IF(F1="售价",ROUND(PRODUCT(R35,AA7:AA34),0),ROUND(PRODUCT(R35,AA7:AA34),1))</f>
        <v>#DIV/0!</v>
      </c>
      <c r="S36" s="3677"/>
      <c r="T36" s="3677" t="e">
        <f>IF(F1="售价",ROUND(PRODUCT(T35,AB7:AB34),0),ROUND(PRODUCT(T35,AB7:AB34),1))</f>
        <v>#DIV/0!</v>
      </c>
      <c r="U36" s="3677"/>
      <c r="V36" s="3677" t="e">
        <f>IF(F1="售价",ROUND(PRODUCT(V35,AC7:AC34),0),ROUND(PRODUCT(V35,AC7:AC34),1))</f>
        <v>#DIV/0!</v>
      </c>
      <c r="W36" s="3677"/>
      <c r="X36" s="690"/>
      <c r="Y36" s="690"/>
      <c r="Z36" s="690"/>
      <c r="AA36" s="690"/>
      <c r="AB36" s="690"/>
      <c r="AC36" s="690"/>
    </row>
    <row r="37" spans="1:30" ht="15.75" thickBot="1">
      <c r="A37" s="441" t="s">
        <v>1793</v>
      </c>
      <c r="B37" s="442"/>
      <c r="C37" s="1163" t="e">
        <f>R37</f>
        <v>#DIV/0!</v>
      </c>
      <c r="D37" s="1163"/>
      <c r="E37" s="1163"/>
      <c r="F37" s="1163"/>
      <c r="G37" s="1163"/>
      <c r="H37" s="1163"/>
      <c r="I37" s="1163"/>
      <c r="J37" s="1163"/>
      <c r="K37" s="715"/>
      <c r="L37" s="2722"/>
      <c r="M37" s="2723"/>
      <c r="N37" s="2723"/>
      <c r="O37" s="2723"/>
      <c r="P37" s="3673" t="str">
        <f>A37</f>
        <v>估价对象XX用房的比较价值（楼面单价，元/平方米）</v>
      </c>
      <c r="Q37" s="3674"/>
      <c r="R37" s="3735" t="e">
        <f>IF(F1="售价",ROUND(IF(D36="简单平均",AVERAGE(R36:W36),R36*F36+T36*H36+V36*J36),0),ROUND(IF(D36="简单平均",AVERAGE(R36:V36),R36*F36+T36*H36+V36*J36),1))</f>
        <v>#DIV/0!</v>
      </c>
      <c r="S37" s="3735"/>
      <c r="T37" s="3735"/>
      <c r="U37" s="3735"/>
      <c r="V37" s="3735"/>
      <c r="W37" s="3735"/>
      <c r="X37" s="690"/>
      <c r="Y37" s="690"/>
      <c r="Z37" s="690"/>
      <c r="AA37" s="690"/>
      <c r="AB37" s="690"/>
      <c r="AC37" s="690"/>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1794</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1795</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1796</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4" t="s">
        <v>1797</v>
      </c>
      <c r="B45" s="690"/>
      <c r="C45" s="695"/>
      <c r="D45" s="695"/>
      <c r="E45" s="695"/>
      <c r="F45" s="696"/>
      <c r="G45" s="696"/>
      <c r="H45" s="695"/>
      <c r="I45" s="695"/>
      <c r="J45" s="695"/>
      <c r="K45" s="697"/>
      <c r="L45" s="698"/>
      <c r="M45" s="695"/>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1678</v>
      </c>
      <c r="B46" s="455"/>
      <c r="C46" s="1184" t="str">
        <f>YEAR(C7)&amp;"-"&amp;MONTH(C7)</f>
        <v>2023-4</v>
      </c>
      <c r="D46" s="1185">
        <f>EDATE(C46,-1)</f>
        <v>44986</v>
      </c>
      <c r="E46" s="1185">
        <f t="shared" ref="E46:O46" si="16">EDATE(D46,-1)</f>
        <v>44958</v>
      </c>
      <c r="F46" s="1185">
        <f t="shared" si="16"/>
        <v>44927</v>
      </c>
      <c r="G46" s="1185">
        <f t="shared" si="16"/>
        <v>44896</v>
      </c>
      <c r="H46" s="1185">
        <f t="shared" si="16"/>
        <v>44866</v>
      </c>
      <c r="I46" s="1185">
        <f t="shared" si="16"/>
        <v>44835</v>
      </c>
      <c r="J46" s="1185">
        <f t="shared" si="16"/>
        <v>44805</v>
      </c>
      <c r="K46" s="1185">
        <f t="shared" si="16"/>
        <v>44774</v>
      </c>
      <c r="L46" s="1185">
        <f t="shared" si="16"/>
        <v>44743</v>
      </c>
      <c r="M46" s="1185">
        <f t="shared" si="16"/>
        <v>44713</v>
      </c>
      <c r="N46" s="1185">
        <f t="shared" si="16"/>
        <v>44682</v>
      </c>
      <c r="O46" s="1185">
        <f t="shared" si="16"/>
        <v>44652</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3">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1715</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1680</v>
      </c>
      <c r="B49" s="459"/>
      <c r="C49" s="471" t="s">
        <v>1775</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1718</v>
      </c>
      <c r="B51" s="477" t="s">
        <v>1684</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1687</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1689</v>
      </c>
      <c r="B61" s="477" t="s">
        <v>1725</v>
      </c>
      <c r="C61" s="522" t="s">
        <v>1720</v>
      </c>
      <c r="D61" s="522" t="s">
        <v>1721</v>
      </c>
      <c r="E61" s="522" t="s">
        <v>1722</v>
      </c>
      <c r="F61" s="522" t="s">
        <v>1723</v>
      </c>
      <c r="G61" s="522" t="s">
        <v>1724</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1862</v>
      </c>
      <c r="C63" s="527" t="s">
        <v>1720</v>
      </c>
      <c r="D63" s="527" t="s">
        <v>1721</v>
      </c>
      <c r="E63" s="527" t="s">
        <v>1722</v>
      </c>
      <c r="F63" s="527" t="s">
        <v>1723</v>
      </c>
      <c r="G63" s="527" t="s">
        <v>1724</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1812</v>
      </c>
      <c r="C65" s="608" t="s">
        <v>1798</v>
      </c>
      <c r="D65" s="608" t="s">
        <v>1799</v>
      </c>
      <c r="E65" s="608" t="s">
        <v>1800</v>
      </c>
      <c r="F65" s="608" t="s">
        <v>1801</v>
      </c>
      <c r="G65" s="608" t="s">
        <v>1802</v>
      </c>
      <c r="H65" s="488"/>
      <c r="I65" s="488"/>
      <c r="J65" s="488"/>
      <c r="K65" s="488"/>
      <c r="L65" s="488"/>
      <c r="M65" s="1129"/>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1732</v>
      </c>
      <c r="C67" s="527" t="s">
        <v>1720</v>
      </c>
      <c r="D67" s="527" t="s">
        <v>1721</v>
      </c>
      <c r="E67" s="527" t="s">
        <v>1722</v>
      </c>
      <c r="F67" s="527" t="s">
        <v>1723</v>
      </c>
      <c r="G67" s="527" t="s">
        <v>1724</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1851</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1693</v>
      </c>
      <c r="B77" s="477" t="s">
        <v>1739</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1854</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1855</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1863</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1864</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1865</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6"/>
      <c r="B98" s="936"/>
      <c r="C98" s="936"/>
      <c r="D98" s="936"/>
      <c r="E98" s="936"/>
      <c r="F98" s="936"/>
      <c r="G98" s="936"/>
      <c r="H98" s="936"/>
      <c r="I98" s="936"/>
      <c r="J98" s="936"/>
      <c r="K98" s="937"/>
      <c r="L98" s="938"/>
      <c r="M98" s="936"/>
      <c r="N98" s="2723"/>
      <c r="O98" s="2723"/>
      <c r="P98" s="2723"/>
      <c r="Q98" s="2723"/>
      <c r="R98" s="2723"/>
      <c r="S98" s="2723"/>
      <c r="T98" s="2723"/>
      <c r="U98" s="2723"/>
      <c r="V98" s="2723"/>
      <c r="W98" s="2723"/>
      <c r="X98" s="2723"/>
      <c r="Y98" s="2723"/>
      <c r="Z98" s="2723"/>
      <c r="AA98" s="2723"/>
      <c r="AB98" s="2723"/>
      <c r="AC98" s="2723"/>
      <c r="AD98" s="2723"/>
    </row>
    <row r="99" spans="1:30">
      <c r="A99" s="936"/>
      <c r="B99" s="936"/>
      <c r="C99" s="936"/>
      <c r="D99" s="936"/>
      <c r="E99" s="936"/>
      <c r="F99" s="936"/>
      <c r="G99" s="936"/>
      <c r="H99" s="936"/>
      <c r="I99" s="936"/>
      <c r="J99" s="936"/>
      <c r="K99" s="937"/>
      <c r="L99" s="938"/>
      <c r="M99" s="936"/>
      <c r="N99" s="2723"/>
      <c r="O99" s="2723"/>
      <c r="P99" s="2723"/>
      <c r="Q99" s="2723"/>
      <c r="R99" s="2723"/>
      <c r="S99" s="2723"/>
      <c r="T99" s="2723"/>
      <c r="U99" s="2723"/>
      <c r="V99" s="2723"/>
      <c r="W99" s="2723"/>
      <c r="X99" s="2723"/>
      <c r="Y99" s="2723"/>
      <c r="Z99" s="2723"/>
      <c r="AA99" s="2723"/>
      <c r="AB99" s="2723"/>
      <c r="AC99" s="2723"/>
      <c r="AD99" s="2723"/>
    </row>
    <row r="100" spans="1:30">
      <c r="A100" s="936"/>
      <c r="B100" s="936"/>
      <c r="C100" s="936"/>
      <c r="D100" s="936"/>
      <c r="E100" s="936"/>
      <c r="F100" s="936"/>
      <c r="G100" s="936"/>
      <c r="H100" s="936"/>
      <c r="I100" s="936"/>
      <c r="J100" s="936"/>
      <c r="K100" s="937"/>
      <c r="L100" s="938"/>
      <c r="M100" s="936"/>
      <c r="N100" s="2723"/>
      <c r="O100" s="2723"/>
      <c r="P100" s="2723"/>
      <c r="Q100" s="2723"/>
      <c r="R100" s="2723"/>
      <c r="S100" s="2723"/>
      <c r="T100" s="2723"/>
      <c r="U100" s="2723"/>
      <c r="V100" s="2723"/>
      <c r="W100" s="2723"/>
      <c r="X100" s="2723"/>
      <c r="Y100" s="2723"/>
      <c r="Z100" s="2723"/>
      <c r="AA100" s="2723"/>
      <c r="AB100" s="2723"/>
      <c r="AC100" s="2723"/>
      <c r="AD100" s="2723"/>
    </row>
    <row r="101" spans="1:30">
      <c r="A101" s="936"/>
      <c r="B101" s="936"/>
      <c r="C101" s="936"/>
      <c r="D101" s="936"/>
      <c r="E101" s="936"/>
      <c r="F101" s="936"/>
      <c r="G101" s="936"/>
      <c r="H101" s="936"/>
      <c r="I101" s="936"/>
      <c r="J101" s="936"/>
      <c r="K101" s="937"/>
      <c r="L101" s="938"/>
      <c r="M101" s="936"/>
      <c r="N101" s="2723"/>
      <c r="O101" s="2723"/>
      <c r="P101" s="2723"/>
      <c r="Q101" s="2723"/>
      <c r="R101" s="2723"/>
      <c r="S101" s="2723"/>
      <c r="T101" s="2723"/>
      <c r="U101" s="2723"/>
      <c r="V101" s="2723"/>
      <c r="W101" s="2723"/>
      <c r="X101" s="2723"/>
      <c r="Y101" s="2723"/>
      <c r="Z101" s="2723"/>
      <c r="AA101" s="2723"/>
      <c r="AB101" s="2723"/>
      <c r="AC101" s="2723"/>
      <c r="AD101" s="2723"/>
    </row>
    <row r="102" spans="1:30">
      <c r="A102" s="936"/>
      <c r="B102" s="936"/>
      <c r="C102" s="936"/>
      <c r="D102" s="936"/>
      <c r="E102" s="936"/>
      <c r="F102" s="936"/>
      <c r="G102" s="936"/>
      <c r="H102" s="936"/>
      <c r="I102" s="936"/>
      <c r="J102" s="936"/>
      <c r="K102" s="937"/>
      <c r="L102" s="938"/>
      <c r="M102" s="936"/>
      <c r="N102" s="2723"/>
      <c r="O102" s="2723"/>
      <c r="P102" s="2723"/>
      <c r="Q102" s="2723"/>
      <c r="R102" s="2723"/>
      <c r="S102" s="2723"/>
      <c r="T102" s="2723"/>
      <c r="U102" s="2723"/>
      <c r="V102" s="2723"/>
      <c r="W102" s="2723"/>
      <c r="X102" s="2723"/>
      <c r="Y102" s="2723"/>
      <c r="Z102" s="2723"/>
      <c r="AA102" s="2723"/>
      <c r="AB102" s="2723"/>
      <c r="AC102" s="2723"/>
      <c r="AD102" s="2723"/>
    </row>
    <row r="103" spans="1:30">
      <c r="A103" s="936"/>
      <c r="B103" s="936"/>
      <c r="C103" s="936"/>
      <c r="D103" s="936"/>
      <c r="E103" s="936"/>
      <c r="F103" s="936"/>
      <c r="G103" s="936"/>
      <c r="H103" s="936"/>
      <c r="I103" s="936"/>
      <c r="J103" s="936"/>
      <c r="K103" s="937"/>
      <c r="L103" s="938"/>
      <c r="M103" s="936"/>
      <c r="N103" s="936"/>
      <c r="O103" s="936"/>
      <c r="P103" s="2723"/>
      <c r="Q103" s="2723"/>
      <c r="R103" s="2723"/>
      <c r="S103" s="2723"/>
      <c r="T103" s="2723"/>
      <c r="U103" s="2723"/>
      <c r="V103" s="2723"/>
      <c r="W103" s="2723"/>
      <c r="X103" s="2723"/>
      <c r="Y103" s="2723"/>
      <c r="Z103" s="2723"/>
      <c r="AA103" s="2723"/>
      <c r="AB103" s="2723"/>
      <c r="AC103" s="2723"/>
      <c r="AD103" s="2723"/>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1866</v>
      </c>
      <c r="B1" s="349"/>
      <c r="C1" s="350" t="s">
        <v>1867</v>
      </c>
      <c r="D1" s="686"/>
      <c r="E1" s="686"/>
      <c r="F1" s="685" t="s">
        <v>1766</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1461</v>
      </c>
      <c r="B2" s="619" t="e">
        <f>F65</f>
        <v>#DIV/0!</v>
      </c>
      <c r="C2" s="907"/>
      <c r="D2" s="907"/>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c r="AD2" s="351"/>
    </row>
    <row r="3" spans="1:30" s="352" customFormat="1" ht="28.5" customHeight="1" thickBot="1">
      <c r="A3" s="203" t="s">
        <v>1463</v>
      </c>
      <c r="B3" s="558" t="e">
        <f>ROUND(IF(D3="",B2*10000/'数据-汇总表'!E3,B2*10000/D3),0)</f>
        <v>#DIV/0!</v>
      </c>
      <c r="C3" s="203" t="s">
        <v>1868</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30" ht="15">
      <c r="A4" s="355" t="s">
        <v>1768</v>
      </c>
      <c r="B4" s="356"/>
      <c r="C4" s="3691" t="s">
        <v>1769</v>
      </c>
      <c r="D4" s="3692"/>
      <c r="E4" s="3693" t="s">
        <v>1770</v>
      </c>
      <c r="F4" s="3694"/>
      <c r="G4" s="3691" t="s">
        <v>1771</v>
      </c>
      <c r="H4" s="3692"/>
      <c r="I4" s="3691" t="s">
        <v>1772</v>
      </c>
      <c r="J4" s="3692"/>
      <c r="K4" s="559" t="s">
        <v>1773</v>
      </c>
      <c r="L4" s="2713"/>
      <c r="M4" s="2714"/>
      <c r="N4" s="2714"/>
      <c r="O4" s="2714"/>
      <c r="P4" s="3695" t="s">
        <v>1774</v>
      </c>
      <c r="Q4" s="3696"/>
      <c r="R4" s="3701" t="s">
        <v>1770</v>
      </c>
      <c r="S4" s="3702"/>
      <c r="T4" s="3701" t="s">
        <v>1771</v>
      </c>
      <c r="U4" s="3702"/>
      <c r="V4" s="3707" t="s">
        <v>1772</v>
      </c>
      <c r="W4" s="3707"/>
      <c r="X4" s="1355"/>
      <c r="Y4" s="3701" t="s">
        <v>1774</v>
      </c>
      <c r="Z4" s="3702"/>
      <c r="AA4" s="3688" t="s">
        <v>1770</v>
      </c>
      <c r="AB4" s="3689" t="s">
        <v>1771</v>
      </c>
      <c r="AC4" s="3688" t="s">
        <v>1772</v>
      </c>
    </row>
    <row r="5" spans="1:30" ht="15">
      <c r="A5" s="358"/>
      <c r="B5" s="359"/>
      <c r="C5" s="3710" t="s">
        <v>1672</v>
      </c>
      <c r="D5" s="3711"/>
      <c r="E5" s="3717" t="s">
        <v>1673</v>
      </c>
      <c r="F5" s="3718"/>
      <c r="G5" s="3710" t="s">
        <v>1674</v>
      </c>
      <c r="H5" s="3711"/>
      <c r="I5" s="3710" t="s">
        <v>1675</v>
      </c>
      <c r="J5" s="3711"/>
      <c r="K5" s="559"/>
      <c r="L5" s="2713"/>
      <c r="M5" s="2714"/>
      <c r="N5" s="2714"/>
      <c r="O5" s="2714"/>
      <c r="P5" s="3697"/>
      <c r="Q5" s="3698"/>
      <c r="R5" s="3703"/>
      <c r="S5" s="3704"/>
      <c r="T5" s="3703"/>
      <c r="U5" s="3704"/>
      <c r="V5" s="3707"/>
      <c r="W5" s="3707"/>
      <c r="X5" s="1355"/>
      <c r="Y5" s="3703"/>
      <c r="Z5" s="3704"/>
      <c r="AA5" s="3689"/>
      <c r="AB5" s="3689"/>
      <c r="AC5" s="3689"/>
    </row>
    <row r="6" spans="1:30" ht="15.75" thickBot="1">
      <c r="A6" s="360"/>
      <c r="B6" s="361"/>
      <c r="C6" s="3708" t="s">
        <v>1676</v>
      </c>
      <c r="D6" s="3709"/>
      <c r="E6" s="3715" t="s">
        <v>1676</v>
      </c>
      <c r="F6" s="3716"/>
      <c r="G6" s="3708" t="s">
        <v>1676</v>
      </c>
      <c r="H6" s="3709"/>
      <c r="I6" s="3708" t="s">
        <v>1676</v>
      </c>
      <c r="J6" s="3709"/>
      <c r="K6" s="559" t="s">
        <v>1677</v>
      </c>
      <c r="L6" s="2713"/>
      <c r="M6" s="2714"/>
      <c r="N6" s="2714"/>
      <c r="O6" s="2714"/>
      <c r="P6" s="3699"/>
      <c r="Q6" s="3700"/>
      <c r="R6" s="3703"/>
      <c r="S6" s="3704"/>
      <c r="T6" s="3705"/>
      <c r="U6" s="3706"/>
      <c r="V6" s="3707"/>
      <c r="W6" s="3707"/>
      <c r="X6" s="1355"/>
      <c r="Y6" s="3705"/>
      <c r="Z6" s="3706"/>
      <c r="AA6" s="3690"/>
      <c r="AB6" s="3690"/>
      <c r="AC6" s="3690"/>
    </row>
    <row r="7" spans="1:30" s="108" customFormat="1" ht="15.75" thickBot="1">
      <c r="A7" s="362" t="s">
        <v>1678</v>
      </c>
      <c r="B7" s="363"/>
      <c r="C7" s="364">
        <f>'数据-取费表'!B2</f>
        <v>45044</v>
      </c>
      <c r="D7" s="365">
        <v>100</v>
      </c>
      <c r="E7" s="366"/>
      <c r="F7" s="367">
        <f>SUMIF(69:69,YEAR(E7)&amp;"-"&amp;INT((MONTH(E7)+2)/3),70:70)</f>
        <v>0</v>
      </c>
      <c r="G7" s="1974"/>
      <c r="H7" s="365">
        <f>SUMIF(69:69,YEAR(G7)&amp;"-"&amp;INT((MONTH(G7)+2)/3),70:70)</f>
        <v>0</v>
      </c>
      <c r="I7" s="1974"/>
      <c r="J7" s="365">
        <f>SUMIF(69:69,YEAR(I7)&amp;"-"&amp;INT((MONTH(I7)+2)/3),70:70)</f>
        <v>0</v>
      </c>
      <c r="K7" s="560"/>
      <c r="L7" s="2715"/>
      <c r="M7" s="2716"/>
      <c r="N7" s="2716"/>
      <c r="O7" s="2716"/>
      <c r="P7" s="3712" t="s">
        <v>1679</v>
      </c>
      <c r="Q7" s="3714"/>
      <c r="R7" s="701" t="s">
        <v>14</v>
      </c>
      <c r="S7" s="702">
        <f t="shared" ref="S7:S15" si="0">F7</f>
        <v>0</v>
      </c>
      <c r="T7" s="701" t="s">
        <v>14</v>
      </c>
      <c r="U7" s="702">
        <f t="shared" ref="U7:U15" si="1">H7</f>
        <v>0</v>
      </c>
      <c r="V7" s="701" t="s">
        <v>14</v>
      </c>
      <c r="W7" s="702">
        <f t="shared" ref="W7:W15" si="2">J7</f>
        <v>0</v>
      </c>
      <c r="X7" s="703"/>
      <c r="Y7" s="3712" t="s">
        <v>1679</v>
      </c>
      <c r="Z7" s="3713"/>
      <c r="AA7" s="704" t="e">
        <f>D7/F7</f>
        <v>#DIV/0!</v>
      </c>
      <c r="AB7" s="704" t="e">
        <f>D7/H7</f>
        <v>#DIV/0!</v>
      </c>
      <c r="AC7" s="704" t="e">
        <f>D7/J7</f>
        <v>#DIV/0!</v>
      </c>
    </row>
    <row r="8" spans="1:30" s="108" customFormat="1" ht="15.75" thickBot="1">
      <c r="A8" s="362" t="s">
        <v>1680</v>
      </c>
      <c r="B8" s="363"/>
      <c r="C8" s="368" t="s">
        <v>1681</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712" t="s">
        <v>1682</v>
      </c>
      <c r="Q8" s="3713"/>
      <c r="R8" s="701" t="s">
        <v>14</v>
      </c>
      <c r="S8" s="702">
        <f t="shared" si="0"/>
        <v>0</v>
      </c>
      <c r="T8" s="701" t="s">
        <v>14</v>
      </c>
      <c r="U8" s="702">
        <f t="shared" si="1"/>
        <v>0</v>
      </c>
      <c r="V8" s="701" t="s">
        <v>14</v>
      </c>
      <c r="W8" s="702">
        <f t="shared" si="2"/>
        <v>0</v>
      </c>
      <c r="X8" s="703"/>
      <c r="Y8" s="3712" t="s">
        <v>1682</v>
      </c>
      <c r="Z8" s="3713"/>
      <c r="AA8" s="704" t="e">
        <f t="shared" ref="AA8:AA45" si="3">D8/F8</f>
        <v>#DIV/0!</v>
      </c>
      <c r="AB8" s="704" t="e">
        <f t="shared" ref="AB8:AB45" si="4">D8/H8</f>
        <v>#DIV/0!</v>
      </c>
      <c r="AC8" s="704" t="e">
        <f t="shared" ref="AC8:AC45" si="5">D8/J8</f>
        <v>#DIV/0!</v>
      </c>
    </row>
    <row r="9" spans="1:30" s="108" customFormat="1">
      <c r="A9" s="369" t="s">
        <v>1683</v>
      </c>
      <c r="B9" s="63" t="s">
        <v>1684</v>
      </c>
      <c r="C9" s="1977"/>
      <c r="D9" s="126">
        <v>100</v>
      </c>
      <c r="E9" s="1977"/>
      <c r="F9" s="126">
        <f>SUMIF(74:74,E9,75:75)-SUMIF(74:74,C9,75:75)+100</f>
        <v>100</v>
      </c>
      <c r="G9" s="1977"/>
      <c r="H9" s="126">
        <f>SUMIF(74:74,G9,75:75)-SUMIF(74:74,C9,75:75)+100</f>
        <v>100</v>
      </c>
      <c r="I9" s="1977"/>
      <c r="J9" s="126">
        <f>SUMIF(74:74,I9,75:75)-SUMIF(74:74,C9,75:75)+100</f>
        <v>100</v>
      </c>
      <c r="K9" s="560"/>
      <c r="L9" s="2715"/>
      <c r="M9" s="2716"/>
      <c r="N9" s="2716"/>
      <c r="O9" s="2770"/>
      <c r="P9" s="3676" t="s">
        <v>1685</v>
      </c>
      <c r="Q9" s="1343" t="str">
        <f t="shared" ref="Q9:Q15" si="6">B9</f>
        <v>用途</v>
      </c>
      <c r="R9" s="701" t="s">
        <v>14</v>
      </c>
      <c r="S9" s="702">
        <f t="shared" si="0"/>
        <v>100</v>
      </c>
      <c r="T9" s="701" t="s">
        <v>14</v>
      </c>
      <c r="U9" s="702">
        <f t="shared" si="1"/>
        <v>100</v>
      </c>
      <c r="V9" s="701" t="s">
        <v>14</v>
      </c>
      <c r="W9" s="702">
        <f t="shared" si="2"/>
        <v>100</v>
      </c>
      <c r="X9" s="703"/>
      <c r="Y9" s="3551" t="s">
        <v>1686</v>
      </c>
      <c r="Z9" s="52" t="str">
        <f t="shared" ref="Z9:Z15" si="7">Q9</f>
        <v>用途</v>
      </c>
      <c r="AA9" s="704">
        <f t="shared" si="3"/>
        <v>1</v>
      </c>
      <c r="AB9" s="704">
        <f t="shared" si="4"/>
        <v>1</v>
      </c>
      <c r="AC9" s="704">
        <f t="shared" si="5"/>
        <v>1</v>
      </c>
    </row>
    <row r="10" spans="1:30" s="378" customFormat="1" ht="27">
      <c r="A10" s="374"/>
      <c r="B10" s="375" t="s">
        <v>1687</v>
      </c>
      <c r="C10" s="383"/>
      <c r="D10" s="127">
        <v>100</v>
      </c>
      <c r="E10" s="416"/>
      <c r="F10" s="127">
        <f>ROUND(100/'数据-取费表'!G16,0)</f>
        <v>105</v>
      </c>
      <c r="G10" s="414"/>
      <c r="H10" s="127">
        <f>ROUND(100/'数据-取费表'!G16,0)</f>
        <v>105</v>
      </c>
      <c r="I10" s="414"/>
      <c r="J10" s="127">
        <f>ROUND(100/'数据-取费表'!G16,0)</f>
        <v>105</v>
      </c>
      <c r="K10" s="620"/>
      <c r="L10" s="2717"/>
      <c r="M10" s="2718"/>
      <c r="N10" s="2718"/>
      <c r="O10" s="2771"/>
      <c r="P10" s="3676"/>
      <c r="Q10" s="1343" t="str">
        <f t="shared" si="6"/>
        <v>土地使用年限（年）</v>
      </c>
      <c r="R10" s="701" t="s">
        <v>14</v>
      </c>
      <c r="S10" s="702">
        <f t="shared" si="0"/>
        <v>105</v>
      </c>
      <c r="T10" s="701" t="s">
        <v>14</v>
      </c>
      <c r="U10" s="702">
        <f t="shared" si="1"/>
        <v>105</v>
      </c>
      <c r="V10" s="701" t="s">
        <v>14</v>
      </c>
      <c r="W10" s="702">
        <f t="shared" si="2"/>
        <v>105</v>
      </c>
      <c r="X10" s="703"/>
      <c r="Y10" s="3551"/>
      <c r="Z10" s="52" t="str">
        <f t="shared" si="7"/>
        <v>土地使用年限（年）</v>
      </c>
      <c r="AA10" s="704">
        <f t="shared" si="3"/>
        <v>0.95238095238095233</v>
      </c>
      <c r="AB10" s="704">
        <f t="shared" si="4"/>
        <v>0.95238095238095233</v>
      </c>
      <c r="AC10" s="704">
        <f t="shared" si="5"/>
        <v>0.95238095238095233</v>
      </c>
    </row>
    <row r="11" spans="1:30" ht="15">
      <c r="A11" s="379"/>
      <c r="B11" s="375" t="s">
        <v>1688</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676"/>
      <c r="Q11" s="1343" t="str">
        <f t="shared" si="6"/>
        <v>容积率</v>
      </c>
      <c r="R11" s="701" t="s">
        <v>14</v>
      </c>
      <c r="S11" s="702" t="e">
        <f t="shared" si="0"/>
        <v>#N/A</v>
      </c>
      <c r="T11" s="701" t="s">
        <v>14</v>
      </c>
      <c r="U11" s="702" t="e">
        <f t="shared" si="1"/>
        <v>#N/A</v>
      </c>
      <c r="V11" s="701" t="s">
        <v>14</v>
      </c>
      <c r="W11" s="702" t="e">
        <f t="shared" si="2"/>
        <v>#N/A</v>
      </c>
      <c r="X11" s="703"/>
      <c r="Y11" s="3551"/>
      <c r="Z11" s="52" t="str">
        <f t="shared" si="7"/>
        <v>容积率</v>
      </c>
      <c r="AA11" s="704" t="e">
        <f t="shared" si="3"/>
        <v>#N/A</v>
      </c>
      <c r="AB11" s="704" t="e">
        <f t="shared" si="4"/>
        <v>#N/A</v>
      </c>
      <c r="AC11" s="704" t="e">
        <f t="shared" si="5"/>
        <v>#N/A</v>
      </c>
    </row>
    <row r="12" spans="1:30" s="108" customFormat="1" ht="15">
      <c r="A12" s="382"/>
      <c r="B12" s="1893" t="s">
        <v>1869</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676"/>
      <c r="Q12" s="1343" t="str">
        <f t="shared" si="6"/>
        <v>配建</v>
      </c>
      <c r="R12" s="701" t="s">
        <v>14</v>
      </c>
      <c r="S12" s="702">
        <f t="shared" si="0"/>
        <v>100</v>
      </c>
      <c r="T12" s="701" t="s">
        <v>14</v>
      </c>
      <c r="U12" s="702">
        <f t="shared" si="1"/>
        <v>100</v>
      </c>
      <c r="V12" s="701" t="s">
        <v>14</v>
      </c>
      <c r="W12" s="702">
        <f t="shared" si="2"/>
        <v>100</v>
      </c>
      <c r="X12" s="703"/>
      <c r="Y12" s="3551"/>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676"/>
      <c r="Q13" s="1343">
        <f t="shared" si="6"/>
        <v>111</v>
      </c>
      <c r="R13" s="701" t="s">
        <v>14</v>
      </c>
      <c r="S13" s="702">
        <f t="shared" si="0"/>
        <v>100</v>
      </c>
      <c r="T13" s="701" t="s">
        <v>14</v>
      </c>
      <c r="U13" s="702">
        <f t="shared" si="1"/>
        <v>100</v>
      </c>
      <c r="V13" s="701" t="s">
        <v>14</v>
      </c>
      <c r="W13" s="702">
        <f t="shared" si="2"/>
        <v>100</v>
      </c>
      <c r="X13" s="703"/>
      <c r="Y13" s="3551"/>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676"/>
      <c r="Q14" s="1343">
        <f t="shared" si="6"/>
        <v>111</v>
      </c>
      <c r="R14" s="701" t="s">
        <v>14</v>
      </c>
      <c r="S14" s="702">
        <f t="shared" si="0"/>
        <v>100</v>
      </c>
      <c r="T14" s="701" t="s">
        <v>14</v>
      </c>
      <c r="U14" s="702">
        <f t="shared" si="1"/>
        <v>100</v>
      </c>
      <c r="V14" s="701" t="s">
        <v>14</v>
      </c>
      <c r="W14" s="702">
        <f t="shared" si="2"/>
        <v>100</v>
      </c>
      <c r="X14" s="703"/>
      <c r="Y14" s="3551"/>
      <c r="Z14" s="52">
        <f t="shared" si="7"/>
        <v>111</v>
      </c>
      <c r="AA14" s="704">
        <f>D14/F14</f>
        <v>1</v>
      </c>
      <c r="AB14" s="704">
        <f>D14/H14</f>
        <v>1</v>
      </c>
      <c r="AC14" s="704">
        <f>D14/J14</f>
        <v>1</v>
      </c>
    </row>
    <row r="15" spans="1:30" ht="99.75">
      <c r="A15" s="391" t="s">
        <v>1689</v>
      </c>
      <c r="B15" s="61" t="s">
        <v>1256</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678" t="s">
        <v>1690</v>
      </c>
      <c r="Q15" s="1352" t="str">
        <f t="shared" si="6"/>
        <v>居住社区成熟度</v>
      </c>
      <c r="R15" s="705" t="s">
        <v>14</v>
      </c>
      <c r="S15" s="706">
        <f t="shared" si="0"/>
        <v>100</v>
      </c>
      <c r="T15" s="705" t="s">
        <v>14</v>
      </c>
      <c r="U15" s="706">
        <f t="shared" si="1"/>
        <v>100</v>
      </c>
      <c r="V15" s="705" t="s">
        <v>14</v>
      </c>
      <c r="W15" s="706">
        <f t="shared" si="2"/>
        <v>100</v>
      </c>
      <c r="X15" s="1355"/>
      <c r="Y15" s="3678" t="s">
        <v>1690</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0"/>
      <c r="M16" s="2714"/>
      <c r="N16" s="2714"/>
      <c r="O16" s="2772"/>
      <c r="P16" s="3679"/>
      <c r="Q16" s="1352"/>
      <c r="R16" s="705"/>
      <c r="S16" s="706"/>
      <c r="T16" s="705"/>
      <c r="U16" s="706"/>
      <c r="V16" s="705"/>
      <c r="W16" s="706"/>
      <c r="X16" s="1355"/>
      <c r="Y16" s="3679"/>
      <c r="Z16" s="1356"/>
      <c r="AA16" s="1353">
        <v>1</v>
      </c>
      <c r="AB16" s="1353">
        <v>1</v>
      </c>
      <c r="AC16" s="1353">
        <v>1</v>
      </c>
    </row>
    <row r="17" spans="1:29" ht="71.25">
      <c r="A17" s="379"/>
      <c r="B17" s="402" t="s">
        <v>1776</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679"/>
      <c r="Q17" s="1352" t="str">
        <f>B17</f>
        <v>商业繁华度</v>
      </c>
      <c r="R17" s="705" t="s">
        <v>14</v>
      </c>
      <c r="S17" s="706">
        <f>F17</f>
        <v>100</v>
      </c>
      <c r="T17" s="705" t="s">
        <v>14</v>
      </c>
      <c r="U17" s="706">
        <f>H17</f>
        <v>100</v>
      </c>
      <c r="V17" s="705" t="s">
        <v>14</v>
      </c>
      <c r="W17" s="706">
        <f>J17</f>
        <v>100</v>
      </c>
      <c r="X17" s="1355"/>
      <c r="Y17" s="3679"/>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0"/>
      <c r="M18" s="2714"/>
      <c r="N18" s="2714"/>
      <c r="O18" s="2772"/>
      <c r="P18" s="3679"/>
      <c r="Q18" s="1352"/>
      <c r="R18" s="705"/>
      <c r="S18" s="706"/>
      <c r="T18" s="705"/>
      <c r="U18" s="706"/>
      <c r="V18" s="705"/>
      <c r="W18" s="706"/>
      <c r="X18" s="1355"/>
      <c r="Y18" s="3679"/>
      <c r="Z18" s="1356"/>
      <c r="AA18" s="1353">
        <v>1</v>
      </c>
      <c r="AB18" s="1353">
        <v>1</v>
      </c>
      <c r="AC18" s="1353">
        <v>1</v>
      </c>
    </row>
    <row r="19" spans="1:29" ht="71.25">
      <c r="A19" s="379"/>
      <c r="B19" s="402" t="s">
        <v>1810</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679"/>
      <c r="Q19" s="1352" t="str">
        <f>B19</f>
        <v>办公集聚程度</v>
      </c>
      <c r="R19" s="705" t="s">
        <v>14</v>
      </c>
      <c r="S19" s="706">
        <f>F19</f>
        <v>100</v>
      </c>
      <c r="T19" s="705" t="s">
        <v>14</v>
      </c>
      <c r="U19" s="706">
        <f>H19</f>
        <v>100</v>
      </c>
      <c r="V19" s="705" t="s">
        <v>14</v>
      </c>
      <c r="W19" s="706">
        <f>J19</f>
        <v>100</v>
      </c>
      <c r="X19" s="1355"/>
      <c r="Y19" s="3679"/>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0"/>
      <c r="M20" s="2714"/>
      <c r="N20" s="2714"/>
      <c r="O20" s="2772"/>
      <c r="P20" s="3679"/>
      <c r="Q20" s="1352"/>
      <c r="R20" s="705"/>
      <c r="S20" s="706"/>
      <c r="T20" s="705"/>
      <c r="U20" s="706"/>
      <c r="V20" s="705"/>
      <c r="W20" s="706"/>
      <c r="X20" s="1355"/>
      <c r="Y20" s="3679"/>
      <c r="Z20" s="1356"/>
      <c r="AA20" s="1353">
        <v>1</v>
      </c>
      <c r="AB20" s="1353">
        <v>1</v>
      </c>
      <c r="AC20" s="1353">
        <v>1</v>
      </c>
    </row>
    <row r="21" spans="1:29" ht="85.5">
      <c r="A21" s="379"/>
      <c r="B21" s="402" t="s">
        <v>1832</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679"/>
      <c r="Q21" s="1352" t="str">
        <f>B21</f>
        <v>交通便捷度</v>
      </c>
      <c r="R21" s="705" t="s">
        <v>14</v>
      </c>
      <c r="S21" s="706">
        <f>F21</f>
        <v>100</v>
      </c>
      <c r="T21" s="705" t="s">
        <v>14</v>
      </c>
      <c r="U21" s="706">
        <f>H21</f>
        <v>100</v>
      </c>
      <c r="V21" s="705" t="s">
        <v>14</v>
      </c>
      <c r="W21" s="706">
        <f>J21</f>
        <v>100</v>
      </c>
      <c r="X21" s="1355"/>
      <c r="Y21" s="3679"/>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0"/>
      <c r="M22" s="2714"/>
      <c r="N22" s="2714"/>
      <c r="O22" s="2772"/>
      <c r="P22" s="3679"/>
      <c r="Q22" s="1352"/>
      <c r="R22" s="705"/>
      <c r="S22" s="706"/>
      <c r="T22" s="705"/>
      <c r="U22" s="706"/>
      <c r="V22" s="705"/>
      <c r="W22" s="706"/>
      <c r="X22" s="1355"/>
      <c r="Y22" s="3679"/>
      <c r="Z22" s="1356"/>
      <c r="AA22" s="1353">
        <v>1</v>
      </c>
      <c r="AB22" s="1353">
        <v>1</v>
      </c>
      <c r="AC22" s="1353">
        <v>1</v>
      </c>
    </row>
    <row r="23" spans="1:29" ht="15">
      <c r="A23" s="358"/>
      <c r="B23" s="402" t="s">
        <v>1870</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679"/>
      <c r="Q23" s="1352" t="str">
        <f t="shared" ref="Q23:Q37" si="8">B23</f>
        <v>区域土地利用方向</v>
      </c>
      <c r="R23" s="705" t="s">
        <v>14</v>
      </c>
      <c r="S23" s="706">
        <f>F23</f>
        <v>100</v>
      </c>
      <c r="T23" s="705" t="s">
        <v>14</v>
      </c>
      <c r="U23" s="706">
        <f>H23</f>
        <v>100</v>
      </c>
      <c r="V23" s="705" t="s">
        <v>14</v>
      </c>
      <c r="W23" s="706">
        <f>J23</f>
        <v>100</v>
      </c>
      <c r="X23" s="1355"/>
      <c r="Y23" s="3679"/>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0"/>
      <c r="M24" s="2714"/>
      <c r="N24" s="2714"/>
      <c r="O24" s="2772"/>
      <c r="P24" s="3679"/>
      <c r="Q24" s="1352"/>
      <c r="R24" s="705"/>
      <c r="S24" s="706"/>
      <c r="T24" s="705"/>
      <c r="U24" s="706"/>
      <c r="V24" s="705"/>
      <c r="W24" s="706"/>
      <c r="X24" s="1355"/>
      <c r="Y24" s="3679"/>
      <c r="Z24" s="1356"/>
      <c r="AA24" s="1353"/>
      <c r="AB24" s="1353"/>
      <c r="AC24" s="1353"/>
    </row>
    <row r="25" spans="1:29" ht="57">
      <c r="A25" s="358"/>
      <c r="B25" s="1131" t="s">
        <v>1871</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679"/>
      <c r="Q25" s="1352" t="str">
        <f t="shared" si="8"/>
        <v>自然及人文环境状况</v>
      </c>
      <c r="R25" s="705" t="s">
        <v>14</v>
      </c>
      <c r="S25" s="706">
        <f>F25</f>
        <v>100</v>
      </c>
      <c r="T25" s="705" t="s">
        <v>14</v>
      </c>
      <c r="U25" s="706">
        <f>H25</f>
        <v>100</v>
      </c>
      <c r="V25" s="705" t="s">
        <v>14</v>
      </c>
      <c r="W25" s="706">
        <f>J25</f>
        <v>100</v>
      </c>
      <c r="X25" s="1355"/>
      <c r="Y25" s="3679"/>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0"/>
      <c r="M26" s="2714"/>
      <c r="N26" s="2714"/>
      <c r="O26" s="2772"/>
      <c r="P26" s="3679"/>
      <c r="Q26" s="1352"/>
      <c r="R26" s="705"/>
      <c r="S26" s="706"/>
      <c r="T26" s="705"/>
      <c r="U26" s="706"/>
      <c r="V26" s="705"/>
      <c r="W26" s="706"/>
      <c r="X26" s="1355"/>
      <c r="Y26" s="3679"/>
      <c r="Z26" s="1356"/>
      <c r="AA26" s="1353">
        <v>1</v>
      </c>
      <c r="AB26" s="1353">
        <v>1</v>
      </c>
      <c r="AC26" s="1353">
        <v>1</v>
      </c>
    </row>
    <row r="27" spans="1:29" s="108" customFormat="1" ht="42.75">
      <c r="A27" s="597"/>
      <c r="B27" s="1131" t="s">
        <v>1777</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679"/>
      <c r="Q27" s="1343" t="str">
        <f t="shared" si="8"/>
        <v>公共配套设施</v>
      </c>
      <c r="R27" s="701" t="s">
        <v>14</v>
      </c>
      <c r="S27" s="702">
        <f>F27</f>
        <v>100</v>
      </c>
      <c r="T27" s="701" t="s">
        <v>14</v>
      </c>
      <c r="U27" s="702">
        <f>H27</f>
        <v>100</v>
      </c>
      <c r="V27" s="701" t="s">
        <v>14</v>
      </c>
      <c r="W27" s="702">
        <f>J27</f>
        <v>100</v>
      </c>
      <c r="X27" s="703"/>
      <c r="Y27" s="3679"/>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5"/>
      <c r="M28" s="2716"/>
      <c r="N28" s="2716"/>
      <c r="O28" s="2770"/>
      <c r="P28" s="3679"/>
      <c r="Q28" s="1343"/>
      <c r="R28" s="701"/>
      <c r="S28" s="702"/>
      <c r="T28" s="701"/>
      <c r="U28" s="702"/>
      <c r="V28" s="701"/>
      <c r="W28" s="702"/>
      <c r="X28" s="703"/>
      <c r="Y28" s="3679"/>
      <c r="Z28" s="52"/>
      <c r="AA28" s="1353">
        <v>1</v>
      </c>
      <c r="AB28" s="1353">
        <v>1</v>
      </c>
      <c r="AC28" s="1353">
        <v>1</v>
      </c>
    </row>
    <row r="29" spans="1:29" s="108" customFormat="1" ht="28.5">
      <c r="A29" s="597"/>
      <c r="B29" s="1131" t="s">
        <v>1778</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679"/>
      <c r="Q29" s="1343" t="str">
        <f t="shared" ref="Q29" si="9">B29</f>
        <v>基础设施水平</v>
      </c>
      <c r="R29" s="701" t="s">
        <v>14</v>
      </c>
      <c r="S29" s="702">
        <f>F29</f>
        <v>100</v>
      </c>
      <c r="T29" s="701" t="s">
        <v>14</v>
      </c>
      <c r="U29" s="702">
        <f>H29</f>
        <v>100</v>
      </c>
      <c r="V29" s="701" t="s">
        <v>14</v>
      </c>
      <c r="W29" s="702">
        <f>J29</f>
        <v>100</v>
      </c>
      <c r="X29" s="703"/>
      <c r="Y29" s="3679"/>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5"/>
      <c r="M30" s="2716"/>
      <c r="N30" s="2716"/>
      <c r="O30" s="2770"/>
      <c r="P30" s="3679"/>
      <c r="Q30" s="1343"/>
      <c r="R30" s="701"/>
      <c r="S30" s="702"/>
      <c r="T30" s="701"/>
      <c r="U30" s="702"/>
      <c r="V30" s="701"/>
      <c r="W30" s="702"/>
      <c r="X30" s="703"/>
      <c r="Y30" s="3679"/>
      <c r="Z30" s="52"/>
      <c r="AA30" s="1353">
        <v>1</v>
      </c>
      <c r="AB30" s="1353">
        <v>1</v>
      </c>
      <c r="AC30" s="1353">
        <v>1</v>
      </c>
    </row>
    <row r="31" spans="1:29" ht="15">
      <c r="A31" s="379"/>
      <c r="B31" s="407" t="s">
        <v>1779</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679"/>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79"/>
      <c r="Z31" s="1356" t="str">
        <f t="shared" ref="Z31:Z45" si="13">Q31</f>
        <v>临街状况</v>
      </c>
      <c r="AA31" s="1353">
        <f t="shared" si="3"/>
        <v>1</v>
      </c>
      <c r="AB31" s="1353">
        <f t="shared" si="4"/>
        <v>1</v>
      </c>
      <c r="AC31" s="1353">
        <f t="shared" si="5"/>
        <v>1</v>
      </c>
    </row>
    <row r="32" spans="1:29" ht="27">
      <c r="A32" s="379"/>
      <c r="B32" s="1131" t="s">
        <v>1814</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679"/>
      <c r="Q32" s="1352" t="str">
        <f t="shared" si="8"/>
        <v>毗邻道路的类型与等级</v>
      </c>
      <c r="R32" s="705" t="s">
        <v>14</v>
      </c>
      <c r="S32" s="706">
        <f t="shared" si="10"/>
        <v>100</v>
      </c>
      <c r="T32" s="705" t="s">
        <v>14</v>
      </c>
      <c r="U32" s="706">
        <f t="shared" si="11"/>
        <v>100</v>
      </c>
      <c r="V32" s="705" t="s">
        <v>14</v>
      </c>
      <c r="W32" s="706">
        <f t="shared" si="12"/>
        <v>100</v>
      </c>
      <c r="X32" s="1355"/>
      <c r="Y32" s="3679"/>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0"/>
      <c r="M33" s="2714"/>
      <c r="N33" s="2714"/>
      <c r="O33" s="2772"/>
      <c r="P33" s="3679"/>
      <c r="Q33" s="1352"/>
      <c r="R33" s="705"/>
      <c r="S33" s="706"/>
      <c r="T33" s="705"/>
      <c r="U33" s="706"/>
      <c r="V33" s="705"/>
      <c r="W33" s="706"/>
      <c r="X33" s="1355"/>
      <c r="Y33" s="3679"/>
      <c r="Z33" s="1356"/>
      <c r="AA33" s="1353">
        <v>1</v>
      </c>
      <c r="AB33" s="1353">
        <v>1</v>
      </c>
      <c r="AC33" s="1353">
        <v>1</v>
      </c>
    </row>
    <row r="34" spans="1:29" ht="15">
      <c r="A34" s="379"/>
      <c r="B34" s="375" t="s">
        <v>1872</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679"/>
      <c r="Q34" s="1352" t="str">
        <f t="shared" si="8"/>
        <v>土地级别</v>
      </c>
      <c r="R34" s="705" t="s">
        <v>14</v>
      </c>
      <c r="S34" s="706">
        <f t="shared" si="10"/>
        <v>100</v>
      </c>
      <c r="T34" s="705" t="s">
        <v>14</v>
      </c>
      <c r="U34" s="706">
        <f t="shared" si="11"/>
        <v>100</v>
      </c>
      <c r="V34" s="705" t="s">
        <v>14</v>
      </c>
      <c r="W34" s="706">
        <f t="shared" si="12"/>
        <v>100</v>
      </c>
      <c r="X34" s="1355"/>
      <c r="Y34" s="3679"/>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679"/>
      <c r="Q35" s="1352">
        <f t="shared" si="8"/>
        <v>111</v>
      </c>
      <c r="R35" s="705" t="s">
        <v>14</v>
      </c>
      <c r="S35" s="706">
        <f t="shared" si="10"/>
        <v>100</v>
      </c>
      <c r="T35" s="705" t="s">
        <v>14</v>
      </c>
      <c r="U35" s="706">
        <f t="shared" si="11"/>
        <v>100</v>
      </c>
      <c r="V35" s="705" t="s">
        <v>14</v>
      </c>
      <c r="W35" s="706">
        <f t="shared" si="12"/>
        <v>100</v>
      </c>
      <c r="X35" s="1355"/>
      <c r="Y35" s="3679"/>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34" t="s">
        <v>1695</v>
      </c>
      <c r="Q36" s="1352">
        <f t="shared" si="8"/>
        <v>111</v>
      </c>
      <c r="R36" s="705" t="s">
        <v>14</v>
      </c>
      <c r="S36" s="706">
        <f t="shared" si="10"/>
        <v>100</v>
      </c>
      <c r="T36" s="705" t="s">
        <v>14</v>
      </c>
      <c r="U36" s="706">
        <f t="shared" si="11"/>
        <v>100</v>
      </c>
      <c r="V36" s="705" t="s">
        <v>14</v>
      </c>
      <c r="W36" s="706">
        <f t="shared" si="12"/>
        <v>100</v>
      </c>
      <c r="X36" s="1355"/>
      <c r="Y36" s="3683" t="s">
        <v>1695</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683"/>
      <c r="Q37" s="1352">
        <f t="shared" si="8"/>
        <v>111</v>
      </c>
      <c r="R37" s="708" t="s">
        <v>14</v>
      </c>
      <c r="S37" s="709">
        <f t="shared" si="10"/>
        <v>100</v>
      </c>
      <c r="T37" s="708" t="s">
        <v>14</v>
      </c>
      <c r="U37" s="709">
        <f t="shared" si="11"/>
        <v>100</v>
      </c>
      <c r="V37" s="708" t="s">
        <v>14</v>
      </c>
      <c r="W37" s="709">
        <f t="shared" si="12"/>
        <v>100</v>
      </c>
      <c r="X37" s="710"/>
      <c r="Y37" s="3683"/>
      <c r="Z37" s="711">
        <f t="shared" si="13"/>
        <v>111</v>
      </c>
      <c r="AA37" s="1353">
        <f t="shared" si="3"/>
        <v>1</v>
      </c>
      <c r="AB37" s="1353">
        <f t="shared" si="4"/>
        <v>1</v>
      </c>
      <c r="AC37" s="1353">
        <f t="shared" si="5"/>
        <v>1</v>
      </c>
    </row>
    <row r="38" spans="1:29" ht="15">
      <c r="A38" s="423" t="s">
        <v>1693</v>
      </c>
      <c r="B38" s="407" t="s">
        <v>1873</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683"/>
      <c r="Q38" s="1352" t="str">
        <f>B38</f>
        <v>宗地面积</v>
      </c>
      <c r="R38" s="705" t="s">
        <v>14</v>
      </c>
      <c r="S38" s="706" t="e">
        <f t="shared" si="10"/>
        <v>#N/A</v>
      </c>
      <c r="T38" s="705" t="s">
        <v>14</v>
      </c>
      <c r="U38" s="706" t="e">
        <f t="shared" si="11"/>
        <v>#N/A</v>
      </c>
      <c r="V38" s="705" t="s">
        <v>14</v>
      </c>
      <c r="W38" s="706" t="e">
        <f t="shared" si="12"/>
        <v>#N/A</v>
      </c>
      <c r="X38" s="1355"/>
      <c r="Y38" s="3683"/>
      <c r="Z38" s="1356" t="str">
        <f t="shared" si="13"/>
        <v>宗地面积</v>
      </c>
      <c r="AA38" s="1353" t="e">
        <f t="shared" si="3"/>
        <v>#N/A</v>
      </c>
      <c r="AB38" s="1353" t="e">
        <f t="shared" si="4"/>
        <v>#N/A</v>
      </c>
      <c r="AC38" s="1353" t="e">
        <f t="shared" si="5"/>
        <v>#N/A</v>
      </c>
    </row>
    <row r="39" spans="1:29" ht="15">
      <c r="A39" s="423"/>
      <c r="B39" s="375" t="s">
        <v>1874</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0"/>
      <c r="M39" s="2714"/>
      <c r="N39" s="2714"/>
      <c r="O39" s="2772"/>
      <c r="P39" s="3683"/>
      <c r="Q39" s="1352" t="str">
        <f t="shared" ref="Q39:Q45" si="14">B39</f>
        <v>宗地形状</v>
      </c>
      <c r="R39" s="705" t="s">
        <v>14</v>
      </c>
      <c r="S39" s="706">
        <f t="shared" si="10"/>
        <v>100</v>
      </c>
      <c r="T39" s="705" t="s">
        <v>14</v>
      </c>
      <c r="U39" s="706">
        <f t="shared" si="11"/>
        <v>100</v>
      </c>
      <c r="V39" s="705" t="s">
        <v>14</v>
      </c>
      <c r="W39" s="706">
        <f t="shared" si="12"/>
        <v>100</v>
      </c>
      <c r="X39" s="1355"/>
      <c r="Y39" s="3683"/>
      <c r="Z39" s="1356" t="str">
        <f t="shared" si="13"/>
        <v>宗地形状</v>
      </c>
      <c r="AA39" s="1353">
        <f t="shared" si="3"/>
        <v>1</v>
      </c>
      <c r="AB39" s="1353">
        <f t="shared" si="4"/>
        <v>1</v>
      </c>
      <c r="AC39" s="1353">
        <f t="shared" si="5"/>
        <v>1</v>
      </c>
    </row>
    <row r="40" spans="1:29" ht="15">
      <c r="A40" s="423"/>
      <c r="B40" s="375" t="s">
        <v>1875</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0"/>
      <c r="M40" s="2714"/>
      <c r="N40" s="2714"/>
      <c r="O40" s="2772"/>
      <c r="P40" s="3683"/>
      <c r="Q40" s="1352" t="str">
        <f t="shared" si="14"/>
        <v>临街宽度及深度</v>
      </c>
      <c r="R40" s="705" t="s">
        <v>14</v>
      </c>
      <c r="S40" s="706">
        <f t="shared" si="10"/>
        <v>100</v>
      </c>
      <c r="T40" s="705" t="s">
        <v>14</v>
      </c>
      <c r="U40" s="706">
        <f t="shared" si="11"/>
        <v>100</v>
      </c>
      <c r="V40" s="705" t="s">
        <v>14</v>
      </c>
      <c r="W40" s="706">
        <f t="shared" si="12"/>
        <v>100</v>
      </c>
      <c r="X40" s="1355"/>
      <c r="Y40" s="3683"/>
      <c r="Z40" s="1356" t="str">
        <f t="shared" si="13"/>
        <v>临街宽度及深度</v>
      </c>
      <c r="AA40" s="1353">
        <f t="shared" si="3"/>
        <v>1</v>
      </c>
      <c r="AB40" s="1353">
        <f t="shared" si="4"/>
        <v>1</v>
      </c>
      <c r="AC40" s="1353">
        <f t="shared" si="5"/>
        <v>1</v>
      </c>
    </row>
    <row r="41" spans="1:29" s="108" customFormat="1" ht="15">
      <c r="A41" s="424"/>
      <c r="B41" s="375" t="s">
        <v>1876</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5"/>
      <c r="M41" s="2716"/>
      <c r="N41" s="2716"/>
      <c r="O41" s="2770"/>
      <c r="P41" s="3683"/>
      <c r="Q41" s="1352" t="str">
        <f t="shared" si="14"/>
        <v>宗地开发程度</v>
      </c>
      <c r="R41" s="701" t="s">
        <v>14</v>
      </c>
      <c r="S41" s="702">
        <f t="shared" si="10"/>
        <v>100</v>
      </c>
      <c r="T41" s="701" t="s">
        <v>14</v>
      </c>
      <c r="U41" s="702">
        <f t="shared" si="11"/>
        <v>100</v>
      </c>
      <c r="V41" s="701" t="s">
        <v>14</v>
      </c>
      <c r="W41" s="702">
        <f t="shared" si="12"/>
        <v>100</v>
      </c>
      <c r="X41" s="703"/>
      <c r="Y41" s="3683"/>
      <c r="Z41" s="52" t="str">
        <f t="shared" si="13"/>
        <v>宗地开发程度</v>
      </c>
      <c r="AA41" s="704">
        <f t="shared" si="3"/>
        <v>1</v>
      </c>
      <c r="AB41" s="704">
        <f t="shared" si="4"/>
        <v>1</v>
      </c>
      <c r="AC41" s="704">
        <f t="shared" si="5"/>
        <v>1</v>
      </c>
    </row>
    <row r="42" spans="1:29" ht="15">
      <c r="A42" s="423"/>
      <c r="B42" s="375" t="s">
        <v>1877</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0"/>
      <c r="M42" s="2714"/>
      <c r="N42" s="2714"/>
      <c r="O42" s="2772"/>
      <c r="P42" s="3683" t="s">
        <v>1695</v>
      </c>
      <c r="Q42" s="1352" t="str">
        <f t="shared" si="14"/>
        <v>工程地质条件</v>
      </c>
      <c r="R42" s="705" t="s">
        <v>14</v>
      </c>
      <c r="S42" s="706">
        <f t="shared" si="10"/>
        <v>100</v>
      </c>
      <c r="T42" s="705" t="s">
        <v>14</v>
      </c>
      <c r="U42" s="706">
        <f t="shared" si="11"/>
        <v>100</v>
      </c>
      <c r="V42" s="705" t="s">
        <v>14</v>
      </c>
      <c r="W42" s="706">
        <f t="shared" si="12"/>
        <v>100</v>
      </c>
      <c r="X42" s="1355"/>
      <c r="Y42" s="3683" t="s">
        <v>1695</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683"/>
      <c r="Q43" s="1352">
        <f t="shared" si="14"/>
        <v>111</v>
      </c>
      <c r="R43" s="705" t="s">
        <v>14</v>
      </c>
      <c r="S43" s="706">
        <f t="shared" si="10"/>
        <v>100</v>
      </c>
      <c r="T43" s="705" t="s">
        <v>14</v>
      </c>
      <c r="U43" s="706">
        <f t="shared" si="11"/>
        <v>100</v>
      </c>
      <c r="V43" s="705" t="s">
        <v>14</v>
      </c>
      <c r="W43" s="706">
        <f t="shared" si="12"/>
        <v>100</v>
      </c>
      <c r="X43" s="1355"/>
      <c r="Y43" s="3683"/>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683"/>
      <c r="Q44" s="1352">
        <f t="shared" si="14"/>
        <v>111</v>
      </c>
      <c r="R44" s="705" t="s">
        <v>14</v>
      </c>
      <c r="S44" s="706">
        <f t="shared" si="10"/>
        <v>100</v>
      </c>
      <c r="T44" s="705" t="s">
        <v>14</v>
      </c>
      <c r="U44" s="706">
        <f t="shared" si="11"/>
        <v>100</v>
      </c>
      <c r="V44" s="705" t="s">
        <v>14</v>
      </c>
      <c r="W44" s="706">
        <f t="shared" si="12"/>
        <v>100</v>
      </c>
      <c r="X44" s="1355"/>
      <c r="Y44" s="3683"/>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683"/>
      <c r="Q45" s="1352">
        <f t="shared" si="14"/>
        <v>111</v>
      </c>
      <c r="R45" s="708" t="s">
        <v>14</v>
      </c>
      <c r="S45" s="709">
        <f t="shared" si="10"/>
        <v>100</v>
      </c>
      <c r="T45" s="708" t="s">
        <v>14</v>
      </c>
      <c r="U45" s="709">
        <f t="shared" si="11"/>
        <v>100</v>
      </c>
      <c r="V45" s="708" t="s">
        <v>14</v>
      </c>
      <c r="W45" s="709">
        <f t="shared" si="12"/>
        <v>100</v>
      </c>
      <c r="X45" s="710"/>
      <c r="Y45" s="3683"/>
      <c r="Z45" s="711">
        <f t="shared" si="13"/>
        <v>111</v>
      </c>
      <c r="AA45" s="1353">
        <f t="shared" si="3"/>
        <v>1</v>
      </c>
      <c r="AB45" s="1353">
        <f t="shared" si="4"/>
        <v>1</v>
      </c>
      <c r="AC45" s="1353">
        <f t="shared" si="5"/>
        <v>1</v>
      </c>
    </row>
    <row r="46" spans="1:29" ht="15">
      <c r="A46" s="430" t="s">
        <v>1843</v>
      </c>
      <c r="B46" s="1982" t="s">
        <v>1878</v>
      </c>
      <c r="C46" s="630" t="s">
        <v>0</v>
      </c>
      <c r="D46" s="432"/>
      <c r="E46" s="433"/>
      <c r="F46" s="434"/>
      <c r="G46" s="435"/>
      <c r="H46" s="436"/>
      <c r="I46" s="433"/>
      <c r="J46" s="436"/>
      <c r="K46" s="714"/>
      <c r="L46" s="2722"/>
      <c r="M46" s="2723"/>
      <c r="N46" s="2714"/>
      <c r="O46" s="2723"/>
      <c r="P46" s="3676" t="str">
        <f>A46</f>
        <v>成交单价</v>
      </c>
      <c r="Q46" s="3676"/>
      <c r="R46" s="3707">
        <f>E46</f>
        <v>0</v>
      </c>
      <c r="S46" s="3707"/>
      <c r="T46" s="3707">
        <f>G46</f>
        <v>0</v>
      </c>
      <c r="U46" s="3707"/>
      <c r="V46" s="3707">
        <f>I46</f>
        <v>0</v>
      </c>
      <c r="W46" s="3707"/>
      <c r="X46" s="690"/>
      <c r="Y46" s="712"/>
      <c r="Z46" s="690"/>
      <c r="AA46" s="690"/>
      <c r="AB46" s="690"/>
      <c r="AC46" s="690"/>
    </row>
    <row r="47" spans="1:29" ht="15.75" thickBot="1">
      <c r="A47" s="437" t="s">
        <v>1792</v>
      </c>
      <c r="B47" s="631"/>
      <c r="C47" s="440" t="e">
        <f>R48</f>
        <v>#DIV/0!</v>
      </c>
      <c r="D47" s="2317" t="s">
        <v>2136</v>
      </c>
      <c r="E47" s="440" t="e">
        <f>R47</f>
        <v>#DIV/0!</v>
      </c>
      <c r="F47" s="2318"/>
      <c r="G47" s="439" t="e">
        <f>T47</f>
        <v>#DIV/0!</v>
      </c>
      <c r="H47" s="2318"/>
      <c r="I47" s="440" t="e">
        <f>V47</f>
        <v>#DIV/0!</v>
      </c>
      <c r="J47" s="2318"/>
      <c r="K47" s="2320">
        <f>F47+H47+J47</f>
        <v>0</v>
      </c>
      <c r="L47" s="2722"/>
      <c r="M47" s="2723"/>
      <c r="N47" s="2723"/>
      <c r="O47" s="2723"/>
      <c r="P47" s="3676" t="str">
        <f>A47</f>
        <v>比较价值（元/平方米）</v>
      </c>
      <c r="Q47" s="3676"/>
      <c r="R47" s="3736" t="e">
        <f>ROUND(PRODUCT(R46,AA7:AA45),0)</f>
        <v>#DIV/0!</v>
      </c>
      <c r="S47" s="3736"/>
      <c r="T47" s="3736" t="e">
        <f>ROUND(PRODUCT(T46,AB7:AB45),0)</f>
        <v>#DIV/0!</v>
      </c>
      <c r="U47" s="3736"/>
      <c r="V47" s="3736" t="e">
        <f>ROUND(PRODUCT(V46,AC7:AC45),0)</f>
        <v>#DIV/0!</v>
      </c>
      <c r="W47" s="3736"/>
      <c r="X47" s="690"/>
      <c r="Y47" s="690"/>
      <c r="Z47" s="690"/>
      <c r="AA47" s="690"/>
      <c r="AB47" s="690"/>
      <c r="AC47" s="690"/>
    </row>
    <row r="48" spans="1:29" ht="15.75" thickBot="1">
      <c r="A48" s="441" t="s">
        <v>1879</v>
      </c>
      <c r="B48" s="442"/>
      <c r="C48" s="443" t="e">
        <f>R48</f>
        <v>#DIV/0!</v>
      </c>
      <c r="D48" s="443"/>
      <c r="E48" s="443"/>
      <c r="F48" s="443"/>
      <c r="G48" s="443"/>
      <c r="H48" s="443"/>
      <c r="I48" s="443"/>
      <c r="J48" s="443"/>
      <c r="K48" s="715"/>
      <c r="L48" s="2722"/>
      <c r="M48" s="2723"/>
      <c r="N48" s="2723"/>
      <c r="O48" s="2723"/>
      <c r="P48" s="3673" t="str">
        <f>A48</f>
        <v>估价对象XX用房的比较价值（楼面单价，元/平方米）</v>
      </c>
      <c r="Q48" s="3674"/>
      <c r="R48" s="3737" t="e">
        <f>ROUND(IF(D47="简单平均",AVERAGE(R47:W47),R47*F47+T47*H47+V47*J47),0)</f>
        <v>#DIV/0!</v>
      </c>
      <c r="S48" s="3737"/>
      <c r="T48" s="3737"/>
      <c r="U48" s="3737"/>
      <c r="V48" s="3737"/>
      <c r="W48" s="3737"/>
      <c r="X48" s="690"/>
      <c r="Y48" s="690"/>
      <c r="Z48" s="690"/>
      <c r="AA48" s="690"/>
      <c r="AB48" s="690"/>
      <c r="AC48" s="690"/>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1794</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1795</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1796</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3"/>
      <c r="D54" s="691"/>
      <c r="E54" s="691"/>
      <c r="F54" s="691"/>
      <c r="G54" s="691"/>
      <c r="H54" s="691"/>
      <c r="I54" s="691"/>
      <c r="J54" s="691"/>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1880</v>
      </c>
      <c r="B55" s="633" t="s">
        <v>1881</v>
      </c>
      <c r="C55" s="1983" t="s">
        <v>1882</v>
      </c>
      <c r="D55" s="1984" t="s">
        <v>1883</v>
      </c>
      <c r="E55" s="634" t="s">
        <v>1884</v>
      </c>
      <c r="F55" s="890" t="s">
        <v>1885</v>
      </c>
      <c r="G55" s="3691" t="s">
        <v>1886</v>
      </c>
      <c r="H55" s="3738"/>
      <c r="I55" s="135" t="s">
        <v>1887</v>
      </c>
      <c r="J55" s="1985">
        <f>项目基本情况!F35</f>
        <v>0</v>
      </c>
      <c r="K55" s="1986" t="s">
        <v>1888</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1889</v>
      </c>
      <c r="B56" s="637" t="e">
        <f>C48</f>
        <v>#DIV/0!</v>
      </c>
      <c r="C56" s="638">
        <v>1</v>
      </c>
      <c r="D56" s="944">
        <v>1</v>
      </c>
      <c r="E56" s="638">
        <f>'数据-汇总表'!E8+'数据-汇总表'!E9</f>
        <v>22663.3</v>
      </c>
      <c r="F56" s="886" t="e">
        <f t="shared" ref="F56:F64" si="15">ROUND(B56*E56/10000,0)</f>
        <v>#DIV/0!</v>
      </c>
      <c r="G56" s="3687"/>
      <c r="H56" s="3676"/>
      <c r="I56" s="891">
        <v>1</v>
      </c>
      <c r="J56" s="894">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1890</v>
      </c>
      <c r="B57" s="218" t="e">
        <f>ROUND($C$48*C57*D57,0)</f>
        <v>#DIV/0!</v>
      </c>
      <c r="C57" s="171">
        <f t="shared" ref="C57:C64" si="16">IF($C$55="北京市系数",I57,J57)</f>
        <v>0</v>
      </c>
      <c r="D57" s="945">
        <v>0.25</v>
      </c>
      <c r="E57" s="642"/>
      <c r="F57" s="886" t="e">
        <f t="shared" si="15"/>
        <v>#DIV/0!</v>
      </c>
      <c r="G57" s="3004" t="s">
        <v>1891</v>
      </c>
      <c r="H57" s="887">
        <f>项目基本情况!B37</f>
        <v>0</v>
      </c>
      <c r="I57" s="891">
        <f>SUMIF(修正!A57:A68,H57,修正!B57:B68)</f>
        <v>0</v>
      </c>
      <c r="J57" s="895"/>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1892</v>
      </c>
      <c r="B58" s="218" t="e">
        <f t="shared" ref="B58:B64" si="17">ROUND($C$48*C58*D58,0)</f>
        <v>#DIV/0!</v>
      </c>
      <c r="C58" s="171">
        <f t="shared" si="16"/>
        <v>0</v>
      </c>
      <c r="D58" s="945">
        <v>0.25</v>
      </c>
      <c r="E58" s="642"/>
      <c r="F58" s="886" t="e">
        <f t="shared" si="15"/>
        <v>#DIV/0!</v>
      </c>
      <c r="G58" s="3005"/>
      <c r="H58" s="887">
        <f>项目基本情况!B37</f>
        <v>0</v>
      </c>
      <c r="I58" s="891">
        <f>SUMIF(修正!A57:A68,H58,修正!C57:C68)</f>
        <v>0</v>
      </c>
      <c r="J58" s="895"/>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1893</v>
      </c>
      <c r="B59" s="218" t="e">
        <f t="shared" si="17"/>
        <v>#DIV/0!</v>
      </c>
      <c r="C59" s="171">
        <f t="shared" si="16"/>
        <v>0</v>
      </c>
      <c r="D59" s="945">
        <v>0.25</v>
      </c>
      <c r="E59" s="642"/>
      <c r="F59" s="886" t="e">
        <f t="shared" si="15"/>
        <v>#DIV/0!</v>
      </c>
      <c r="G59" s="3005"/>
      <c r="H59" s="887">
        <f>项目基本情况!B37</f>
        <v>0</v>
      </c>
      <c r="I59" s="891">
        <f>SUMIF(修正!A57:A68,H59,修正!D57:D68)</f>
        <v>0</v>
      </c>
      <c r="J59" s="895"/>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1894</v>
      </c>
      <c r="B60" s="218" t="e">
        <f t="shared" si="17"/>
        <v>#DIV/0!</v>
      </c>
      <c r="C60" s="171">
        <f t="shared" si="16"/>
        <v>0</v>
      </c>
      <c r="D60" s="945">
        <v>0.25</v>
      </c>
      <c r="E60" s="217">
        <f>'数据-汇总表'!E11</f>
        <v>0</v>
      </c>
      <c r="F60" s="886" t="e">
        <f t="shared" si="15"/>
        <v>#DIV/0!</v>
      </c>
      <c r="G60" s="1987" t="s">
        <v>1895</v>
      </c>
      <c r="H60" s="887">
        <f>项目基本情况!C37</f>
        <v>0</v>
      </c>
      <c r="I60" s="891">
        <f>SUMIF(修正!A57:A68,H60,修正!E57:E68)</f>
        <v>0</v>
      </c>
      <c r="J60" s="895"/>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1896</v>
      </c>
      <c r="B61" s="218" t="e">
        <f t="shared" si="17"/>
        <v>#DIV/0!</v>
      </c>
      <c r="C61" s="171">
        <f t="shared" si="16"/>
        <v>0</v>
      </c>
      <c r="D61" s="945">
        <v>0.25</v>
      </c>
      <c r="E61" s="217">
        <f>'数据-汇总表'!E12</f>
        <v>0</v>
      </c>
      <c r="F61" s="886" t="e">
        <f t="shared" si="15"/>
        <v>#DIV/0!</v>
      </c>
      <c r="G61" s="892" t="s">
        <v>1897</v>
      </c>
      <c r="H61" s="887">
        <f>IF(G61="商业",项目基本情况!B37,IF(G61="办公",项目基本情况!C37,IF(G61="住宅",项目基本情况!D37,项目基本情况!E37)))</f>
        <v>0</v>
      </c>
      <c r="I61" s="891">
        <f>SUMIF(修正!A57:A68,H61,修正!F57:F68)</f>
        <v>0</v>
      </c>
      <c r="J61" s="895"/>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1898</v>
      </c>
      <c r="B62" s="218" t="e">
        <f t="shared" si="17"/>
        <v>#DIV/0!</v>
      </c>
      <c r="C62" s="171">
        <f t="shared" si="16"/>
        <v>0</v>
      </c>
      <c r="D62" s="945">
        <v>0.25</v>
      </c>
      <c r="E62" s="217">
        <f>'数据-汇总表'!E13</f>
        <v>7113.3</v>
      </c>
      <c r="F62" s="886" t="e">
        <f t="shared" si="15"/>
        <v>#DIV/0!</v>
      </c>
      <c r="G62" s="892" t="s">
        <v>1899</v>
      </c>
      <c r="H62" s="887">
        <f>IF(G62="商业",项目基本情况!B37,IF(G62="办公",项目基本情况!C37,IF(G62="住宅",项目基本情况!D37,项目基本情况!E37)))</f>
        <v>0</v>
      </c>
      <c r="I62" s="891">
        <f>SUMIF(修正!A57:A68,H62,修正!G57:G68)</f>
        <v>0</v>
      </c>
      <c r="J62" s="895"/>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1900</v>
      </c>
      <c r="B63" s="218" t="e">
        <f t="shared" si="17"/>
        <v>#DIV/0!</v>
      </c>
      <c r="C63" s="171">
        <f t="shared" si="16"/>
        <v>0</v>
      </c>
      <c r="D63" s="945">
        <v>0.25</v>
      </c>
      <c r="E63" s="217">
        <f>'数据-汇总表'!E14</f>
        <v>0</v>
      </c>
      <c r="F63" s="886" t="e">
        <f t="shared" si="15"/>
        <v>#DIV/0!</v>
      </c>
      <c r="G63" s="1987" t="s">
        <v>1891</v>
      </c>
      <c r="H63" s="887">
        <f>项目基本情况!B37</f>
        <v>0</v>
      </c>
      <c r="I63" s="891">
        <f>SUMIF(修正!A57:A68,H63,修正!G57:G68)</f>
        <v>0</v>
      </c>
      <c r="J63" s="895"/>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1901</v>
      </c>
      <c r="B64" s="218" t="e">
        <f t="shared" si="17"/>
        <v>#DIV/0!</v>
      </c>
      <c r="C64" s="171">
        <f t="shared" si="16"/>
        <v>0</v>
      </c>
      <c r="D64" s="945">
        <v>0.25</v>
      </c>
      <c r="E64" s="217">
        <f>'数据-汇总表'!E15</f>
        <v>0</v>
      </c>
      <c r="F64" s="886" t="e">
        <f t="shared" si="15"/>
        <v>#DIV/0!</v>
      </c>
      <c r="G64" s="1988" t="s">
        <v>1895</v>
      </c>
      <c r="H64" s="897">
        <f>项目基本情况!C37</f>
        <v>0</v>
      </c>
      <c r="I64" s="893">
        <f>SUMIF(修正!A57:A68,H64,修正!G57:G68)</f>
        <v>0</v>
      </c>
      <c r="J64" s="896"/>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1902</v>
      </c>
      <c r="B65" s="644" t="s">
        <v>22</v>
      </c>
      <c r="C65" s="644" t="s">
        <v>23</v>
      </c>
      <c r="D65" s="644" t="s">
        <v>392</v>
      </c>
      <c r="E65" s="644">
        <f>IF(B46="楼面地价",SUM(E56:E64),'数据-汇总表'!D3)</f>
        <v>29776.6</v>
      </c>
      <c r="F65" s="645" t="e">
        <f>IF(B46="楼面地价",SUM(F56:F64),ROUND(C48*E65/10000,0))</f>
        <v>#DIV/0!</v>
      </c>
      <c r="G65" s="717"/>
      <c r="H65" s="717"/>
      <c r="I65" s="717"/>
      <c r="J65" s="717"/>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90"/>
      <c r="B66" s="692"/>
      <c r="C66" s="693"/>
      <c r="D66" s="690"/>
      <c r="E66" s="690"/>
      <c r="F66" s="690"/>
      <c r="G66" s="690"/>
      <c r="H66" s="690"/>
      <c r="I66" s="690"/>
      <c r="J66" s="927"/>
      <c r="K66" s="888"/>
      <c r="L66" s="889"/>
      <c r="M66" s="927"/>
      <c r="N66" s="927"/>
      <c r="O66" s="927"/>
      <c r="P66" s="2723"/>
      <c r="Q66" s="2723"/>
      <c r="R66" s="2723"/>
      <c r="S66" s="2723"/>
      <c r="T66" s="2723"/>
      <c r="U66" s="2723"/>
      <c r="V66" s="2723"/>
      <c r="W66" s="2723"/>
      <c r="X66" s="2723"/>
      <c r="Y66" s="2723"/>
      <c r="Z66" s="2723"/>
      <c r="AA66" s="2723"/>
      <c r="AB66" s="2723"/>
      <c r="AC66" s="2723"/>
    </row>
    <row r="67" spans="1:29">
      <c r="A67" s="690"/>
      <c r="B67" s="692"/>
      <c r="C67" s="692" t="str">
        <f>YEAR(C7)&amp;"-"&amp;MONTH(C7)&amp;"-1"</f>
        <v>2023-4-1</v>
      </c>
      <c r="D67" s="692">
        <f>EDATE(C67,-3)</f>
        <v>44927</v>
      </c>
      <c r="E67" s="692">
        <f>EDATE(D67,-3)</f>
        <v>44835</v>
      </c>
      <c r="F67" s="692">
        <f t="shared" ref="F67:O67" si="18">EDATE(E67,-3)</f>
        <v>44743</v>
      </c>
      <c r="G67" s="692">
        <f t="shared" si="18"/>
        <v>44652</v>
      </c>
      <c r="H67" s="692">
        <f t="shared" si="18"/>
        <v>44562</v>
      </c>
      <c r="I67" s="692">
        <f t="shared" si="18"/>
        <v>44470</v>
      </c>
      <c r="J67" s="692">
        <f t="shared" si="18"/>
        <v>44378</v>
      </c>
      <c r="K67" s="692">
        <f t="shared" si="18"/>
        <v>44287</v>
      </c>
      <c r="L67" s="692">
        <f t="shared" si="18"/>
        <v>44197</v>
      </c>
      <c r="M67" s="692">
        <f t="shared" si="18"/>
        <v>44105</v>
      </c>
      <c r="N67" s="692">
        <f t="shared" si="18"/>
        <v>44013</v>
      </c>
      <c r="O67" s="692">
        <f t="shared" si="18"/>
        <v>43922</v>
      </c>
      <c r="P67" s="2723"/>
      <c r="Q67" s="2723"/>
      <c r="R67" s="2723"/>
      <c r="S67" s="2723"/>
      <c r="T67" s="2723"/>
      <c r="U67" s="2723"/>
      <c r="V67" s="2723"/>
      <c r="W67" s="2723"/>
      <c r="X67" s="2723"/>
      <c r="Y67" s="2723"/>
      <c r="Z67" s="2723"/>
      <c r="AA67" s="2723"/>
      <c r="AB67" s="2723"/>
      <c r="AC67" s="2723"/>
    </row>
    <row r="68" spans="1:29" ht="21.75" thickBot="1">
      <c r="A68" s="694" t="s">
        <v>1797</v>
      </c>
      <c r="B68" s="690"/>
      <c r="C68" s="695"/>
      <c r="D68" s="695"/>
      <c r="E68" s="695"/>
      <c r="F68" s="696"/>
      <c r="G68" s="696"/>
      <c r="H68" s="695"/>
      <c r="I68" s="695"/>
      <c r="J68" s="940"/>
      <c r="K68" s="941"/>
      <c r="L68" s="942"/>
      <c r="M68" s="940"/>
      <c r="N68" s="2767"/>
      <c r="O68" s="2767"/>
      <c r="P68" s="2767"/>
      <c r="Q68" s="2737"/>
      <c r="R68" s="2723"/>
      <c r="S68" s="2723"/>
      <c r="T68" s="2723"/>
      <c r="U68" s="2723"/>
      <c r="V68" s="2723"/>
      <c r="W68" s="2723"/>
      <c r="X68" s="2723"/>
      <c r="Y68" s="2723"/>
      <c r="Z68" s="2723"/>
      <c r="AA68" s="2723"/>
      <c r="AB68" s="2723"/>
      <c r="AC68" s="2723"/>
    </row>
    <row r="69" spans="1:29" s="457" customFormat="1" ht="15">
      <c r="A69" s="1989" t="s">
        <v>1903</v>
      </c>
      <c r="B69" s="1109"/>
      <c r="C69" s="1182" t="str">
        <f>YEAR(C67)&amp;"-"&amp;ROUNDUP(MONTH(C67)/3,0)</f>
        <v>2023-2</v>
      </c>
      <c r="D69" s="1182" t="str">
        <f>YEAR(D67)&amp;"-"&amp;ROUNDUP(MONTH(D67)/3,0)</f>
        <v>2023-1</v>
      </c>
      <c r="E69" s="1182" t="str">
        <f t="shared" ref="E69:O69" si="19">YEAR(E67)&amp;"-"&amp;ROUNDUP(MONTH(E67)/3,0)</f>
        <v>2022-4</v>
      </c>
      <c r="F69" s="1182" t="str">
        <f t="shared" si="19"/>
        <v>2022-3</v>
      </c>
      <c r="G69" s="1182" t="str">
        <f t="shared" si="19"/>
        <v>2022-2</v>
      </c>
      <c r="H69" s="1182" t="str">
        <f t="shared" si="19"/>
        <v>2022-1</v>
      </c>
      <c r="I69" s="1182" t="str">
        <f t="shared" si="19"/>
        <v>2021-4</v>
      </c>
      <c r="J69" s="1182" t="str">
        <f t="shared" si="19"/>
        <v>2021-3</v>
      </c>
      <c r="K69" s="1182" t="str">
        <f t="shared" si="19"/>
        <v>2021-2</v>
      </c>
      <c r="L69" s="1182" t="str">
        <f t="shared" si="19"/>
        <v>2021-1</v>
      </c>
      <c r="M69" s="1182" t="str">
        <f t="shared" si="19"/>
        <v>2020-4</v>
      </c>
      <c r="N69" s="1182" t="str">
        <f t="shared" si="19"/>
        <v>2020-3</v>
      </c>
      <c r="O69" s="1182" t="str">
        <f t="shared" si="19"/>
        <v>2020-2</v>
      </c>
      <c r="P69" s="2774"/>
      <c r="Q69" s="2739"/>
      <c r="R69" s="2739"/>
      <c r="S69" s="2739"/>
      <c r="T69" s="2739"/>
      <c r="U69" s="2739"/>
      <c r="V69" s="2739"/>
      <c r="W69" s="2739"/>
      <c r="X69" s="2739"/>
      <c r="Y69" s="2739"/>
      <c r="Z69" s="2739"/>
      <c r="AA69" s="2739"/>
      <c r="AB69" s="2739"/>
      <c r="AC69" s="2739"/>
    </row>
    <row r="70" spans="1:29" s="108" customFormat="1" ht="30" customHeight="1">
      <c r="A70" s="1990" t="s">
        <v>1904</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7"/>
      <c r="Q70" s="2659"/>
      <c r="R70" s="2659"/>
      <c r="S70" s="2659"/>
      <c r="T70" s="2659"/>
      <c r="U70" s="2659"/>
      <c r="V70" s="2659"/>
      <c r="W70" s="2659"/>
      <c r="X70" s="2659"/>
      <c r="Y70" s="2659"/>
      <c r="Z70" s="2659"/>
      <c r="AA70" s="2659"/>
      <c r="AB70" s="2659"/>
      <c r="AC70" s="2659"/>
    </row>
    <row r="71" spans="1:29" s="108" customFormat="1" ht="15.75" thickBot="1">
      <c r="A71" s="464" t="s">
        <v>1715</v>
      </c>
      <c r="B71" s="465"/>
      <c r="C71" s="466"/>
      <c r="D71" s="467"/>
      <c r="E71" s="467"/>
      <c r="F71" s="467"/>
      <c r="G71" s="467"/>
      <c r="H71" s="467"/>
      <c r="I71" s="467"/>
      <c r="J71" s="467"/>
      <c r="K71" s="467"/>
      <c r="L71" s="467"/>
      <c r="M71" s="468"/>
      <c r="N71" s="467"/>
      <c r="O71" s="943"/>
      <c r="P71" s="2737"/>
      <c r="Q71" s="2737"/>
      <c r="R71" s="2659"/>
      <c r="S71" s="2659"/>
      <c r="T71" s="2659"/>
      <c r="U71" s="2659"/>
      <c r="V71" s="2659"/>
      <c r="W71" s="2659"/>
      <c r="X71" s="2659"/>
      <c r="Y71" s="2659"/>
      <c r="Z71" s="2659"/>
      <c r="AA71" s="2659"/>
      <c r="AB71" s="2659"/>
      <c r="AC71" s="2659"/>
    </row>
    <row r="72" spans="1:29" s="108" customFormat="1" ht="15">
      <c r="A72" s="470" t="s">
        <v>1680</v>
      </c>
      <c r="B72" s="459"/>
      <c r="C72" s="471" t="s">
        <v>1775</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1718</v>
      </c>
      <c r="B74" s="477" t="s">
        <v>1684</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1687</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1688</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1689</v>
      </c>
      <c r="B87" s="477" t="s">
        <v>1719</v>
      </c>
      <c r="C87" s="522" t="s">
        <v>1720</v>
      </c>
      <c r="D87" s="522" t="s">
        <v>1721</v>
      </c>
      <c r="E87" s="522" t="s">
        <v>1722</v>
      </c>
      <c r="F87" s="522" t="s">
        <v>1723</v>
      </c>
      <c r="G87" s="522" t="s">
        <v>1724</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1905</v>
      </c>
      <c r="C89" s="527" t="s">
        <v>1720</v>
      </c>
      <c r="D89" s="527" t="s">
        <v>1721</v>
      </c>
      <c r="E89" s="527" t="s">
        <v>1722</v>
      </c>
      <c r="F89" s="527" t="s">
        <v>1723</v>
      </c>
      <c r="G89" s="527" t="s">
        <v>1724</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1820</v>
      </c>
      <c r="C91" s="527" t="s">
        <v>1720</v>
      </c>
      <c r="D91" s="527" t="s">
        <v>1721</v>
      </c>
      <c r="E91" s="527" t="s">
        <v>1722</v>
      </c>
      <c r="F91" s="527" t="s">
        <v>1723</v>
      </c>
      <c r="G91" s="527" t="s">
        <v>1724</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1725</v>
      </c>
      <c r="C93" s="527" t="s">
        <v>1720</v>
      </c>
      <c r="D93" s="527" t="s">
        <v>1721</v>
      </c>
      <c r="E93" s="527" t="s">
        <v>1722</v>
      </c>
      <c r="F93" s="527" t="s">
        <v>1723</v>
      </c>
      <c r="G93" s="527" t="s">
        <v>1724</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1906</v>
      </c>
      <c r="C95" s="527" t="s">
        <v>1720</v>
      </c>
      <c r="D95" s="527" t="s">
        <v>1721</v>
      </c>
      <c r="E95" s="527" t="s">
        <v>1722</v>
      </c>
      <c r="F95" s="527" t="s">
        <v>1723</v>
      </c>
      <c r="G95" s="527" t="s">
        <v>1724</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1907</v>
      </c>
      <c r="C97" s="522" t="s">
        <v>1720</v>
      </c>
      <c r="D97" s="522" t="s">
        <v>1721</v>
      </c>
      <c r="E97" s="522" t="s">
        <v>1722</v>
      </c>
      <c r="F97" s="522" t="s">
        <v>1723</v>
      </c>
      <c r="G97" s="522" t="s">
        <v>1724</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1777</v>
      </c>
      <c r="C99" s="522" t="s">
        <v>1720</v>
      </c>
      <c r="D99" s="522" t="s">
        <v>1721</v>
      </c>
      <c r="E99" s="522" t="s">
        <v>1722</v>
      </c>
      <c r="F99" s="522" t="s">
        <v>1723</v>
      </c>
      <c r="G99" s="522" t="s">
        <v>1724</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1778</v>
      </c>
      <c r="C101" s="608" t="s">
        <v>1798</v>
      </c>
      <c r="D101" s="608" t="s">
        <v>1799</v>
      </c>
      <c r="E101" s="608" t="s">
        <v>1800</v>
      </c>
      <c r="F101" s="608" t="s">
        <v>1801</v>
      </c>
      <c r="G101" s="608" t="s">
        <v>1802</v>
      </c>
      <c r="H101" s="549"/>
      <c r="I101" s="549"/>
      <c r="J101" s="549"/>
      <c r="K101" s="549"/>
      <c r="L101" s="549"/>
      <c r="M101" s="1132"/>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1908</v>
      </c>
      <c r="D103" s="488" t="s">
        <v>1909</v>
      </c>
      <c r="E103" s="488" t="s">
        <v>1910</v>
      </c>
      <c r="F103" s="488" t="s">
        <v>1911</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1814</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1872</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1693</v>
      </c>
      <c r="B115" s="477" t="s">
        <v>1912</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1913</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1914</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1915</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1916</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85" zoomScaleNormal="60" zoomScaleSheetLayoutView="85" workbookViewId="0">
      <selection activeCell="N47" sqref="N47"/>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1866</v>
      </c>
      <c r="B1" s="349"/>
      <c r="C1" s="350" t="s">
        <v>1917</v>
      </c>
      <c r="D1" s="686"/>
      <c r="E1" s="686"/>
      <c r="F1" s="685" t="s">
        <v>1766</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1461</v>
      </c>
      <c r="B2" s="619">
        <f>F61</f>
        <v>2511</v>
      </c>
      <c r="C2" s="908"/>
      <c r="D2" s="908"/>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1463</v>
      </c>
      <c r="B3" s="558">
        <f>ROUND(IF(D3="",B2*10000/'数据-汇总表'!E3,B2*10000/D3),0)</f>
        <v>724</v>
      </c>
      <c r="C3" s="203" t="s">
        <v>1868</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5">
      <c r="A4" s="355" t="s">
        <v>1768</v>
      </c>
      <c r="B4" s="356"/>
      <c r="C4" s="3691" t="s">
        <v>1769</v>
      </c>
      <c r="D4" s="3692"/>
      <c r="E4" s="3693" t="s">
        <v>1770</v>
      </c>
      <c r="F4" s="3694"/>
      <c r="G4" s="3691" t="s">
        <v>1771</v>
      </c>
      <c r="H4" s="3692"/>
      <c r="I4" s="3691" t="s">
        <v>1772</v>
      </c>
      <c r="J4" s="3692"/>
      <c r="K4" s="559" t="s">
        <v>1773</v>
      </c>
      <c r="L4" s="2713"/>
      <c r="M4" s="2714"/>
      <c r="N4" s="2714"/>
      <c r="O4" s="2714"/>
      <c r="P4" s="3695" t="s">
        <v>1774</v>
      </c>
      <c r="Q4" s="3696"/>
      <c r="R4" s="3701" t="s">
        <v>1770</v>
      </c>
      <c r="S4" s="3702"/>
      <c r="T4" s="3701" t="s">
        <v>1771</v>
      </c>
      <c r="U4" s="3702"/>
      <c r="V4" s="3707" t="s">
        <v>1772</v>
      </c>
      <c r="W4" s="3707"/>
      <c r="X4" s="1355"/>
      <c r="Y4" s="3701" t="s">
        <v>1774</v>
      </c>
      <c r="Z4" s="3702"/>
      <c r="AA4" s="3688" t="s">
        <v>1770</v>
      </c>
      <c r="AB4" s="3689" t="s">
        <v>1771</v>
      </c>
      <c r="AC4" s="3688" t="s">
        <v>1772</v>
      </c>
    </row>
    <row r="5" spans="1:29" ht="60" customHeight="1">
      <c r="A5" s="358"/>
      <c r="B5" s="359"/>
      <c r="C5" s="3710" t="s">
        <v>1672</v>
      </c>
      <c r="D5" s="3711"/>
      <c r="E5" s="3717" t="str">
        <f>土地案例!A2</f>
        <v>大兴生物医药产业基地DX00-0501-0051-2地块M1工业用地国有建设用地使用权出让公告</v>
      </c>
      <c r="F5" s="3718"/>
      <c r="G5" s="3710" t="str">
        <f>土地案例!A3</f>
        <v>大兴生物医药产业基地DX00-0501-0057地块M1一类工业用地国有建设用地使用权出让挂牌文件</v>
      </c>
      <c r="H5" s="3711"/>
      <c r="I5" s="3710" t="str">
        <f>土地案例!A6</f>
        <v>大兴生物医药产业基地DX00-0501-0061地块M1一类工业用地国有建设用地使用权出让挂牌文件</v>
      </c>
      <c r="J5" s="3711"/>
      <c r="K5" s="559"/>
      <c r="L5" s="2713"/>
      <c r="M5" s="2714"/>
      <c r="N5" s="2714"/>
      <c r="O5" s="2714"/>
      <c r="P5" s="3697"/>
      <c r="Q5" s="3698"/>
      <c r="R5" s="3703"/>
      <c r="S5" s="3704"/>
      <c r="T5" s="3703"/>
      <c r="U5" s="3704"/>
      <c r="V5" s="3707"/>
      <c r="W5" s="3707"/>
      <c r="X5" s="1355"/>
      <c r="Y5" s="3703"/>
      <c r="Z5" s="3704"/>
      <c r="AA5" s="3689"/>
      <c r="AB5" s="3689"/>
      <c r="AC5" s="3689"/>
    </row>
    <row r="6" spans="1:29" ht="15.75" thickBot="1">
      <c r="A6" s="360"/>
      <c r="B6" s="361"/>
      <c r="C6" s="3739" t="s">
        <v>1918</v>
      </c>
      <c r="D6" s="3740"/>
      <c r="E6" s="3741" t="s">
        <v>1918</v>
      </c>
      <c r="F6" s="3742"/>
      <c r="G6" s="3739" t="s">
        <v>1918</v>
      </c>
      <c r="H6" s="3740"/>
      <c r="I6" s="3739" t="s">
        <v>1918</v>
      </c>
      <c r="J6" s="3740"/>
      <c r="K6" s="559" t="s">
        <v>1677</v>
      </c>
      <c r="L6" s="2713"/>
      <c r="M6" s="2714"/>
      <c r="N6" s="2714"/>
      <c r="O6" s="2714"/>
      <c r="P6" s="3699"/>
      <c r="Q6" s="3700"/>
      <c r="R6" s="3703"/>
      <c r="S6" s="3704"/>
      <c r="T6" s="3705"/>
      <c r="U6" s="3706"/>
      <c r="V6" s="3707"/>
      <c r="W6" s="3707"/>
      <c r="X6" s="1355"/>
      <c r="Y6" s="3705"/>
      <c r="Z6" s="3706"/>
      <c r="AA6" s="3690"/>
      <c r="AB6" s="3690"/>
      <c r="AC6" s="3690"/>
    </row>
    <row r="7" spans="1:29" s="108" customFormat="1" ht="15.75" thickBot="1">
      <c r="A7" s="362" t="s">
        <v>1678</v>
      </c>
      <c r="B7" s="363"/>
      <c r="C7" s="364">
        <f>'数据-取费表'!B2</f>
        <v>45044</v>
      </c>
      <c r="D7" s="365">
        <v>100</v>
      </c>
      <c r="E7" s="366">
        <f>土地案例!L2</f>
        <v>44742.000497685185</v>
      </c>
      <c r="F7" s="367">
        <f>SUMIF(65:65,YEAR(E7)&amp;"-"&amp;INT((MONTH(E7)+2)/3),66:66)</f>
        <v>98</v>
      </c>
      <c r="G7" s="1974">
        <f>土地案例!L3</f>
        <v>44480.000497685185</v>
      </c>
      <c r="H7" s="365">
        <f>SUMIF(65:65,YEAR(G7)&amp;"-"&amp;INT((MONTH(G7)+2)/3),66:66)</f>
        <v>97</v>
      </c>
      <c r="I7" s="1974">
        <f>土地案例!L6</f>
        <v>44480.000497685185</v>
      </c>
      <c r="J7" s="365">
        <f>SUMIF(65:65,YEAR(I7)&amp;"-"&amp;INT((MONTH(I7)+2)/3),66:66)</f>
        <v>97</v>
      </c>
      <c r="K7" s="560"/>
      <c r="L7" s="2715"/>
      <c r="M7" s="2716"/>
      <c r="N7" s="2716"/>
      <c r="O7" s="2716"/>
      <c r="P7" s="3712" t="s">
        <v>1679</v>
      </c>
      <c r="Q7" s="3714"/>
      <c r="R7" s="701" t="s">
        <v>14</v>
      </c>
      <c r="S7" s="702">
        <f t="shared" ref="S7:S15" si="0">F7</f>
        <v>98</v>
      </c>
      <c r="T7" s="701" t="s">
        <v>14</v>
      </c>
      <c r="U7" s="702">
        <f t="shared" ref="U7:U15" si="1">H7</f>
        <v>97</v>
      </c>
      <c r="V7" s="701" t="s">
        <v>14</v>
      </c>
      <c r="W7" s="702">
        <f t="shared" ref="W7:W15" si="2">J7</f>
        <v>97</v>
      </c>
      <c r="X7" s="703"/>
      <c r="Y7" s="3712" t="s">
        <v>1679</v>
      </c>
      <c r="Z7" s="3713"/>
      <c r="AA7" s="704">
        <f>D7/F7</f>
        <v>1.0204081632653061</v>
      </c>
      <c r="AB7" s="704">
        <f>D7/H7</f>
        <v>1.0309278350515463</v>
      </c>
      <c r="AC7" s="704">
        <f>D7/J7</f>
        <v>1.0309278350515463</v>
      </c>
    </row>
    <row r="8" spans="1:29" s="108" customFormat="1" ht="15.75" thickBot="1">
      <c r="A8" s="362" t="s">
        <v>1680</v>
      </c>
      <c r="B8" s="363"/>
      <c r="C8" s="368" t="s">
        <v>1681</v>
      </c>
      <c r="D8" s="365">
        <v>100</v>
      </c>
      <c r="E8" s="368" t="s">
        <v>1681</v>
      </c>
      <c r="F8" s="367">
        <f>SUMIF(68:68,E8,69:69)-SUMIF(68:68,C8,69:69)+100</f>
        <v>100</v>
      </c>
      <c r="G8" s="368" t="s">
        <v>1681</v>
      </c>
      <c r="H8" s="365">
        <f>SUMIF(68:68,G8,69:69)-SUMIF(68:68,C8,69:69)+100</f>
        <v>100</v>
      </c>
      <c r="I8" s="368" t="s">
        <v>1681</v>
      </c>
      <c r="J8" s="365">
        <f>SUMIF(68:68,I8,69:69)-SUMIF(68:68,C8,69:69)+100</f>
        <v>100</v>
      </c>
      <c r="K8" s="560"/>
      <c r="L8" s="2715"/>
      <c r="M8" s="2716"/>
      <c r="N8" s="2716"/>
      <c r="O8" s="2716"/>
      <c r="P8" s="3712" t="s">
        <v>1682</v>
      </c>
      <c r="Q8" s="3713"/>
      <c r="R8" s="701" t="s">
        <v>14</v>
      </c>
      <c r="S8" s="702">
        <f t="shared" si="0"/>
        <v>100</v>
      </c>
      <c r="T8" s="701" t="s">
        <v>14</v>
      </c>
      <c r="U8" s="702">
        <f t="shared" si="1"/>
        <v>100</v>
      </c>
      <c r="V8" s="701" t="s">
        <v>14</v>
      </c>
      <c r="W8" s="702">
        <f t="shared" si="2"/>
        <v>100</v>
      </c>
      <c r="X8" s="703"/>
      <c r="Y8" s="3712" t="s">
        <v>1682</v>
      </c>
      <c r="Z8" s="3713"/>
      <c r="AA8" s="704">
        <f t="shared" ref="AA8:AA40" si="3">D8/F8</f>
        <v>1</v>
      </c>
      <c r="AB8" s="704">
        <f t="shared" ref="AB8:AB40" si="4">D8/H8</f>
        <v>1</v>
      </c>
      <c r="AC8" s="704">
        <f t="shared" ref="AC8:AC40" si="5">D8/J8</f>
        <v>1</v>
      </c>
    </row>
    <row r="9" spans="1:29" s="108" customFormat="1">
      <c r="A9" s="369" t="s">
        <v>1683</v>
      </c>
      <c r="B9" s="63" t="s">
        <v>1684</v>
      </c>
      <c r="C9" s="1977" t="s">
        <v>3</v>
      </c>
      <c r="D9" s="126">
        <v>100</v>
      </c>
      <c r="E9" s="1977" t="s">
        <v>3</v>
      </c>
      <c r="F9" s="126">
        <f>SUMIF(70:70,E9,71:71)-SUMIF(70:70,C9,71:71)+100</f>
        <v>100</v>
      </c>
      <c r="G9" s="1977" t="s">
        <v>3</v>
      </c>
      <c r="H9" s="126">
        <f>SUMIF(70:70,G9,71:71)-SUMIF(70:70,C9,71:71)+100</f>
        <v>100</v>
      </c>
      <c r="I9" s="1977" t="s">
        <v>3</v>
      </c>
      <c r="J9" s="126">
        <f>SUMIF(70:70,I9,71:71)-SUMIF(70:70,C9,71:71)+100</f>
        <v>100</v>
      </c>
      <c r="K9" s="560"/>
      <c r="L9" s="2715"/>
      <c r="M9" s="2716"/>
      <c r="N9" s="2716"/>
      <c r="O9" s="2770"/>
      <c r="P9" s="3676" t="s">
        <v>1685</v>
      </c>
      <c r="Q9" s="1343" t="str">
        <f t="shared" ref="Q9:Q15" si="6">B9</f>
        <v>用途</v>
      </c>
      <c r="R9" s="701" t="s">
        <v>14</v>
      </c>
      <c r="S9" s="702">
        <f t="shared" si="0"/>
        <v>100</v>
      </c>
      <c r="T9" s="701" t="s">
        <v>14</v>
      </c>
      <c r="U9" s="702">
        <f t="shared" si="1"/>
        <v>100</v>
      </c>
      <c r="V9" s="701" t="s">
        <v>14</v>
      </c>
      <c r="W9" s="702">
        <f t="shared" si="2"/>
        <v>100</v>
      </c>
      <c r="X9" s="703"/>
      <c r="Y9" s="3551" t="s">
        <v>1686</v>
      </c>
      <c r="Z9" s="52" t="str">
        <f t="shared" ref="Z9:Z15" si="7">Q9</f>
        <v>用途</v>
      </c>
      <c r="AA9" s="704">
        <f t="shared" si="3"/>
        <v>1</v>
      </c>
      <c r="AB9" s="704">
        <f t="shared" si="4"/>
        <v>1</v>
      </c>
      <c r="AC9" s="704">
        <f t="shared" si="5"/>
        <v>1</v>
      </c>
    </row>
    <row r="10" spans="1:29" s="378" customFormat="1" ht="27">
      <c r="A10" s="374"/>
      <c r="B10" s="375" t="s">
        <v>1687</v>
      </c>
      <c r="C10" s="383">
        <f>项目基本情况!H15</f>
        <v>18.52</v>
      </c>
      <c r="D10" s="127">
        <v>100</v>
      </c>
      <c r="E10" s="383">
        <v>20</v>
      </c>
      <c r="F10" s="127">
        <f>ROUND(100/'数据-取费表'!G16,0)</f>
        <v>105</v>
      </c>
      <c r="G10" s="383">
        <v>20</v>
      </c>
      <c r="H10" s="127">
        <f>ROUND(100/'数据-取费表'!G16,0)</f>
        <v>105</v>
      </c>
      <c r="I10" s="383">
        <v>20</v>
      </c>
      <c r="J10" s="127">
        <f>ROUND(100/'数据-取费表'!G16,0)</f>
        <v>105</v>
      </c>
      <c r="K10" s="620"/>
      <c r="L10" s="2717"/>
      <c r="M10" s="2718"/>
      <c r="N10" s="2718"/>
      <c r="O10" s="2771"/>
      <c r="P10" s="3676"/>
      <c r="Q10" s="1343" t="str">
        <f t="shared" si="6"/>
        <v>土地使用年限（年）</v>
      </c>
      <c r="R10" s="701" t="s">
        <v>14</v>
      </c>
      <c r="S10" s="702">
        <f t="shared" si="0"/>
        <v>105</v>
      </c>
      <c r="T10" s="701" t="s">
        <v>14</v>
      </c>
      <c r="U10" s="702">
        <f t="shared" si="1"/>
        <v>105</v>
      </c>
      <c r="V10" s="701" t="s">
        <v>14</v>
      </c>
      <c r="W10" s="702">
        <f t="shared" si="2"/>
        <v>105</v>
      </c>
      <c r="X10" s="703"/>
      <c r="Y10" s="3551"/>
      <c r="Z10" s="52" t="str">
        <f t="shared" si="7"/>
        <v>土地使用年限（年）</v>
      </c>
      <c r="AA10" s="704">
        <f t="shared" si="3"/>
        <v>0.95238095238095233</v>
      </c>
      <c r="AB10" s="704">
        <f t="shared" si="4"/>
        <v>0.95238095238095233</v>
      </c>
      <c r="AC10" s="704">
        <f t="shared" si="5"/>
        <v>0.95238095238095233</v>
      </c>
    </row>
    <row r="11" spans="1:29" ht="15">
      <c r="A11" s="379"/>
      <c r="B11" s="375" t="s">
        <v>1688</v>
      </c>
      <c r="C11" s="380">
        <f>'数据-汇总表'!I4</f>
        <v>1</v>
      </c>
      <c r="D11" s="127">
        <v>100</v>
      </c>
      <c r="E11" s="380">
        <v>1</v>
      </c>
      <c r="F11" s="127">
        <f>LOOKUP(E11,75:75,76:76)-LOOKUP(C11,75:75,76:76)+100</f>
        <v>100</v>
      </c>
      <c r="G11" s="381">
        <v>1.5</v>
      </c>
      <c r="H11" s="127">
        <f>LOOKUP(G11,75:75,76:76)-LOOKUP(C11,75:75,76:76)+100</f>
        <v>95</v>
      </c>
      <c r="I11" s="380">
        <v>1</v>
      </c>
      <c r="J11" s="127">
        <f>LOOKUP(I11,75:75,76:76)-LOOKUP(C11,75:75,76:76)+100</f>
        <v>100</v>
      </c>
      <c r="K11" s="621">
        <v>5</v>
      </c>
      <c r="L11" s="2719"/>
      <c r="M11" s="2714"/>
      <c r="N11" s="2714"/>
      <c r="O11" s="2772"/>
      <c r="P11" s="3676"/>
      <c r="Q11" s="1343" t="str">
        <f t="shared" si="6"/>
        <v>容积率</v>
      </c>
      <c r="R11" s="701" t="s">
        <v>14</v>
      </c>
      <c r="S11" s="702">
        <f t="shared" si="0"/>
        <v>100</v>
      </c>
      <c r="T11" s="701" t="s">
        <v>14</v>
      </c>
      <c r="U11" s="702">
        <f t="shared" si="1"/>
        <v>95</v>
      </c>
      <c r="V11" s="701" t="s">
        <v>14</v>
      </c>
      <c r="W11" s="702">
        <f t="shared" si="2"/>
        <v>100</v>
      </c>
      <c r="X11" s="703"/>
      <c r="Y11" s="3551"/>
      <c r="Z11" s="52" t="str">
        <f t="shared" si="7"/>
        <v>容积率</v>
      </c>
      <c r="AA11" s="704">
        <f t="shared" si="3"/>
        <v>1</v>
      </c>
      <c r="AB11" s="704">
        <f t="shared" si="4"/>
        <v>1.0526315789473684</v>
      </c>
      <c r="AC11" s="704">
        <f t="shared" si="5"/>
        <v>1</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676"/>
      <c r="Q12" s="1343">
        <f t="shared" si="6"/>
        <v>111</v>
      </c>
      <c r="R12" s="701" t="s">
        <v>14</v>
      </c>
      <c r="S12" s="702">
        <f t="shared" si="0"/>
        <v>100</v>
      </c>
      <c r="T12" s="701" t="s">
        <v>14</v>
      </c>
      <c r="U12" s="702">
        <f t="shared" si="1"/>
        <v>100</v>
      </c>
      <c r="V12" s="701" t="s">
        <v>14</v>
      </c>
      <c r="W12" s="702">
        <f t="shared" si="2"/>
        <v>100</v>
      </c>
      <c r="X12" s="703"/>
      <c r="Y12" s="3551"/>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676"/>
      <c r="Q13" s="1343">
        <f t="shared" si="6"/>
        <v>111</v>
      </c>
      <c r="R13" s="701" t="s">
        <v>14</v>
      </c>
      <c r="S13" s="702">
        <f t="shared" si="0"/>
        <v>100</v>
      </c>
      <c r="T13" s="701" t="s">
        <v>14</v>
      </c>
      <c r="U13" s="702">
        <f t="shared" si="1"/>
        <v>100</v>
      </c>
      <c r="V13" s="701" t="s">
        <v>14</v>
      </c>
      <c r="W13" s="702">
        <f t="shared" si="2"/>
        <v>100</v>
      </c>
      <c r="X13" s="703"/>
      <c r="Y13" s="3551"/>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676"/>
      <c r="Q14" s="1343">
        <f t="shared" si="6"/>
        <v>111</v>
      </c>
      <c r="R14" s="701" t="s">
        <v>14</v>
      </c>
      <c r="S14" s="702">
        <f t="shared" si="0"/>
        <v>100</v>
      </c>
      <c r="T14" s="701" t="s">
        <v>14</v>
      </c>
      <c r="U14" s="702">
        <f t="shared" si="1"/>
        <v>100</v>
      </c>
      <c r="V14" s="701" t="s">
        <v>14</v>
      </c>
      <c r="W14" s="702">
        <f t="shared" si="2"/>
        <v>100</v>
      </c>
      <c r="X14" s="703"/>
      <c r="Y14" s="3551"/>
      <c r="Z14" s="52">
        <f t="shared" si="7"/>
        <v>111</v>
      </c>
      <c r="AA14" s="704">
        <f t="shared" si="3"/>
        <v>1</v>
      </c>
      <c r="AB14" s="704">
        <f t="shared" si="4"/>
        <v>1</v>
      </c>
      <c r="AC14" s="704">
        <f t="shared" si="5"/>
        <v>1</v>
      </c>
    </row>
    <row r="15" spans="1:29" ht="57">
      <c r="A15" s="391" t="s">
        <v>1689</v>
      </c>
      <c r="B15" s="577" t="s">
        <v>1919</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v>2</v>
      </c>
      <c r="L15" s="2720"/>
      <c r="M15" s="2714"/>
      <c r="N15" s="2714"/>
      <c r="O15" s="2772"/>
      <c r="P15" s="3678" t="s">
        <v>1690</v>
      </c>
      <c r="Q15" s="1352" t="str">
        <f t="shared" si="6"/>
        <v>产业集聚程度</v>
      </c>
      <c r="R15" s="705" t="s">
        <v>14</v>
      </c>
      <c r="S15" s="706">
        <f t="shared" si="0"/>
        <v>100</v>
      </c>
      <c r="T15" s="705" t="s">
        <v>14</v>
      </c>
      <c r="U15" s="706">
        <f t="shared" si="1"/>
        <v>100</v>
      </c>
      <c r="V15" s="705" t="s">
        <v>14</v>
      </c>
      <c r="W15" s="706">
        <f t="shared" si="2"/>
        <v>100</v>
      </c>
      <c r="X15" s="1355"/>
      <c r="Y15" s="3678" t="s">
        <v>1690</v>
      </c>
      <c r="Z15" s="1356" t="str">
        <f t="shared" si="7"/>
        <v>产业集聚程度</v>
      </c>
      <c r="AA15" s="1353">
        <f t="shared" si="3"/>
        <v>1</v>
      </c>
      <c r="AB15" s="1353">
        <f t="shared" si="4"/>
        <v>1</v>
      </c>
      <c r="AC15" s="1353">
        <f t="shared" si="5"/>
        <v>1</v>
      </c>
    </row>
    <row r="16" spans="1:29" ht="15">
      <c r="A16" s="379"/>
      <c r="B16" s="578"/>
      <c r="C16" s="398" t="s">
        <v>3424</v>
      </c>
      <c r="D16" s="399"/>
      <c r="E16" s="398" t="s">
        <v>3424</v>
      </c>
      <c r="F16" s="399"/>
      <c r="G16" s="398" t="s">
        <v>3424</v>
      </c>
      <c r="H16" s="401"/>
      <c r="I16" s="398" t="s">
        <v>3424</v>
      </c>
      <c r="J16" s="399"/>
      <c r="K16" s="620"/>
      <c r="L16" s="2720"/>
      <c r="M16" s="2714"/>
      <c r="N16" s="2714"/>
      <c r="O16" s="2772"/>
      <c r="P16" s="3679"/>
      <c r="Q16" s="1352"/>
      <c r="R16" s="705"/>
      <c r="S16" s="706"/>
      <c r="T16" s="705"/>
      <c r="U16" s="706"/>
      <c r="V16" s="705"/>
      <c r="W16" s="706"/>
      <c r="X16" s="1355"/>
      <c r="Y16" s="3679"/>
      <c r="Z16" s="1356"/>
      <c r="AA16" s="1353">
        <v>1</v>
      </c>
      <c r="AB16" s="1353">
        <v>1</v>
      </c>
      <c r="AC16" s="1353">
        <v>1</v>
      </c>
    </row>
    <row r="17" spans="1:29" ht="85.5">
      <c r="A17" s="379"/>
      <c r="B17" s="579" t="s">
        <v>1832</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v>2</v>
      </c>
      <c r="L17" s="2720"/>
      <c r="M17" s="2714"/>
      <c r="N17" s="2714"/>
      <c r="O17" s="2772"/>
      <c r="P17" s="3679"/>
      <c r="Q17" s="1352" t="str">
        <f>B17</f>
        <v>交通便捷度</v>
      </c>
      <c r="R17" s="705" t="s">
        <v>14</v>
      </c>
      <c r="S17" s="706">
        <f>F17</f>
        <v>100</v>
      </c>
      <c r="T17" s="705" t="s">
        <v>14</v>
      </c>
      <c r="U17" s="706">
        <f>H17</f>
        <v>100</v>
      </c>
      <c r="V17" s="705" t="s">
        <v>14</v>
      </c>
      <c r="W17" s="706">
        <f>J17</f>
        <v>100</v>
      </c>
      <c r="X17" s="1355"/>
      <c r="Y17" s="3679"/>
      <c r="Z17" s="1356" t="str">
        <f>Q17</f>
        <v>交通便捷度</v>
      </c>
      <c r="AA17" s="1353">
        <f t="shared" si="3"/>
        <v>1</v>
      </c>
      <c r="AB17" s="1353">
        <f t="shared" si="4"/>
        <v>1</v>
      </c>
      <c r="AC17" s="1353">
        <f t="shared" si="5"/>
        <v>1</v>
      </c>
    </row>
    <row r="18" spans="1:29" ht="15">
      <c r="A18" s="379"/>
      <c r="B18" s="580"/>
      <c r="C18" s="398" t="s">
        <v>3425</v>
      </c>
      <c r="D18" s="399"/>
      <c r="E18" s="398" t="s">
        <v>3425</v>
      </c>
      <c r="F18" s="399"/>
      <c r="G18" s="398" t="s">
        <v>3425</v>
      </c>
      <c r="H18" s="399"/>
      <c r="I18" s="398" t="s">
        <v>3425</v>
      </c>
      <c r="J18" s="399"/>
      <c r="K18" s="620"/>
      <c r="L18" s="2720"/>
      <c r="M18" s="2714"/>
      <c r="N18" s="2714"/>
      <c r="O18" s="2772"/>
      <c r="P18" s="3679"/>
      <c r="Q18" s="1352"/>
      <c r="R18" s="705"/>
      <c r="S18" s="706"/>
      <c r="T18" s="705"/>
      <c r="U18" s="706"/>
      <c r="V18" s="705"/>
      <c r="W18" s="706"/>
      <c r="X18" s="1355"/>
      <c r="Y18" s="3679"/>
      <c r="Z18" s="1356"/>
      <c r="AA18" s="1353">
        <v>1</v>
      </c>
      <c r="AB18" s="1353">
        <v>1</v>
      </c>
      <c r="AC18" s="1353">
        <v>1</v>
      </c>
    </row>
    <row r="19" spans="1:29" ht="15">
      <c r="A19" s="379"/>
      <c r="B19" s="579" t="s">
        <v>1870</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v>2</v>
      </c>
      <c r="L19" s="2720"/>
      <c r="M19" s="2714"/>
      <c r="N19" s="2714"/>
      <c r="O19" s="2772"/>
      <c r="P19" s="3679"/>
      <c r="Q19" s="1352" t="str">
        <f t="shared" ref="Q19:Q33" si="8">B19</f>
        <v>区域土地利用方向</v>
      </c>
      <c r="R19" s="705" t="s">
        <v>14</v>
      </c>
      <c r="S19" s="706">
        <f>F19</f>
        <v>100</v>
      </c>
      <c r="T19" s="705" t="s">
        <v>14</v>
      </c>
      <c r="U19" s="706">
        <f>H19</f>
        <v>100</v>
      </c>
      <c r="V19" s="705" t="s">
        <v>14</v>
      </c>
      <c r="W19" s="706">
        <f>J19</f>
        <v>100</v>
      </c>
      <c r="X19" s="1355"/>
      <c r="Y19" s="3679"/>
      <c r="Z19" s="1356" t="str">
        <f>Q19</f>
        <v>区域土地利用方向</v>
      </c>
      <c r="AA19" s="1353">
        <f t="shared" si="3"/>
        <v>1</v>
      </c>
      <c r="AB19" s="1353">
        <f t="shared" si="4"/>
        <v>1</v>
      </c>
      <c r="AC19" s="1353">
        <f t="shared" si="5"/>
        <v>1</v>
      </c>
    </row>
    <row r="20" spans="1:29" ht="15">
      <c r="A20" s="358"/>
      <c r="B20" s="580"/>
      <c r="C20" s="398" t="s">
        <v>3424</v>
      </c>
      <c r="D20" s="399"/>
      <c r="E20" s="398" t="s">
        <v>3424</v>
      </c>
      <c r="F20" s="399"/>
      <c r="G20" s="398" t="s">
        <v>3424</v>
      </c>
      <c r="H20" s="399"/>
      <c r="I20" s="398" t="s">
        <v>3424</v>
      </c>
      <c r="J20" s="399"/>
      <c r="K20" s="740"/>
      <c r="L20" s="2720"/>
      <c r="M20" s="2714"/>
      <c r="N20" s="2714"/>
      <c r="O20" s="2772"/>
      <c r="P20" s="3679"/>
      <c r="Q20" s="1352"/>
      <c r="R20" s="705"/>
      <c r="S20" s="706"/>
      <c r="T20" s="705"/>
      <c r="U20" s="706"/>
      <c r="V20" s="705"/>
      <c r="W20" s="706"/>
      <c r="X20" s="1355"/>
      <c r="Y20" s="3679"/>
      <c r="Z20" s="1356"/>
      <c r="AA20" s="1353"/>
      <c r="AB20" s="1353"/>
      <c r="AC20" s="1353"/>
    </row>
    <row r="21" spans="1:29" ht="71.25">
      <c r="A21" s="358"/>
      <c r="B21" s="579" t="s">
        <v>1920</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v>2</v>
      </c>
      <c r="L21" s="2720"/>
      <c r="M21" s="2714"/>
      <c r="N21" s="2714"/>
      <c r="O21" s="2772"/>
      <c r="P21" s="3679"/>
      <c r="Q21" s="1352" t="str">
        <f t="shared" si="8"/>
        <v>环境状况</v>
      </c>
      <c r="R21" s="705" t="s">
        <v>14</v>
      </c>
      <c r="S21" s="706">
        <f>F21</f>
        <v>100</v>
      </c>
      <c r="T21" s="705" t="s">
        <v>14</v>
      </c>
      <c r="U21" s="706">
        <f>H21</f>
        <v>100</v>
      </c>
      <c r="V21" s="705" t="s">
        <v>14</v>
      </c>
      <c r="W21" s="706">
        <f>J21</f>
        <v>100</v>
      </c>
      <c r="X21" s="1355"/>
      <c r="Y21" s="3679"/>
      <c r="Z21" s="1356" t="str">
        <f>Q21</f>
        <v>环境状况</v>
      </c>
      <c r="AA21" s="1353">
        <f t="shared" si="3"/>
        <v>1</v>
      </c>
      <c r="AB21" s="1353">
        <f t="shared" si="4"/>
        <v>1</v>
      </c>
      <c r="AC21" s="1353">
        <f t="shared" si="5"/>
        <v>1</v>
      </c>
    </row>
    <row r="22" spans="1:29" ht="15">
      <c r="A22" s="358"/>
      <c r="B22" s="580"/>
      <c r="C22" s="398" t="s">
        <v>3424</v>
      </c>
      <c r="D22" s="399"/>
      <c r="E22" s="398" t="s">
        <v>3424</v>
      </c>
      <c r="F22" s="399"/>
      <c r="G22" s="398" t="s">
        <v>3424</v>
      </c>
      <c r="H22" s="399"/>
      <c r="I22" s="398" t="s">
        <v>3424</v>
      </c>
      <c r="J22" s="399"/>
      <c r="K22" s="620"/>
      <c r="L22" s="2720"/>
      <c r="M22" s="2714"/>
      <c r="N22" s="2714"/>
      <c r="O22" s="2772"/>
      <c r="P22" s="3679"/>
      <c r="Q22" s="1352"/>
      <c r="R22" s="705"/>
      <c r="S22" s="706"/>
      <c r="T22" s="705"/>
      <c r="U22" s="706"/>
      <c r="V22" s="705"/>
      <c r="W22" s="706"/>
      <c r="X22" s="1355"/>
      <c r="Y22" s="3679"/>
      <c r="Z22" s="1356"/>
      <c r="AA22" s="1353">
        <v>1</v>
      </c>
      <c r="AB22" s="1353">
        <v>1</v>
      </c>
      <c r="AC22" s="1353">
        <v>1</v>
      </c>
    </row>
    <row r="23" spans="1:29" s="108" customFormat="1" ht="42.75">
      <c r="A23" s="597"/>
      <c r="B23" s="581" t="s">
        <v>1777</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v>2</v>
      </c>
      <c r="L23" s="2715"/>
      <c r="M23" s="2716"/>
      <c r="N23" s="2716"/>
      <c r="O23" s="2770"/>
      <c r="P23" s="3679"/>
      <c r="Q23" s="1343" t="str">
        <f t="shared" si="8"/>
        <v>公共配套设施</v>
      </c>
      <c r="R23" s="701" t="s">
        <v>14</v>
      </c>
      <c r="S23" s="702">
        <f>F23</f>
        <v>100</v>
      </c>
      <c r="T23" s="701" t="s">
        <v>14</v>
      </c>
      <c r="U23" s="702">
        <f>H23</f>
        <v>100</v>
      </c>
      <c r="V23" s="701" t="s">
        <v>14</v>
      </c>
      <c r="W23" s="702">
        <f>J23</f>
        <v>100</v>
      </c>
      <c r="X23" s="703"/>
      <c r="Y23" s="3679"/>
      <c r="Z23" s="52" t="str">
        <f>Q23</f>
        <v>公共配套设施</v>
      </c>
      <c r="AA23" s="1353">
        <f>D23/F23</f>
        <v>1</v>
      </c>
      <c r="AB23" s="1353">
        <f>D23/H23</f>
        <v>1</v>
      </c>
      <c r="AC23" s="1353">
        <f>D23/J23</f>
        <v>1</v>
      </c>
    </row>
    <row r="24" spans="1:29" s="108" customFormat="1" ht="15">
      <c r="A24" s="597"/>
      <c r="B24" s="580"/>
      <c r="C24" s="1978" t="s">
        <v>3425</v>
      </c>
      <c r="D24" s="399"/>
      <c r="E24" s="1978" t="s">
        <v>3425</v>
      </c>
      <c r="F24" s="399"/>
      <c r="G24" s="1978" t="s">
        <v>3425</v>
      </c>
      <c r="H24" s="399"/>
      <c r="I24" s="1978" t="s">
        <v>3425</v>
      </c>
      <c r="J24" s="399"/>
      <c r="K24" s="620"/>
      <c r="L24" s="2715"/>
      <c r="M24" s="2716"/>
      <c r="N24" s="2716"/>
      <c r="O24" s="2770"/>
      <c r="P24" s="3679"/>
      <c r="Q24" s="1343"/>
      <c r="R24" s="701"/>
      <c r="S24" s="702"/>
      <c r="T24" s="701"/>
      <c r="U24" s="702"/>
      <c r="V24" s="701"/>
      <c r="W24" s="702"/>
      <c r="X24" s="703"/>
      <c r="Y24" s="3679"/>
      <c r="Z24" s="52"/>
      <c r="AA24" s="704">
        <v>1</v>
      </c>
      <c r="AB24" s="704">
        <v>1</v>
      </c>
      <c r="AC24" s="704">
        <v>1</v>
      </c>
    </row>
    <row r="25" spans="1:29" s="108" customFormat="1" ht="28.5">
      <c r="A25" s="597"/>
      <c r="B25" s="581" t="s">
        <v>1778</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v>1</v>
      </c>
      <c r="L25" s="2715"/>
      <c r="M25" s="2716"/>
      <c r="N25" s="2716"/>
      <c r="O25" s="2770"/>
      <c r="P25" s="3679"/>
      <c r="Q25" s="1343" t="str">
        <f t="shared" ref="Q25" si="9">B25</f>
        <v>基础设施水平</v>
      </c>
      <c r="R25" s="701" t="s">
        <v>14</v>
      </c>
      <c r="S25" s="702">
        <f>F25</f>
        <v>100</v>
      </c>
      <c r="T25" s="701" t="s">
        <v>14</v>
      </c>
      <c r="U25" s="702">
        <f>H25</f>
        <v>100</v>
      </c>
      <c r="V25" s="701" t="s">
        <v>14</v>
      </c>
      <c r="W25" s="702">
        <f>J25</f>
        <v>100</v>
      </c>
      <c r="X25" s="703"/>
      <c r="Y25" s="3679"/>
      <c r="Z25" s="52" t="str">
        <f>Q25</f>
        <v>基础设施水平</v>
      </c>
      <c r="AA25" s="1353">
        <f>D25/F25</f>
        <v>1</v>
      </c>
      <c r="AB25" s="1353">
        <f>D25/H25</f>
        <v>1</v>
      </c>
      <c r="AC25" s="1353">
        <f>D25/J25</f>
        <v>1</v>
      </c>
    </row>
    <row r="26" spans="1:29" s="108" customFormat="1" ht="15.75" thickBot="1">
      <c r="A26" s="597"/>
      <c r="B26" s="580"/>
      <c r="C26" s="1978" t="s">
        <v>3510</v>
      </c>
      <c r="D26" s="399"/>
      <c r="E26" s="1978" t="s">
        <v>3510</v>
      </c>
      <c r="F26" s="399"/>
      <c r="G26" s="1978" t="s">
        <v>3510</v>
      </c>
      <c r="H26" s="399"/>
      <c r="I26" s="1978" t="s">
        <v>3510</v>
      </c>
      <c r="J26" s="399"/>
      <c r="K26" s="620"/>
      <c r="L26" s="2715"/>
      <c r="M26" s="2716"/>
      <c r="N26" s="2716"/>
      <c r="O26" s="2770"/>
      <c r="P26" s="3679"/>
      <c r="Q26" s="1343"/>
      <c r="R26" s="701"/>
      <c r="S26" s="702"/>
      <c r="T26" s="701"/>
      <c r="U26" s="702"/>
      <c r="V26" s="701"/>
      <c r="W26" s="702"/>
      <c r="X26" s="703"/>
      <c r="Y26" s="3679"/>
      <c r="Z26" s="52"/>
      <c r="AA26" s="704">
        <v>1</v>
      </c>
      <c r="AB26" s="704">
        <v>1</v>
      </c>
      <c r="AC26" s="704">
        <v>1</v>
      </c>
    </row>
    <row r="27" spans="1:29" ht="15" hidden="1">
      <c r="A27" s="379"/>
      <c r="B27" s="580" t="s">
        <v>1779</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679"/>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79"/>
      <c r="Z27" s="1356" t="str">
        <f t="shared" ref="Z27:Z40" si="13">Q27</f>
        <v>临街状况</v>
      </c>
      <c r="AA27" s="1353">
        <f t="shared" si="3"/>
        <v>1</v>
      </c>
      <c r="AB27" s="1353">
        <f t="shared" si="4"/>
        <v>1</v>
      </c>
      <c r="AC27" s="1353">
        <f t="shared" si="5"/>
        <v>1</v>
      </c>
    </row>
    <row r="28" spans="1:29" ht="27" hidden="1">
      <c r="A28" s="379"/>
      <c r="B28" s="581" t="s">
        <v>1814</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679"/>
      <c r="Q28" s="1352" t="str">
        <f t="shared" si="8"/>
        <v>毗邻道路的类型与等级</v>
      </c>
      <c r="R28" s="705" t="s">
        <v>14</v>
      </c>
      <c r="S28" s="706">
        <f t="shared" si="10"/>
        <v>100</v>
      </c>
      <c r="T28" s="705" t="s">
        <v>14</v>
      </c>
      <c r="U28" s="706">
        <f t="shared" si="11"/>
        <v>100</v>
      </c>
      <c r="V28" s="705" t="s">
        <v>14</v>
      </c>
      <c r="W28" s="706">
        <f t="shared" si="12"/>
        <v>100</v>
      </c>
      <c r="X28" s="1355"/>
      <c r="Y28" s="3679"/>
      <c r="Z28" s="1356" t="str">
        <f t="shared" si="13"/>
        <v>毗邻道路的类型与等级</v>
      </c>
      <c r="AA28" s="1353">
        <f t="shared" si="3"/>
        <v>1</v>
      </c>
      <c r="AB28" s="1353">
        <f t="shared" si="4"/>
        <v>1</v>
      </c>
      <c r="AC28" s="1353">
        <f t="shared" si="5"/>
        <v>1</v>
      </c>
    </row>
    <row r="29" spans="1:29" ht="15" hidden="1">
      <c r="A29" s="379"/>
      <c r="B29" s="580"/>
      <c r="C29" s="398"/>
      <c r="D29" s="399"/>
      <c r="E29" s="1904"/>
      <c r="F29" s="399"/>
      <c r="G29" s="1904"/>
      <c r="H29" s="399"/>
      <c r="I29" s="1904"/>
      <c r="J29" s="399"/>
      <c r="K29" s="562"/>
      <c r="L29" s="2720"/>
      <c r="M29" s="2714"/>
      <c r="N29" s="2714"/>
      <c r="O29" s="2772"/>
      <c r="P29" s="3679"/>
      <c r="Q29" s="1352"/>
      <c r="R29" s="705"/>
      <c r="S29" s="706"/>
      <c r="T29" s="705"/>
      <c r="U29" s="706"/>
      <c r="V29" s="705"/>
      <c r="W29" s="706"/>
      <c r="X29" s="1355"/>
      <c r="Y29" s="3679"/>
      <c r="Z29" s="1356"/>
      <c r="AA29" s="1353">
        <v>1</v>
      </c>
      <c r="AB29" s="1353">
        <v>1</v>
      </c>
      <c r="AC29" s="1353">
        <v>1</v>
      </c>
    </row>
    <row r="30" spans="1:29" ht="15" hidden="1">
      <c r="A30" s="379"/>
      <c r="B30" s="602" t="s">
        <v>1872</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679"/>
      <c r="Q30" s="1352" t="str">
        <f t="shared" si="8"/>
        <v>土地级别</v>
      </c>
      <c r="R30" s="705" t="s">
        <v>14</v>
      </c>
      <c r="S30" s="706">
        <f t="shared" si="10"/>
        <v>100</v>
      </c>
      <c r="T30" s="705" t="s">
        <v>14</v>
      </c>
      <c r="U30" s="706">
        <f t="shared" si="11"/>
        <v>100</v>
      </c>
      <c r="V30" s="705" t="s">
        <v>14</v>
      </c>
      <c r="W30" s="706">
        <f t="shared" si="12"/>
        <v>100</v>
      </c>
      <c r="X30" s="1355"/>
      <c r="Y30" s="3679"/>
      <c r="Z30" s="1356" t="str">
        <f t="shared" si="13"/>
        <v>土地级别</v>
      </c>
      <c r="AA30" s="1353">
        <f t="shared" si="3"/>
        <v>1</v>
      </c>
      <c r="AB30" s="1353">
        <f t="shared" si="4"/>
        <v>1</v>
      </c>
      <c r="AC30" s="1353">
        <f t="shared" si="5"/>
        <v>1</v>
      </c>
    </row>
    <row r="31" spans="1:29" ht="15" hidden="1">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679"/>
      <c r="Q31" s="1352">
        <f t="shared" si="8"/>
        <v>111</v>
      </c>
      <c r="R31" s="705" t="s">
        <v>14</v>
      </c>
      <c r="S31" s="706">
        <f t="shared" si="10"/>
        <v>100</v>
      </c>
      <c r="T31" s="705" t="s">
        <v>14</v>
      </c>
      <c r="U31" s="706">
        <f t="shared" si="11"/>
        <v>100</v>
      </c>
      <c r="V31" s="705" t="s">
        <v>14</v>
      </c>
      <c r="W31" s="706">
        <f t="shared" si="12"/>
        <v>100</v>
      </c>
      <c r="X31" s="1355"/>
      <c r="Y31" s="3679"/>
      <c r="Z31" s="1356">
        <f t="shared" si="13"/>
        <v>111</v>
      </c>
      <c r="AA31" s="1353">
        <f t="shared" si="3"/>
        <v>1</v>
      </c>
      <c r="AB31" s="1353">
        <f t="shared" si="4"/>
        <v>1</v>
      </c>
      <c r="AC31" s="1353">
        <f t="shared" si="5"/>
        <v>1</v>
      </c>
    </row>
    <row r="32" spans="1:29" ht="15" hidden="1">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34" t="s">
        <v>1695</v>
      </c>
      <c r="Q32" s="1352">
        <f t="shared" si="8"/>
        <v>111</v>
      </c>
      <c r="R32" s="705" t="s">
        <v>14</v>
      </c>
      <c r="S32" s="706">
        <f t="shared" si="10"/>
        <v>100</v>
      </c>
      <c r="T32" s="705" t="s">
        <v>14</v>
      </c>
      <c r="U32" s="706">
        <f t="shared" si="11"/>
        <v>100</v>
      </c>
      <c r="V32" s="705" t="s">
        <v>14</v>
      </c>
      <c r="W32" s="706">
        <f t="shared" si="12"/>
        <v>100</v>
      </c>
      <c r="X32" s="1355"/>
      <c r="Y32" s="3683" t="s">
        <v>1695</v>
      </c>
      <c r="Z32" s="1356">
        <f t="shared" si="13"/>
        <v>111</v>
      </c>
      <c r="AA32" s="1353">
        <f t="shared" si="3"/>
        <v>1</v>
      </c>
      <c r="AB32" s="1353">
        <f t="shared" si="4"/>
        <v>1</v>
      </c>
      <c r="AC32" s="1353">
        <f t="shared" si="5"/>
        <v>1</v>
      </c>
    </row>
    <row r="33" spans="1:31" s="422" customFormat="1" ht="15.75" hidden="1"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683"/>
      <c r="Q33" s="1352">
        <f t="shared" si="8"/>
        <v>111</v>
      </c>
      <c r="R33" s="708" t="s">
        <v>14</v>
      </c>
      <c r="S33" s="709">
        <f t="shared" si="10"/>
        <v>100</v>
      </c>
      <c r="T33" s="708" t="s">
        <v>14</v>
      </c>
      <c r="U33" s="709">
        <f t="shared" si="11"/>
        <v>100</v>
      </c>
      <c r="V33" s="708" t="s">
        <v>14</v>
      </c>
      <c r="W33" s="709">
        <f t="shared" si="12"/>
        <v>100</v>
      </c>
      <c r="X33" s="710"/>
      <c r="Y33" s="3683"/>
      <c r="Z33" s="711">
        <f t="shared" si="13"/>
        <v>111</v>
      </c>
      <c r="AA33" s="1353">
        <f t="shared" si="3"/>
        <v>1</v>
      </c>
      <c r="AB33" s="1353">
        <f t="shared" si="4"/>
        <v>1</v>
      </c>
      <c r="AC33" s="1353">
        <f t="shared" si="5"/>
        <v>1</v>
      </c>
    </row>
    <row r="34" spans="1:31" ht="15">
      <c r="A34" s="391" t="s">
        <v>1693</v>
      </c>
      <c r="B34" s="407" t="s">
        <v>1873</v>
      </c>
      <c r="C34" s="627">
        <f>'数据-基础表'!A3</f>
        <v>23652.31</v>
      </c>
      <c r="D34" s="418">
        <v>100</v>
      </c>
      <c r="E34" s="627">
        <f>土地案例!I2</f>
        <v>20000</v>
      </c>
      <c r="F34" s="418">
        <f>LOOKUP(E34,108:108,109:109)-LOOKUP(C34,108:108,109:109)+100</f>
        <v>100</v>
      </c>
      <c r="G34" s="627">
        <f>土地案例!I3</f>
        <v>57488.82</v>
      </c>
      <c r="H34" s="418">
        <f>LOOKUP(G34,108:108,109:109)-LOOKUP(C34,108:108,109:109)+100</f>
        <v>94</v>
      </c>
      <c r="I34" s="479">
        <f>土地案例!I6</f>
        <v>23170.400000000001</v>
      </c>
      <c r="J34" s="418">
        <f>LOOKUP(I34,108:108,109:109)-LOOKUP(C34,108:108,109:109)+100</f>
        <v>100</v>
      </c>
      <c r="K34" s="562"/>
      <c r="L34" s="2720"/>
      <c r="M34" s="2714"/>
      <c r="N34" s="2714"/>
      <c r="O34" s="2772"/>
      <c r="P34" s="3683"/>
      <c r="Q34" s="1352" t="str">
        <f>B34</f>
        <v>宗地面积</v>
      </c>
      <c r="R34" s="705" t="s">
        <v>14</v>
      </c>
      <c r="S34" s="706">
        <f t="shared" si="10"/>
        <v>100</v>
      </c>
      <c r="T34" s="705" t="s">
        <v>14</v>
      </c>
      <c r="U34" s="706">
        <f t="shared" si="11"/>
        <v>94</v>
      </c>
      <c r="V34" s="705" t="s">
        <v>14</v>
      </c>
      <c r="W34" s="706">
        <f t="shared" si="12"/>
        <v>100</v>
      </c>
      <c r="X34" s="1355"/>
      <c r="Y34" s="3683"/>
      <c r="Z34" s="1356" t="str">
        <f t="shared" si="13"/>
        <v>宗地面积</v>
      </c>
      <c r="AA34" s="1353">
        <f t="shared" si="3"/>
        <v>1</v>
      </c>
      <c r="AB34" s="1353">
        <f t="shared" si="4"/>
        <v>1.0638297872340425</v>
      </c>
      <c r="AC34" s="1353">
        <f t="shared" si="5"/>
        <v>1</v>
      </c>
    </row>
    <row r="35" spans="1:31" ht="15">
      <c r="A35" s="423"/>
      <c r="B35" s="375" t="s">
        <v>1874</v>
      </c>
      <c r="C35" s="1906" t="s">
        <v>3513</v>
      </c>
      <c r="D35" s="386">
        <v>100</v>
      </c>
      <c r="E35" s="1906" t="s">
        <v>3513</v>
      </c>
      <c r="F35" s="386">
        <f>SUMIF(110:110,E35,111:111)-SUMIF(110:110,C35,111:111)+100</f>
        <v>100</v>
      </c>
      <c r="G35" s="1906" t="s">
        <v>3513</v>
      </c>
      <c r="H35" s="386">
        <f>SUMIF(110:110,G35,111:111)-SUMIF(110:110,C35,111:111)+100</f>
        <v>100</v>
      </c>
      <c r="I35" s="1906" t="s">
        <v>3513</v>
      </c>
      <c r="J35" s="386">
        <f>SUMIF(110:110,I35,111:111)-SUMIF(110:110,C35,111:111)+100</f>
        <v>100</v>
      </c>
      <c r="K35" s="561">
        <v>1</v>
      </c>
      <c r="L35" s="2720"/>
      <c r="M35" s="2714"/>
      <c r="N35" s="2714"/>
      <c r="O35" s="2772"/>
      <c r="P35" s="3683"/>
      <c r="Q35" s="1352" t="str">
        <f t="shared" ref="Q35:Q40" si="14">B35</f>
        <v>宗地形状</v>
      </c>
      <c r="R35" s="705" t="s">
        <v>14</v>
      </c>
      <c r="S35" s="706">
        <f t="shared" si="10"/>
        <v>100</v>
      </c>
      <c r="T35" s="705" t="s">
        <v>14</v>
      </c>
      <c r="U35" s="706">
        <f t="shared" si="11"/>
        <v>100</v>
      </c>
      <c r="V35" s="705" t="s">
        <v>14</v>
      </c>
      <c r="W35" s="706">
        <f t="shared" si="12"/>
        <v>100</v>
      </c>
      <c r="X35" s="1355"/>
      <c r="Y35" s="3683"/>
      <c r="Z35" s="1356" t="str">
        <f t="shared" si="13"/>
        <v>宗地形状</v>
      </c>
      <c r="AA35" s="1353">
        <f t="shared" si="3"/>
        <v>1</v>
      </c>
      <c r="AB35" s="1353">
        <f t="shared" si="4"/>
        <v>1</v>
      </c>
      <c r="AC35" s="1353">
        <f t="shared" si="5"/>
        <v>1</v>
      </c>
    </row>
    <row r="36" spans="1:31" s="108" customFormat="1" ht="15">
      <c r="A36" s="424"/>
      <c r="B36" s="375" t="s">
        <v>1876</v>
      </c>
      <c r="C36" s="1980" t="s">
        <v>3510</v>
      </c>
      <c r="D36" s="127">
        <v>100</v>
      </c>
      <c r="E36" s="1980" t="s">
        <v>3518</v>
      </c>
      <c r="F36" s="386">
        <f>SUMIF(112:112,E36,113:113)-SUMIF(112:112,C36,113:113)+100</f>
        <v>97</v>
      </c>
      <c r="G36" s="1980" t="s">
        <v>3518</v>
      </c>
      <c r="H36" s="386">
        <f>SUMIF(112:112,G36,113:113)-SUMIF(112:112,C36,113:113)+100</f>
        <v>97</v>
      </c>
      <c r="I36" s="1980" t="s">
        <v>3518</v>
      </c>
      <c r="J36" s="386">
        <f>SUMIF(112:112,I36,113:113)-SUMIF(112:112,C36,113:113)+100</f>
        <v>97</v>
      </c>
      <c r="K36" s="561">
        <v>1</v>
      </c>
      <c r="L36" s="2715"/>
      <c r="M36" s="2716"/>
      <c r="N36" s="2716"/>
      <c r="O36" s="2770"/>
      <c r="P36" s="3683"/>
      <c r="Q36" s="1352" t="str">
        <f t="shared" si="14"/>
        <v>宗地开发程度</v>
      </c>
      <c r="R36" s="701" t="s">
        <v>14</v>
      </c>
      <c r="S36" s="702">
        <f t="shared" si="10"/>
        <v>97</v>
      </c>
      <c r="T36" s="701" t="s">
        <v>14</v>
      </c>
      <c r="U36" s="702">
        <f t="shared" si="11"/>
        <v>97</v>
      </c>
      <c r="V36" s="701" t="s">
        <v>14</v>
      </c>
      <c r="W36" s="702">
        <f t="shared" si="12"/>
        <v>97</v>
      </c>
      <c r="X36" s="703"/>
      <c r="Y36" s="3683"/>
      <c r="Z36" s="52" t="str">
        <f t="shared" si="13"/>
        <v>宗地开发程度</v>
      </c>
      <c r="AA36" s="704">
        <f t="shared" si="3"/>
        <v>1.0309278350515463</v>
      </c>
      <c r="AB36" s="704">
        <f t="shared" si="4"/>
        <v>1.0309278350515463</v>
      </c>
      <c r="AC36" s="704">
        <f t="shared" si="5"/>
        <v>1.0309278350515463</v>
      </c>
    </row>
    <row r="37" spans="1:31" ht="15.75" thickBot="1">
      <c r="A37" s="423"/>
      <c r="B37" s="375" t="s">
        <v>1877</v>
      </c>
      <c r="C37" s="1906" t="s">
        <v>3424</v>
      </c>
      <c r="D37" s="386">
        <v>100</v>
      </c>
      <c r="E37" s="1906" t="s">
        <v>3424</v>
      </c>
      <c r="F37" s="386">
        <f>SUMIF(114:114,E37,115:115)-SUMIF(114:114,C37,115:115)+100</f>
        <v>100</v>
      </c>
      <c r="G37" s="1906" t="s">
        <v>3424</v>
      </c>
      <c r="H37" s="386">
        <f>SUMIF(114:114,G37,115:115)-SUMIF(114:114,C37,115:115)+100</f>
        <v>100</v>
      </c>
      <c r="I37" s="1906" t="s">
        <v>3424</v>
      </c>
      <c r="J37" s="386">
        <f>SUMIF(114:114,I37,115:115)-SUMIF(114:114,C37,115:115)+100</f>
        <v>100</v>
      </c>
      <c r="K37" s="561">
        <v>1</v>
      </c>
      <c r="L37" s="2720"/>
      <c r="M37" s="2714"/>
      <c r="N37" s="2714"/>
      <c r="O37" s="2772"/>
      <c r="P37" s="3683" t="s">
        <v>1695</v>
      </c>
      <c r="Q37" s="1352" t="str">
        <f t="shared" si="14"/>
        <v>工程地质条件</v>
      </c>
      <c r="R37" s="705" t="s">
        <v>14</v>
      </c>
      <c r="S37" s="706">
        <f t="shared" si="10"/>
        <v>100</v>
      </c>
      <c r="T37" s="705" t="s">
        <v>14</v>
      </c>
      <c r="U37" s="706">
        <f t="shared" si="11"/>
        <v>100</v>
      </c>
      <c r="V37" s="705" t="s">
        <v>14</v>
      </c>
      <c r="W37" s="706">
        <f t="shared" si="12"/>
        <v>100</v>
      </c>
      <c r="X37" s="1355"/>
      <c r="Y37" s="3683" t="s">
        <v>1695</v>
      </c>
      <c r="Z37" s="1356" t="str">
        <f t="shared" si="13"/>
        <v>工程地质条件</v>
      </c>
      <c r="AA37" s="1353">
        <f t="shared" si="3"/>
        <v>1</v>
      </c>
      <c r="AB37" s="1353">
        <f t="shared" si="4"/>
        <v>1</v>
      </c>
      <c r="AC37" s="1353">
        <f t="shared" si="5"/>
        <v>1</v>
      </c>
    </row>
    <row r="38" spans="1:31" ht="15" hidden="1">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683"/>
      <c r="Q38" s="1352">
        <f t="shared" si="14"/>
        <v>111</v>
      </c>
      <c r="R38" s="705" t="s">
        <v>14</v>
      </c>
      <c r="S38" s="706">
        <f t="shared" si="10"/>
        <v>100</v>
      </c>
      <c r="T38" s="705" t="s">
        <v>14</v>
      </c>
      <c r="U38" s="706">
        <f t="shared" si="11"/>
        <v>100</v>
      </c>
      <c r="V38" s="705" t="s">
        <v>14</v>
      </c>
      <c r="W38" s="706">
        <f t="shared" si="12"/>
        <v>100</v>
      </c>
      <c r="X38" s="1355"/>
      <c r="Y38" s="3683"/>
      <c r="Z38" s="1356">
        <f t="shared" si="13"/>
        <v>111</v>
      </c>
      <c r="AA38" s="1353">
        <f t="shared" si="3"/>
        <v>1</v>
      </c>
      <c r="AB38" s="1353">
        <f t="shared" si="4"/>
        <v>1</v>
      </c>
      <c r="AC38" s="1353">
        <f t="shared" si="5"/>
        <v>1</v>
      </c>
    </row>
    <row r="39" spans="1:31" ht="15" hidden="1">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683"/>
      <c r="Q39" s="1352">
        <f t="shared" si="14"/>
        <v>111</v>
      </c>
      <c r="R39" s="705" t="s">
        <v>14</v>
      </c>
      <c r="S39" s="706">
        <f t="shared" si="10"/>
        <v>100</v>
      </c>
      <c r="T39" s="705" t="s">
        <v>14</v>
      </c>
      <c r="U39" s="706">
        <f t="shared" si="11"/>
        <v>100</v>
      </c>
      <c r="V39" s="705" t="s">
        <v>14</v>
      </c>
      <c r="W39" s="706">
        <f t="shared" si="12"/>
        <v>100</v>
      </c>
      <c r="X39" s="1355"/>
      <c r="Y39" s="3683"/>
      <c r="Z39" s="1356">
        <f t="shared" si="13"/>
        <v>111</v>
      </c>
      <c r="AA39" s="1353">
        <f t="shared" si="3"/>
        <v>1</v>
      </c>
      <c r="AB39" s="1353">
        <f t="shared" si="4"/>
        <v>1</v>
      </c>
      <c r="AC39" s="1353">
        <f t="shared" si="5"/>
        <v>1</v>
      </c>
    </row>
    <row r="40" spans="1:31" s="422" customFormat="1" ht="15.75" hidden="1"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683"/>
      <c r="Q40" s="1352">
        <f t="shared" si="14"/>
        <v>111</v>
      </c>
      <c r="R40" s="708" t="s">
        <v>14</v>
      </c>
      <c r="S40" s="709">
        <f t="shared" si="10"/>
        <v>100</v>
      </c>
      <c r="T40" s="708" t="s">
        <v>14</v>
      </c>
      <c r="U40" s="709">
        <f t="shared" si="11"/>
        <v>100</v>
      </c>
      <c r="V40" s="708" t="s">
        <v>14</v>
      </c>
      <c r="W40" s="709">
        <f t="shared" si="12"/>
        <v>100</v>
      </c>
      <c r="X40" s="710"/>
      <c r="Y40" s="3683"/>
      <c r="Z40" s="711">
        <f t="shared" si="13"/>
        <v>111</v>
      </c>
      <c r="AA40" s="1353">
        <f t="shared" si="3"/>
        <v>1</v>
      </c>
      <c r="AB40" s="1353">
        <f t="shared" si="4"/>
        <v>1</v>
      </c>
      <c r="AC40" s="1353">
        <f t="shared" si="5"/>
        <v>1</v>
      </c>
    </row>
    <row r="41" spans="1:31" ht="15">
      <c r="A41" s="430" t="s">
        <v>1843</v>
      </c>
      <c r="B41" s="1982" t="s">
        <v>3511</v>
      </c>
      <c r="C41" s="630" t="s">
        <v>0</v>
      </c>
      <c r="D41" s="432"/>
      <c r="E41" s="433">
        <f>土地案例!N2</f>
        <v>1142</v>
      </c>
      <c r="F41" s="434"/>
      <c r="G41" s="435">
        <f>土地案例!N3</f>
        <v>909</v>
      </c>
      <c r="H41" s="436"/>
      <c r="I41" s="433">
        <v>1136</v>
      </c>
      <c r="J41" s="436"/>
      <c r="K41" s="714"/>
      <c r="L41" s="2722"/>
      <c r="M41" s="2714"/>
      <c r="N41" s="2714"/>
      <c r="O41" s="2723"/>
      <c r="P41" s="3676" t="str">
        <f>A41</f>
        <v>成交单价</v>
      </c>
      <c r="Q41" s="3676"/>
      <c r="R41" s="3707">
        <f>E41</f>
        <v>1142</v>
      </c>
      <c r="S41" s="3707"/>
      <c r="T41" s="3707">
        <f>G41</f>
        <v>909</v>
      </c>
      <c r="U41" s="3707"/>
      <c r="V41" s="3707">
        <f>I41</f>
        <v>1136</v>
      </c>
      <c r="W41" s="3707"/>
      <c r="X41" s="690"/>
      <c r="Y41" s="712"/>
      <c r="Z41" s="690"/>
      <c r="AA41" s="690"/>
      <c r="AB41" s="690"/>
      <c r="AC41" s="690"/>
    </row>
    <row r="42" spans="1:31" ht="15.75" thickBot="1">
      <c r="A42" s="437" t="s">
        <v>1792</v>
      </c>
      <c r="B42" s="631"/>
      <c r="C42" s="440">
        <f>R43</f>
        <v>1108</v>
      </c>
      <c r="D42" s="2317" t="s">
        <v>2136</v>
      </c>
      <c r="E42" s="440">
        <f>R42</f>
        <v>1144</v>
      </c>
      <c r="F42" s="2318"/>
      <c r="G42" s="439">
        <f>T42</f>
        <v>1030</v>
      </c>
      <c r="H42" s="2318"/>
      <c r="I42" s="440">
        <f>V42</f>
        <v>1150</v>
      </c>
      <c r="J42" s="2318"/>
      <c r="K42" s="2320">
        <f>F42+H42+J42</f>
        <v>0</v>
      </c>
      <c r="L42" s="2722"/>
      <c r="M42" s="2714"/>
      <c r="N42" s="2714"/>
      <c r="O42" s="2723"/>
      <c r="P42" s="3676" t="str">
        <f>A42</f>
        <v>比较价值（元/平方米）</v>
      </c>
      <c r="Q42" s="3676"/>
      <c r="R42" s="3736">
        <f>ROUND(PRODUCT(R41,AA7:AA40),0)</f>
        <v>1144</v>
      </c>
      <c r="S42" s="3736"/>
      <c r="T42" s="3736">
        <f>ROUND(PRODUCT(T41,AB7:AB40),0)</f>
        <v>1030</v>
      </c>
      <c r="U42" s="3736"/>
      <c r="V42" s="3736">
        <f>ROUND(PRODUCT(V41,AC7:AC40),0)</f>
        <v>1150</v>
      </c>
      <c r="W42" s="3736"/>
      <c r="X42" s="690"/>
      <c r="Y42" s="690"/>
      <c r="Z42" s="690"/>
      <c r="AA42" s="690"/>
      <c r="AB42" s="690"/>
      <c r="AC42" s="690"/>
    </row>
    <row r="43" spans="1:31" ht="15.75" thickBot="1">
      <c r="A43" s="441" t="s">
        <v>1793</v>
      </c>
      <c r="B43" s="442"/>
      <c r="C43" s="443">
        <f>R43</f>
        <v>1108</v>
      </c>
      <c r="D43" s="443"/>
      <c r="E43" s="443"/>
      <c r="F43" s="443"/>
      <c r="G43" s="443"/>
      <c r="H43" s="443"/>
      <c r="I43" s="443"/>
      <c r="J43" s="443"/>
      <c r="K43" s="715"/>
      <c r="L43" s="2722"/>
      <c r="M43" s="2714"/>
      <c r="N43" s="2714"/>
      <c r="O43" s="2723"/>
      <c r="P43" s="3673" t="str">
        <f>A43</f>
        <v>估价对象XX用房的比较价值（楼面单价，元/平方米）</v>
      </c>
      <c r="Q43" s="3674"/>
      <c r="R43" s="3737">
        <f>ROUND(IF(D42="简单平均",AVERAGE(R42:W42),R42*F42+T42*H42+V42*J42),0)</f>
        <v>1108</v>
      </c>
      <c r="S43" s="3737"/>
      <c r="T43" s="3737"/>
      <c r="U43" s="3737"/>
      <c r="V43" s="3737"/>
      <c r="W43" s="3737"/>
      <c r="X43" s="690"/>
      <c r="Y43" s="690"/>
      <c r="Z43" s="690"/>
      <c r="AA43" s="690"/>
      <c r="AB43" s="690"/>
      <c r="AC43" s="690"/>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1794</v>
      </c>
      <c r="D46" s="447"/>
      <c r="E46" s="448">
        <f>IF(E41&lt;E42,E42/E41-1,E41/E42-1)</f>
        <v>1.7513134851139256E-3</v>
      </c>
      <c r="F46" s="449" t="str">
        <f>IF(OR(E46&gt;=0.3,E46&lt;=-0.3),"超过30%","")</f>
        <v/>
      </c>
      <c r="G46" s="448">
        <f>IF(G41&lt;G42,G42/G41-1,G41/G42-1)</f>
        <v>0.13311331133113313</v>
      </c>
      <c r="H46" s="449" t="str">
        <f>IF(OR(G46&gt;=0.3,G46&lt;=-0.3),"超过30%","")</f>
        <v/>
      </c>
      <c r="I46" s="448">
        <f>IF(I41&lt;I42,I42/I41-1,I41/I42-1)</f>
        <v>1.2323943661971759E-2</v>
      </c>
      <c r="J46" s="449" t="str">
        <f>IF(OR(I46&gt;=0.3,I46&lt;=-0.3),"超过30%","")</f>
        <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1795</v>
      </c>
      <c r="D47" s="450"/>
      <c r="E47" s="448">
        <f>IF(E42&lt;G42,G42/E42-1,E42/G42-1)</f>
        <v>0.11067961165048534</v>
      </c>
      <c r="F47" s="449" t="str">
        <f>IF(OR(E47&gt;=0.2,E47&lt;=-0.2),"超过20%","")</f>
        <v/>
      </c>
      <c r="G47" s="448">
        <f>IF(G42&lt;I42,I42/G42-1,G42/I42-1)</f>
        <v>0.11650485436893199</v>
      </c>
      <c r="H47" s="449" t="str">
        <f>IF(OR(G47&gt;=0.2,G47&lt;=-0.2),"超过20%","")</f>
        <v/>
      </c>
      <c r="I47" s="448">
        <f>IF(I42&lt;E42,E42/I42-1,I42/E42-1)</f>
        <v>5.2447552447552059E-3</v>
      </c>
      <c r="J47" s="449" t="str">
        <f>IF(OR(I47&gt;=0.2,I47&lt;=-0.2),"超过20%","")</f>
        <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1796</v>
      </c>
      <c r="D48" s="450"/>
      <c r="E48" s="448">
        <f>IF(E41&lt;G41,G41/E41-1,E41/G41-1)</f>
        <v>0.25632563256325636</v>
      </c>
      <c r="F48" s="449" t="str">
        <f>IF(OR(E48&gt;=0.3,E48&lt;=-0.3),"超过30%","")</f>
        <v/>
      </c>
      <c r="G48" s="448">
        <f>IF(G41&lt;I41,I41/G41-1,G41/I41-1)</f>
        <v>0.24972497249724968</v>
      </c>
      <c r="H48" s="449" t="str">
        <f>IF(OR(G48&gt;=0.3,G48&lt;=-0.3),"超过30%","")</f>
        <v/>
      </c>
      <c r="I48" s="448">
        <f>IF(I41&lt;E41,E41/I41-1,I41/E41-1)</f>
        <v>5.2816901408450079E-3</v>
      </c>
      <c r="J48" s="449" t="str">
        <f>IF(OR(I48&gt;=0.3,I48&lt;=-0.3),"超过30%","")</f>
        <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3"/>
      <c r="D49" s="691"/>
      <c r="E49" s="691"/>
      <c r="F49" s="691"/>
      <c r="G49" s="691"/>
      <c r="H49" s="691"/>
      <c r="I49" s="691"/>
      <c r="J49" s="691"/>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1880</v>
      </c>
      <c r="B50" s="633" t="s">
        <v>1881</v>
      </c>
      <c r="C50" s="1983" t="s">
        <v>1882</v>
      </c>
      <c r="D50" s="1984" t="s">
        <v>1883</v>
      </c>
      <c r="E50" s="634" t="s">
        <v>1884</v>
      </c>
      <c r="F50" s="635" t="s">
        <v>1885</v>
      </c>
      <c r="G50" s="3691" t="s">
        <v>1886</v>
      </c>
      <c r="H50" s="3738"/>
      <c r="I50" s="1356" t="s">
        <v>1921</v>
      </c>
      <c r="J50" s="1356">
        <f>项目基本情况!F35</f>
        <v>0</v>
      </c>
      <c r="K50" s="1986" t="s">
        <v>1888</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1889</v>
      </c>
      <c r="B51" s="637">
        <f>C43</f>
        <v>1108</v>
      </c>
      <c r="C51" s="638">
        <v>1</v>
      </c>
      <c r="D51" s="944">
        <v>1</v>
      </c>
      <c r="E51" s="638">
        <f>'数据-汇总表'!E8+'数据-汇总表'!E9</f>
        <v>22663.3</v>
      </c>
      <c r="F51" s="639">
        <f t="shared" ref="F51:F60" si="15">ROUND(B51*E51/10000,0)</f>
        <v>2511</v>
      </c>
      <c r="G51" s="3687"/>
      <c r="H51" s="3676"/>
      <c r="I51" s="773">
        <v>1</v>
      </c>
      <c r="J51" s="773">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1890</v>
      </c>
      <c r="B52" s="218">
        <f>ROUND($C$43*C52*D52,0)</f>
        <v>0</v>
      </c>
      <c r="C52" s="171">
        <f t="shared" ref="C52:C60" si="16">IF($C$50="北京市系数",I52,J52)</f>
        <v>0</v>
      </c>
      <c r="D52" s="945">
        <v>0.25</v>
      </c>
      <c r="E52" s="642"/>
      <c r="F52" s="639">
        <f t="shared" si="15"/>
        <v>0</v>
      </c>
      <c r="G52" s="3004" t="s">
        <v>1891</v>
      </c>
      <c r="H52" s="887">
        <f>项目基本情况!B37</f>
        <v>0</v>
      </c>
      <c r="I52" s="773">
        <f>SUMIF(修正!A57:A68,H52,修正!B57:B68)</f>
        <v>0</v>
      </c>
      <c r="J52" s="774"/>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1892</v>
      </c>
      <c r="B53" s="218">
        <f t="shared" ref="B53:B60" si="17">ROUND($C$43*C53*D53,0)</f>
        <v>0</v>
      </c>
      <c r="C53" s="171">
        <f t="shared" si="16"/>
        <v>0</v>
      </c>
      <c r="D53" s="945">
        <v>0.25</v>
      </c>
      <c r="E53" s="642"/>
      <c r="F53" s="639">
        <f t="shared" si="15"/>
        <v>0</v>
      </c>
      <c r="G53" s="3005"/>
      <c r="H53" s="887">
        <f>项目基本情况!B37</f>
        <v>0</v>
      </c>
      <c r="I53" s="773">
        <f>SUMIF(修正!A57:A68,H53,修正!C57:C68)</f>
        <v>0</v>
      </c>
      <c r="J53" s="774"/>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1893</v>
      </c>
      <c r="B54" s="218">
        <f t="shared" si="17"/>
        <v>0</v>
      </c>
      <c r="C54" s="171">
        <f t="shared" si="16"/>
        <v>0</v>
      </c>
      <c r="D54" s="945">
        <v>0.25</v>
      </c>
      <c r="E54" s="642"/>
      <c r="F54" s="639">
        <f t="shared" si="15"/>
        <v>0</v>
      </c>
      <c r="G54" s="3005"/>
      <c r="H54" s="887">
        <f>项目基本情况!B37</f>
        <v>0</v>
      </c>
      <c r="I54" s="773">
        <f>SUMIF(修正!A57:A68,H54,修正!D57:D68)</f>
        <v>0</v>
      </c>
      <c r="J54" s="774"/>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5"/>
      <c r="E55" s="642"/>
      <c r="F55" s="639"/>
      <c r="G55" s="3006"/>
      <c r="H55" s="887"/>
      <c r="I55" s="773"/>
      <c r="J55" s="774"/>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1894</v>
      </c>
      <c r="B56" s="218">
        <f t="shared" si="17"/>
        <v>0</v>
      </c>
      <c r="C56" s="171">
        <f t="shared" si="16"/>
        <v>0</v>
      </c>
      <c r="D56" s="945">
        <v>0.25</v>
      </c>
      <c r="E56" s="217">
        <f>'数据-汇总表'!E11</f>
        <v>0</v>
      </c>
      <c r="F56" s="639">
        <f t="shared" si="15"/>
        <v>0</v>
      </c>
      <c r="G56" s="1987" t="s">
        <v>1895</v>
      </c>
      <c r="H56" s="887">
        <f>项目基本情况!C37</f>
        <v>0</v>
      </c>
      <c r="I56" s="773">
        <f>SUMIF(修正!A57:A68,H56,修正!E57:E68)</f>
        <v>0</v>
      </c>
      <c r="J56" s="774"/>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1896</v>
      </c>
      <c r="B57" s="218">
        <f t="shared" si="17"/>
        <v>0</v>
      </c>
      <c r="C57" s="171">
        <f t="shared" si="16"/>
        <v>0</v>
      </c>
      <c r="D57" s="945">
        <v>0.25</v>
      </c>
      <c r="E57" s="217">
        <f>'数据-汇总表'!E12</f>
        <v>0</v>
      </c>
      <c r="F57" s="639">
        <f t="shared" si="15"/>
        <v>0</v>
      </c>
      <c r="G57" s="892" t="s">
        <v>1897</v>
      </c>
      <c r="H57" s="887">
        <f>IF(G57="商业",项目基本情况!B37,IF(G57="办公",项目基本情况!C37,IF(G57="住宅",项目基本情况!D37,项目基本情况!E37)))</f>
        <v>0</v>
      </c>
      <c r="I57" s="773">
        <f>SUMIF(修正!A57:A68,H57,修正!F57:F68)</f>
        <v>0</v>
      </c>
      <c r="J57" s="774"/>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1898</v>
      </c>
      <c r="B58" s="218">
        <f t="shared" si="17"/>
        <v>0</v>
      </c>
      <c r="C58" s="171">
        <f t="shared" si="16"/>
        <v>0</v>
      </c>
      <c r="D58" s="945">
        <v>0.25</v>
      </c>
      <c r="E58" s="217">
        <f>'数据-汇总表'!E13</f>
        <v>7113.3</v>
      </c>
      <c r="F58" s="639">
        <f t="shared" si="15"/>
        <v>0</v>
      </c>
      <c r="G58" s="892" t="s">
        <v>1899</v>
      </c>
      <c r="H58" s="887">
        <f>IF(G58="商业",项目基本情况!B37,IF(G58="办公",项目基本情况!C37,IF(G58="住宅",项目基本情况!D37,项目基本情况!E37)))</f>
        <v>0</v>
      </c>
      <c r="I58" s="773">
        <f>SUMIF(修正!A57:A68,H58,修正!G57:G68)</f>
        <v>0</v>
      </c>
      <c r="J58" s="774"/>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1900</v>
      </c>
      <c r="B59" s="218">
        <f t="shared" si="17"/>
        <v>0</v>
      </c>
      <c r="C59" s="171">
        <f t="shared" si="16"/>
        <v>0</v>
      </c>
      <c r="D59" s="945">
        <v>0.25</v>
      </c>
      <c r="E59" s="217">
        <f>'数据-汇总表'!E14</f>
        <v>0</v>
      </c>
      <c r="F59" s="639">
        <f t="shared" si="15"/>
        <v>0</v>
      </c>
      <c r="G59" s="1987" t="s">
        <v>1891</v>
      </c>
      <c r="H59" s="887">
        <f>项目基本情况!B37</f>
        <v>0</v>
      </c>
      <c r="I59" s="773">
        <f>SUMIF(修正!A57:A68,H59,修正!G57:G68)</f>
        <v>0</v>
      </c>
      <c r="J59" s="774"/>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1901</v>
      </c>
      <c r="B60" s="218">
        <f t="shared" si="17"/>
        <v>0</v>
      </c>
      <c r="C60" s="171">
        <f t="shared" si="16"/>
        <v>0</v>
      </c>
      <c r="D60" s="945">
        <v>0.25</v>
      </c>
      <c r="E60" s="217">
        <f>'数据-汇总表'!E15</f>
        <v>0</v>
      </c>
      <c r="F60" s="639">
        <f t="shared" si="15"/>
        <v>0</v>
      </c>
      <c r="G60" s="1988" t="s">
        <v>1895</v>
      </c>
      <c r="H60" s="897">
        <f>项目基本情况!C37</f>
        <v>0</v>
      </c>
      <c r="I60" s="773">
        <f>SUMIF(修正!A57:A68,H60,修正!G57:G68)</f>
        <v>0</v>
      </c>
      <c r="J60" s="774"/>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1902</v>
      </c>
      <c r="B61" s="644" t="s">
        <v>22</v>
      </c>
      <c r="C61" s="644" t="s">
        <v>23</v>
      </c>
      <c r="D61" s="644" t="s">
        <v>392</v>
      </c>
      <c r="E61" s="644">
        <f>IF(B41="楼面地价",SUM(E51:E60),'数据-汇总表'!D3)</f>
        <v>29776.6</v>
      </c>
      <c r="F61" s="645">
        <f>IF(B41="楼面地价",SUM(F51:F60),ROUND(C43*E61/10000,0))</f>
        <v>2511</v>
      </c>
      <c r="G61" s="939"/>
      <c r="H61" s="939"/>
      <c r="I61" s="939"/>
      <c r="J61" s="939"/>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7"/>
      <c r="B62" s="929"/>
      <c r="C62" s="931"/>
      <c r="D62" s="927"/>
      <c r="E62" s="927"/>
      <c r="F62" s="927"/>
      <c r="G62" s="927"/>
      <c r="H62" s="927"/>
      <c r="I62" s="927"/>
      <c r="J62" s="927"/>
      <c r="K62" s="888"/>
      <c r="L62" s="889"/>
      <c r="M62" s="927"/>
      <c r="N62" s="927"/>
      <c r="O62" s="927"/>
      <c r="P62" s="2723"/>
      <c r="Q62" s="2723"/>
      <c r="R62" s="2723"/>
      <c r="S62" s="2723"/>
      <c r="T62" s="2723"/>
      <c r="U62" s="2723"/>
      <c r="V62" s="2723"/>
      <c r="W62" s="2723"/>
      <c r="X62" s="2723"/>
      <c r="Y62" s="2723"/>
      <c r="Z62" s="2723"/>
      <c r="AA62" s="2723"/>
      <c r="AB62" s="2723"/>
      <c r="AC62" s="2723"/>
      <c r="AD62" s="2723"/>
      <c r="AE62" s="2723"/>
    </row>
    <row r="63" spans="1:31">
      <c r="A63" s="927"/>
      <c r="B63" s="929"/>
      <c r="C63" s="692" t="str">
        <f>YEAR(C7)&amp;"-"&amp;MONTH(C7)&amp;"-1"</f>
        <v>2023-4-1</v>
      </c>
      <c r="D63" s="692">
        <f>EDATE(C63,-3)</f>
        <v>44927</v>
      </c>
      <c r="E63" s="692">
        <f>EDATE(D63,-3)</f>
        <v>44835</v>
      </c>
      <c r="F63" s="692">
        <f t="shared" ref="F63:O63" si="18">EDATE(E63,-3)</f>
        <v>44743</v>
      </c>
      <c r="G63" s="692">
        <f t="shared" si="18"/>
        <v>44652</v>
      </c>
      <c r="H63" s="692">
        <f t="shared" si="18"/>
        <v>44562</v>
      </c>
      <c r="I63" s="692">
        <f t="shared" si="18"/>
        <v>44470</v>
      </c>
      <c r="J63" s="692">
        <f t="shared" si="18"/>
        <v>44378</v>
      </c>
      <c r="K63" s="692">
        <f t="shared" si="18"/>
        <v>44287</v>
      </c>
      <c r="L63" s="692">
        <f t="shared" si="18"/>
        <v>44197</v>
      </c>
      <c r="M63" s="692">
        <f t="shared" si="18"/>
        <v>44105</v>
      </c>
      <c r="N63" s="692">
        <f t="shared" si="18"/>
        <v>44013</v>
      </c>
      <c r="O63" s="692">
        <f t="shared" si="18"/>
        <v>43922</v>
      </c>
      <c r="P63" s="2723"/>
      <c r="Q63" s="2723"/>
      <c r="R63" s="2723"/>
      <c r="S63" s="2723"/>
      <c r="T63" s="2723"/>
      <c r="U63" s="2723"/>
      <c r="V63" s="2723"/>
      <c r="W63" s="2723"/>
      <c r="X63" s="2723"/>
      <c r="Y63" s="2723"/>
      <c r="Z63" s="2723"/>
      <c r="AA63" s="2723"/>
      <c r="AB63" s="2723"/>
      <c r="AC63" s="2723"/>
      <c r="AD63" s="2723"/>
      <c r="AE63" s="2723"/>
    </row>
    <row r="64" spans="1:31" ht="21.75" thickBot="1">
      <c r="A64" s="694" t="s">
        <v>1797</v>
      </c>
      <c r="B64" s="690"/>
      <c r="C64" s="695"/>
      <c r="D64" s="695"/>
      <c r="E64" s="695"/>
      <c r="F64" s="696"/>
      <c r="G64" s="696"/>
      <c r="H64" s="695"/>
      <c r="I64" s="695"/>
      <c r="J64" s="695"/>
      <c r="K64" s="697"/>
      <c r="L64" s="698"/>
      <c r="M64" s="695"/>
      <c r="N64" s="695"/>
      <c r="O64" s="940"/>
      <c r="P64" s="2767"/>
      <c r="Q64" s="2737"/>
      <c r="R64" s="2723"/>
      <c r="S64" s="2723"/>
      <c r="T64" s="2723"/>
      <c r="U64" s="2723"/>
      <c r="V64" s="2723"/>
      <c r="W64" s="2723"/>
      <c r="X64" s="2723"/>
      <c r="Y64" s="2723"/>
      <c r="Z64" s="2723"/>
      <c r="AA64" s="2723"/>
      <c r="AB64" s="2723"/>
      <c r="AC64" s="2723"/>
      <c r="AD64" s="2723"/>
      <c r="AE64" s="2723"/>
    </row>
    <row r="65" spans="1:31" s="457" customFormat="1" ht="15">
      <c r="A65" s="1989" t="s">
        <v>1903</v>
      </c>
      <c r="B65" s="1109"/>
      <c r="C65" s="1182" t="str">
        <f>YEAR(C63)&amp;"-"&amp;ROUNDUP(MONTH(C63)/3,0)</f>
        <v>2023-2</v>
      </c>
      <c r="D65" s="1182" t="str">
        <f t="shared" ref="D65:O65" si="19">YEAR(D63)&amp;"-"&amp;ROUNDUP(MONTH(D63)/3,0)</f>
        <v>2023-1</v>
      </c>
      <c r="E65" s="1182" t="str">
        <f t="shared" si="19"/>
        <v>2022-4</v>
      </c>
      <c r="F65" s="1182" t="str">
        <f t="shared" si="19"/>
        <v>2022-3</v>
      </c>
      <c r="G65" s="1182" t="str">
        <f t="shared" si="19"/>
        <v>2022-2</v>
      </c>
      <c r="H65" s="1182" t="str">
        <f t="shared" si="19"/>
        <v>2022-1</v>
      </c>
      <c r="I65" s="1182" t="str">
        <f t="shared" si="19"/>
        <v>2021-4</v>
      </c>
      <c r="J65" s="1182" t="str">
        <f t="shared" si="19"/>
        <v>2021-3</v>
      </c>
      <c r="K65" s="1182" t="str">
        <f t="shared" si="19"/>
        <v>2021-2</v>
      </c>
      <c r="L65" s="1182" t="str">
        <f t="shared" si="19"/>
        <v>2021-1</v>
      </c>
      <c r="M65" s="1182" t="str">
        <f t="shared" si="19"/>
        <v>2020-4</v>
      </c>
      <c r="N65" s="1182" t="str">
        <f t="shared" si="19"/>
        <v>2020-3</v>
      </c>
      <c r="O65" s="1182" t="str">
        <f t="shared" si="19"/>
        <v>2020-2</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4" t="s">
        <v>1922</v>
      </c>
      <c r="B66" s="288" t="str">
        <f>"北京市平均增长率"&amp;TEXT(基准地价修正!P28,"0.00%")</f>
        <v>北京市平均增长率0.00%</v>
      </c>
      <c r="C66" s="552">
        <v>100</v>
      </c>
      <c r="D66" s="544">
        <f>C66-0.5</f>
        <v>99.5</v>
      </c>
      <c r="E66" s="544">
        <f t="shared" ref="E66:M66" si="20">D66-0.5</f>
        <v>99</v>
      </c>
      <c r="F66" s="544">
        <f t="shared" si="20"/>
        <v>98.5</v>
      </c>
      <c r="G66" s="544">
        <f t="shared" si="20"/>
        <v>98</v>
      </c>
      <c r="H66" s="544">
        <f t="shared" si="20"/>
        <v>97.5</v>
      </c>
      <c r="I66" s="544">
        <f t="shared" si="20"/>
        <v>97</v>
      </c>
      <c r="J66" s="544">
        <f t="shared" si="20"/>
        <v>96.5</v>
      </c>
      <c r="K66" s="544">
        <f t="shared" si="20"/>
        <v>96</v>
      </c>
      <c r="L66" s="544">
        <f t="shared" si="20"/>
        <v>95.5</v>
      </c>
      <c r="M66" s="544">
        <f t="shared" si="20"/>
        <v>95</v>
      </c>
      <c r="N66" s="1178"/>
      <c r="O66" s="1180"/>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1715</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1680</v>
      </c>
      <c r="B68" s="459"/>
      <c r="C68" s="471" t="s">
        <v>1775</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1718</v>
      </c>
      <c r="B70" s="477" t="s">
        <v>1684</v>
      </c>
      <c r="C70" s="3458" t="s">
        <v>3512</v>
      </c>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v>100</v>
      </c>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1687</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1688</v>
      </c>
      <c r="C74" s="496" t="str">
        <f>C75&amp;"（含）"&amp;"-"&amp;D75</f>
        <v>0（含）-1</v>
      </c>
      <c r="D74" s="496" t="str">
        <f t="shared" ref="D74:L74" si="21">D75&amp;"（含）"&amp;"-"&amp;E75</f>
        <v>1（含）-1.5</v>
      </c>
      <c r="E74" s="496" t="str">
        <f t="shared" si="21"/>
        <v>1.5（含）-2</v>
      </c>
      <c r="F74" s="496" t="str">
        <f t="shared" si="21"/>
        <v>2（含）-</v>
      </c>
      <c r="G74" s="496" t="str">
        <f t="shared" si="21"/>
        <v>（含）-</v>
      </c>
      <c r="H74" s="496" t="str">
        <f t="shared" si="21"/>
        <v>（含）-</v>
      </c>
      <c r="I74" s="496" t="str">
        <f t="shared" si="21"/>
        <v>（含）-</v>
      </c>
      <c r="J74" s="496" t="str">
        <f t="shared" si="21"/>
        <v>（含）-</v>
      </c>
      <c r="K74" s="496" t="str">
        <f t="shared" si="21"/>
        <v>（含）-</v>
      </c>
      <c r="L74" s="496" t="str">
        <f t="shared" si="21"/>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v>0</v>
      </c>
      <c r="D75" s="498">
        <v>1</v>
      </c>
      <c r="E75" s="498">
        <v>1.5</v>
      </c>
      <c r="F75" s="498">
        <v>2</v>
      </c>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95</v>
      </c>
      <c r="E76" s="493">
        <f t="shared" ref="E76:M76" si="22">IF($B$41="单位面积地价",D76+$K11,D76-$K11)</f>
        <v>90</v>
      </c>
      <c r="F76" s="493">
        <f t="shared" si="22"/>
        <v>85</v>
      </c>
      <c r="G76" s="493">
        <f t="shared" si="22"/>
        <v>80</v>
      </c>
      <c r="H76" s="493">
        <f t="shared" si="22"/>
        <v>75</v>
      </c>
      <c r="I76" s="493">
        <f t="shared" si="22"/>
        <v>70</v>
      </c>
      <c r="J76" s="493">
        <f t="shared" si="22"/>
        <v>65</v>
      </c>
      <c r="K76" s="493">
        <f t="shared" si="22"/>
        <v>60</v>
      </c>
      <c r="L76" s="493">
        <f t="shared" si="22"/>
        <v>55</v>
      </c>
      <c r="M76" s="493">
        <f t="shared" si="22"/>
        <v>50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1689</v>
      </c>
      <c r="B83" s="477" t="s">
        <v>1828</v>
      </c>
      <c r="C83" s="522" t="s">
        <v>1720</v>
      </c>
      <c r="D83" s="522" t="s">
        <v>1721</v>
      </c>
      <c r="E83" s="522" t="s">
        <v>1722</v>
      </c>
      <c r="F83" s="522" t="s">
        <v>1723</v>
      </c>
      <c r="G83" s="522" t="s">
        <v>1724</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98</v>
      </c>
      <c r="E84" s="493">
        <f>D84-$K15</f>
        <v>96</v>
      </c>
      <c r="F84" s="493">
        <f>E84-$K15</f>
        <v>94</v>
      </c>
      <c r="G84" s="493">
        <f>F84-$K15</f>
        <v>92</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1725</v>
      </c>
      <c r="C85" s="527" t="s">
        <v>1720</v>
      </c>
      <c r="D85" s="527" t="s">
        <v>1721</v>
      </c>
      <c r="E85" s="527" t="s">
        <v>1722</v>
      </c>
      <c r="F85" s="527" t="s">
        <v>1723</v>
      </c>
      <c r="G85" s="527" t="s">
        <v>1724</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98</v>
      </c>
      <c r="E86" s="493">
        <f>D86-$K17</f>
        <v>96</v>
      </c>
      <c r="F86" s="493">
        <f>E86-$K17</f>
        <v>94</v>
      </c>
      <c r="G86" s="493">
        <f>F86-$K17</f>
        <v>92</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1906</v>
      </c>
      <c r="C87" s="522" t="s">
        <v>1720</v>
      </c>
      <c r="D87" s="522" t="s">
        <v>1721</v>
      </c>
      <c r="E87" s="522" t="s">
        <v>1722</v>
      </c>
      <c r="F87" s="522" t="s">
        <v>1723</v>
      </c>
      <c r="G87" s="522" t="s">
        <v>1724</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98</v>
      </c>
      <c r="E88" s="493">
        <f>D88-$K19</f>
        <v>96</v>
      </c>
      <c r="F88" s="493">
        <f>E88-$K19</f>
        <v>94</v>
      </c>
      <c r="G88" s="493">
        <f>F88-$K19</f>
        <v>92</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1907</v>
      </c>
      <c r="C89" s="522" t="s">
        <v>1720</v>
      </c>
      <c r="D89" s="522" t="s">
        <v>1721</v>
      </c>
      <c r="E89" s="522" t="s">
        <v>1722</v>
      </c>
      <c r="F89" s="522" t="s">
        <v>1723</v>
      </c>
      <c r="G89" s="522" t="s">
        <v>1724</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98</v>
      </c>
      <c r="E90" s="493">
        <f>D90-$K21</f>
        <v>96</v>
      </c>
      <c r="F90" s="493">
        <f>E90-$K21</f>
        <v>94</v>
      </c>
      <c r="G90" s="493">
        <f>F90-$K21</f>
        <v>92</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1777</v>
      </c>
      <c r="C91" s="522" t="s">
        <v>1720</v>
      </c>
      <c r="D91" s="522" t="s">
        <v>1721</v>
      </c>
      <c r="E91" s="522" t="s">
        <v>1722</v>
      </c>
      <c r="F91" s="522" t="s">
        <v>1723</v>
      </c>
      <c r="G91" s="522" t="s">
        <v>1724</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98</v>
      </c>
      <c r="E92" s="493">
        <f>D92-$K23</f>
        <v>96</v>
      </c>
      <c r="F92" s="493">
        <f>E92-$K23</f>
        <v>94</v>
      </c>
      <c r="G92" s="493">
        <f>F92-$K23</f>
        <v>92</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1923</v>
      </c>
      <c r="C93" s="608" t="s">
        <v>1798</v>
      </c>
      <c r="D93" s="608" t="s">
        <v>1799</v>
      </c>
      <c r="E93" s="608" t="s">
        <v>1800</v>
      </c>
      <c r="F93" s="608" t="s">
        <v>1801</v>
      </c>
      <c r="G93" s="608" t="s">
        <v>1802</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99</v>
      </c>
      <c r="E94" s="493">
        <f>D94-$K25</f>
        <v>98</v>
      </c>
      <c r="F94" s="493">
        <f>E94-$K25</f>
        <v>97</v>
      </c>
      <c r="G94" s="493">
        <f>F94-$K25</f>
        <v>96</v>
      </c>
      <c r="H94" s="497"/>
      <c r="I94" s="497"/>
      <c r="J94" s="497"/>
      <c r="K94" s="497"/>
      <c r="L94" s="497"/>
      <c r="M94" s="1132"/>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1908</v>
      </c>
      <c r="D95" s="488" t="s">
        <v>1909</v>
      </c>
      <c r="E95" s="488" t="s">
        <v>1910</v>
      </c>
      <c r="F95" s="488" t="s">
        <v>1911</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3">C96-$K27</f>
        <v>100</v>
      </c>
      <c r="E96" s="493">
        <f t="shared" si="23"/>
        <v>100</v>
      </c>
      <c r="F96" s="493">
        <f t="shared" si="23"/>
        <v>100</v>
      </c>
      <c r="G96" s="493">
        <f t="shared" si="23"/>
        <v>100</v>
      </c>
      <c r="H96" s="493">
        <f t="shared" si="23"/>
        <v>100</v>
      </c>
      <c r="I96" s="493">
        <f t="shared" si="23"/>
        <v>100</v>
      </c>
      <c r="J96" s="493">
        <f t="shared" si="23"/>
        <v>100</v>
      </c>
      <c r="K96" s="493">
        <f t="shared" si="23"/>
        <v>100</v>
      </c>
      <c r="L96" s="493">
        <f t="shared" si="23"/>
        <v>100</v>
      </c>
      <c r="M96" s="493">
        <f t="shared" si="23"/>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1814</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4">C98-$K28</f>
        <v>100</v>
      </c>
      <c r="E98" s="493">
        <f t="shared" si="24"/>
        <v>100</v>
      </c>
      <c r="F98" s="493">
        <f t="shared" si="24"/>
        <v>100</v>
      </c>
      <c r="G98" s="493">
        <f t="shared" si="24"/>
        <v>100</v>
      </c>
      <c r="H98" s="493">
        <f t="shared" si="24"/>
        <v>100</v>
      </c>
      <c r="I98" s="493">
        <f t="shared" si="24"/>
        <v>100</v>
      </c>
      <c r="J98" s="493">
        <f t="shared" si="24"/>
        <v>100</v>
      </c>
      <c r="K98" s="493">
        <f t="shared" si="24"/>
        <v>100</v>
      </c>
      <c r="L98" s="493">
        <f t="shared" si="24"/>
        <v>100</v>
      </c>
      <c r="M98" s="493">
        <f t="shared" si="24"/>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1872</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5">C100-$K30</f>
        <v>100</v>
      </c>
      <c r="E100" s="493">
        <f t="shared" si="25"/>
        <v>100</v>
      </c>
      <c r="F100" s="493">
        <f t="shared" si="25"/>
        <v>100</v>
      </c>
      <c r="G100" s="493">
        <f t="shared" si="25"/>
        <v>100</v>
      </c>
      <c r="H100" s="493">
        <f t="shared" si="25"/>
        <v>100</v>
      </c>
      <c r="I100" s="493">
        <f t="shared" si="25"/>
        <v>100</v>
      </c>
      <c r="J100" s="493">
        <f t="shared" si="25"/>
        <v>100</v>
      </c>
      <c r="K100" s="493">
        <f t="shared" si="25"/>
        <v>100</v>
      </c>
      <c r="L100" s="493">
        <f t="shared" si="25"/>
        <v>100</v>
      </c>
      <c r="M100" s="493">
        <f t="shared" si="25"/>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ht="28.5">
      <c r="A107" s="476" t="s">
        <v>1693</v>
      </c>
      <c r="B107" s="477" t="s">
        <v>1912</v>
      </c>
      <c r="C107" s="478" t="str">
        <f t="shared" ref="C107:L107" si="26">C108&amp;"(含)"&amp;"-"&amp;D108</f>
        <v>0(含)-10000</v>
      </c>
      <c r="D107" s="478" t="str">
        <f t="shared" si="26"/>
        <v>10000(含)-20000</v>
      </c>
      <c r="E107" s="478" t="str">
        <f t="shared" si="26"/>
        <v>20000(含)-30000</v>
      </c>
      <c r="F107" s="478" t="str">
        <f t="shared" si="26"/>
        <v>30000(含)-40000</v>
      </c>
      <c r="G107" s="478" t="str">
        <f t="shared" si="26"/>
        <v>40000(含)-50000</v>
      </c>
      <c r="H107" s="478" t="str">
        <f t="shared" si="26"/>
        <v>50000(含)-60000</v>
      </c>
      <c r="I107" s="478" t="str">
        <f t="shared" si="26"/>
        <v>60000(含)-</v>
      </c>
      <c r="J107" s="478" t="str">
        <f t="shared" si="26"/>
        <v>(含)-</v>
      </c>
      <c r="K107" s="1333" t="str">
        <f t="shared" si="26"/>
        <v>(含)-</v>
      </c>
      <c r="L107" s="1333" t="str">
        <f t="shared" si="26"/>
        <v>(含)-</v>
      </c>
      <c r="M107" s="1334"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v>0</v>
      </c>
      <c r="D108" s="544">
        <v>10000</v>
      </c>
      <c r="E108" s="544">
        <v>20000</v>
      </c>
      <c r="F108" s="544">
        <v>30000</v>
      </c>
      <c r="G108" s="544">
        <v>40000</v>
      </c>
      <c r="H108" s="544">
        <v>50000</v>
      </c>
      <c r="I108" s="544">
        <v>60000</v>
      </c>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v>96</v>
      </c>
      <c r="D109" s="540">
        <v>98</v>
      </c>
      <c r="E109" s="540">
        <v>100</v>
      </c>
      <c r="F109" s="540">
        <v>98</v>
      </c>
      <c r="G109" s="540">
        <v>96</v>
      </c>
      <c r="H109" s="540">
        <v>94</v>
      </c>
      <c r="I109" s="540">
        <v>96</v>
      </c>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1913</v>
      </c>
      <c r="C110" s="3459" t="s">
        <v>3514</v>
      </c>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7">C111-$K35</f>
        <v>99</v>
      </c>
      <c r="E111" s="493">
        <f t="shared" si="27"/>
        <v>98</v>
      </c>
      <c r="F111" s="493">
        <f t="shared" si="27"/>
        <v>97</v>
      </c>
      <c r="G111" s="493">
        <f t="shared" si="27"/>
        <v>96</v>
      </c>
      <c r="H111" s="493">
        <f t="shared" si="27"/>
        <v>95</v>
      </c>
      <c r="I111" s="493">
        <f t="shared" si="27"/>
        <v>94</v>
      </c>
      <c r="J111" s="493">
        <f t="shared" si="27"/>
        <v>93</v>
      </c>
      <c r="K111" s="493">
        <f t="shared" si="27"/>
        <v>92</v>
      </c>
      <c r="L111" s="493">
        <f t="shared" si="27"/>
        <v>91</v>
      </c>
      <c r="M111" s="494">
        <f t="shared" si="27"/>
        <v>90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1915</v>
      </c>
      <c r="C112" s="3460" t="s">
        <v>3515</v>
      </c>
      <c r="D112" s="3460" t="s">
        <v>3516</v>
      </c>
      <c r="E112" s="3460" t="s">
        <v>3517</v>
      </c>
      <c r="F112" s="3460" t="s">
        <v>3519</v>
      </c>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8">C113-$K36</f>
        <v>99</v>
      </c>
      <c r="E113" s="493">
        <f t="shared" si="28"/>
        <v>98</v>
      </c>
      <c r="F113" s="493">
        <f t="shared" si="28"/>
        <v>97</v>
      </c>
      <c r="G113" s="493">
        <f t="shared" si="28"/>
        <v>96</v>
      </c>
      <c r="H113" s="493">
        <f t="shared" si="28"/>
        <v>95</v>
      </c>
      <c r="I113" s="493">
        <f t="shared" si="28"/>
        <v>94</v>
      </c>
      <c r="J113" s="493">
        <f t="shared" si="28"/>
        <v>93</v>
      </c>
      <c r="K113" s="493">
        <f t="shared" si="28"/>
        <v>92</v>
      </c>
      <c r="L113" s="493">
        <f t="shared" si="28"/>
        <v>91</v>
      </c>
      <c r="M113" s="494">
        <f t="shared" si="28"/>
        <v>90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1916</v>
      </c>
      <c r="C114" s="3460" t="s">
        <v>3520</v>
      </c>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9">C115-$K37</f>
        <v>99</v>
      </c>
      <c r="E115" s="493">
        <f t="shared" si="29"/>
        <v>98</v>
      </c>
      <c r="F115" s="493">
        <f t="shared" si="29"/>
        <v>97</v>
      </c>
      <c r="G115" s="493">
        <f t="shared" si="29"/>
        <v>96</v>
      </c>
      <c r="H115" s="493">
        <f t="shared" si="29"/>
        <v>95</v>
      </c>
      <c r="I115" s="493">
        <f t="shared" si="29"/>
        <v>94</v>
      </c>
      <c r="J115" s="493">
        <f t="shared" si="29"/>
        <v>93</v>
      </c>
      <c r="K115" s="493">
        <f t="shared" si="29"/>
        <v>92</v>
      </c>
      <c r="L115" s="493">
        <f t="shared" si="29"/>
        <v>91</v>
      </c>
      <c r="M115" s="494">
        <f t="shared" si="29"/>
        <v>90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Q72" sqref="Q72"/>
      <selection pane="bottomLeft" activeCell="Q72" sqref="Q72"/>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2081</v>
      </c>
      <c r="C1" s="3746" t="s">
        <v>2082</v>
      </c>
      <c r="D1" s="3747"/>
      <c r="E1" s="3747"/>
      <c r="F1" s="3747"/>
      <c r="G1" s="3747"/>
      <c r="H1" s="3747"/>
      <c r="I1" s="3747"/>
      <c r="J1" s="3747"/>
      <c r="K1" s="3747"/>
      <c r="L1" s="3747"/>
      <c r="M1" s="3747"/>
      <c r="N1" s="3747"/>
      <c r="O1" s="3747"/>
      <c r="P1" s="3747"/>
      <c r="Q1" s="3747"/>
      <c r="R1" s="3747"/>
      <c r="S1" s="3748"/>
      <c r="T1" s="983" t="s">
        <v>2083</v>
      </c>
    </row>
    <row r="2" spans="1:45" s="655" customFormat="1">
      <c r="A2" s="984"/>
      <c r="B2" s="651" t="s">
        <v>2084</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2085</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2086</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2087</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2088</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2089</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2090</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2091</v>
      </c>
      <c r="B17" s="2149" t="s">
        <v>2092</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2093</v>
      </c>
      <c r="E19" s="1340"/>
      <c r="F19" s="1340"/>
      <c r="G19" s="1340"/>
      <c r="H19" s="1059"/>
      <c r="I19" s="159"/>
      <c r="J19" s="159"/>
      <c r="K19" s="159"/>
      <c r="L19" s="159"/>
      <c r="M19" s="159"/>
      <c r="N19" s="159"/>
      <c r="O19" s="159"/>
      <c r="P19" s="159"/>
      <c r="Q19" s="159"/>
      <c r="R19" s="718"/>
      <c r="S19" s="129"/>
    </row>
    <row r="20" spans="1:45" ht="16.5" thickBot="1">
      <c r="A20" s="662" t="s">
        <v>2094</v>
      </c>
      <c r="B20" s="294" t="e">
        <f ca="1">IF(D20="——",S22,S22-F20)</f>
        <v>#REF!</v>
      </c>
      <c r="C20" s="159"/>
      <c r="D20" s="2151"/>
      <c r="E20" s="1341"/>
      <c r="F20" s="983" t="e">
        <f ca="1">SUMIF(INDIRECT("'"&amp;H20&amp;"'"&amp;"!A:A"),"承租人权益价值",INDIRECT("'"&amp;H20&amp;"'"&amp;"!c:c"))</f>
        <v>#REF!</v>
      </c>
      <c r="G20" s="983" t="s">
        <v>2095</v>
      </c>
      <c r="H20" s="2152"/>
      <c r="I20" s="159"/>
      <c r="J20" s="159"/>
      <c r="K20" s="159"/>
      <c r="L20" s="159"/>
      <c r="M20" s="159"/>
      <c r="N20" s="159"/>
      <c r="O20" s="159"/>
      <c r="P20" s="159"/>
      <c r="Q20" s="159"/>
      <c r="R20" s="718"/>
      <c r="S20" s="129"/>
    </row>
    <row r="21" spans="1:45" ht="15.75">
      <c r="A21" s="662" t="s">
        <v>2096</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2097</v>
      </c>
      <c r="B22" s="21">
        <f>SUM(B24:B10000)</f>
        <v>0</v>
      </c>
      <c r="C22" s="3743" t="s">
        <v>27</v>
      </c>
      <c r="D22" s="3744"/>
      <c r="E22" s="3744"/>
      <c r="F22" s="3744"/>
      <c r="G22" s="3744"/>
      <c r="H22" s="3744"/>
      <c r="I22" s="3744"/>
      <c r="J22" s="3744"/>
      <c r="K22" s="3744"/>
      <c r="L22" s="3744"/>
      <c r="M22" s="3744"/>
      <c r="N22" s="3744"/>
      <c r="O22" s="3744"/>
      <c r="P22" s="3744"/>
      <c r="Q22" s="3745"/>
      <c r="R22" s="663" t="e">
        <f>ROUND(S22*10000/B22,0)</f>
        <v>#DIV/0!</v>
      </c>
      <c r="S22" s="21">
        <f>SUM(S24:S10000)</f>
        <v>0</v>
      </c>
    </row>
    <row r="23" spans="1:45" s="9" customFormat="1" ht="24">
      <c r="A23" s="8" t="s">
        <v>2098</v>
      </c>
      <c r="B23" s="8" t="s">
        <v>2099</v>
      </c>
      <c r="C23" s="8" t="s">
        <v>2100</v>
      </c>
      <c r="D23" s="8" t="str">
        <f>B5</f>
        <v>修正项2</v>
      </c>
      <c r="E23" s="8" t="s">
        <v>2100</v>
      </c>
      <c r="F23" s="8" t="str">
        <f>B7</f>
        <v>修正项3</v>
      </c>
      <c r="G23" s="8" t="s">
        <v>2100</v>
      </c>
      <c r="H23" s="8" t="str">
        <f>B9</f>
        <v>修正项4</v>
      </c>
      <c r="I23" s="8" t="s">
        <v>2100</v>
      </c>
      <c r="J23" s="8" t="str">
        <f>B11</f>
        <v>修正项5</v>
      </c>
      <c r="K23" s="8" t="s">
        <v>2100</v>
      </c>
      <c r="L23" s="8" t="str">
        <f>B13</f>
        <v>修正项6</v>
      </c>
      <c r="M23" s="8" t="s">
        <v>2100</v>
      </c>
      <c r="N23" s="8" t="str">
        <f>B15</f>
        <v>修正项7</v>
      </c>
      <c r="O23" s="8" t="s">
        <v>2100</v>
      </c>
      <c r="P23" s="8" t="str">
        <f>B17</f>
        <v>楼层</v>
      </c>
      <c r="Q23" s="8" t="s">
        <v>2100</v>
      </c>
      <c r="R23" s="664" t="s">
        <v>2101</v>
      </c>
      <c r="S23" s="8" t="s">
        <v>2102</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2103</v>
      </c>
      <c r="B24" s="665"/>
      <c r="C24" s="2808">
        <v>1</v>
      </c>
      <c r="D24" s="2809"/>
      <c r="E24" s="2808">
        <v>1</v>
      </c>
      <c r="F24" s="2809"/>
      <c r="G24" s="2808">
        <v>1</v>
      </c>
      <c r="H24" s="2809"/>
      <c r="I24" s="2808">
        <v>1</v>
      </c>
      <c r="J24" s="2809"/>
      <c r="K24" s="2808">
        <v>1</v>
      </c>
      <c r="L24" s="2809"/>
      <c r="M24" s="2808">
        <v>1</v>
      </c>
      <c r="N24" s="2809"/>
      <c r="O24" s="2808">
        <v>1</v>
      </c>
      <c r="P24" s="2809"/>
      <c r="Q24" s="2808">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2079</v>
      </c>
      <c r="B1" s="2147"/>
      <c r="C1" s="2147"/>
      <c r="D1" s="2147"/>
      <c r="E1" s="2147"/>
      <c r="F1" s="2791"/>
      <c r="G1" s="2791"/>
      <c r="H1" s="2791"/>
      <c r="I1" s="2791"/>
      <c r="J1" s="2791"/>
      <c r="K1" s="2791"/>
      <c r="L1" s="2791"/>
      <c r="M1" s="2791"/>
      <c r="N1" s="2791"/>
      <c r="O1" s="2791"/>
      <c r="P1" s="2791"/>
    </row>
    <row r="2" spans="1:16" ht="15.75">
      <c r="A2" s="2145" t="s">
        <v>2071</v>
      </c>
      <c r="B2" s="2600">
        <f ca="1">SUMIF(B6:B13,"&lt;&gt;#ref!",B6:B13)</f>
        <v>2433</v>
      </c>
      <c r="C2" s="2145" t="s">
        <v>2072</v>
      </c>
      <c r="D2" s="2145" t="s">
        <v>2073</v>
      </c>
      <c r="E2" s="2610">
        <f ca="1">SUMIF(E6:E13,"&lt;&gt;#ref!",E6:E13)</f>
        <v>23601.7</v>
      </c>
      <c r="F2" s="2791"/>
      <c r="G2" s="2791"/>
      <c r="H2" s="2791"/>
      <c r="I2" s="2791"/>
      <c r="J2" s="2791"/>
      <c r="K2" s="2791"/>
      <c r="L2" s="2791"/>
      <c r="M2" s="2791"/>
      <c r="N2" s="2791"/>
      <c r="O2" s="2791"/>
      <c r="P2" s="2791"/>
    </row>
    <row r="3" spans="1:16" ht="15.75">
      <c r="A3" s="2145" t="s">
        <v>2074</v>
      </c>
      <c r="B3" s="2600">
        <f ca="1">ROUND(B2*10000/E2,0)</f>
        <v>1031</v>
      </c>
      <c r="C3" s="2145" t="s">
        <v>2080</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2075</v>
      </c>
      <c r="B5" s="2608" t="s">
        <v>2076</v>
      </c>
      <c r="C5" s="2146"/>
      <c r="D5" s="2791"/>
      <c r="E5" s="2609" t="s">
        <v>2077</v>
      </c>
      <c r="F5" s="2791"/>
      <c r="G5" s="2791"/>
      <c r="H5" s="2791"/>
      <c r="I5" s="2791"/>
      <c r="J5" s="2791"/>
      <c r="K5" s="2791"/>
      <c r="L5" s="2791"/>
      <c r="M5" s="2791"/>
      <c r="N5" s="2791"/>
      <c r="O5" s="2791"/>
      <c r="P5" s="2791"/>
    </row>
    <row r="6" spans="1:16" ht="15.75">
      <c r="A6" s="2607" t="s">
        <v>2078</v>
      </c>
      <c r="B6" s="2600">
        <f ca="1">SUMIF(INDIRECT("'"&amp;A6&amp;"'"&amp;"!A:A"),"总价",INDIRECT("'"&amp;A6&amp;"'"&amp;"!B:B"))</f>
        <v>2433</v>
      </c>
      <c r="C6" s="2145" t="s">
        <v>2072</v>
      </c>
      <c r="D6" s="2791"/>
      <c r="E6" s="2610">
        <f ca="1">SUMIF(INDIRECT("'"&amp;A6&amp;"'"&amp;"!C:C"),"建筑面积",INDIRECT("'"&amp;A6&amp;"'"&amp;"!D:D"))</f>
        <v>23601.7</v>
      </c>
      <c r="F6" s="2791"/>
      <c r="G6" s="2791"/>
      <c r="H6" s="2791"/>
      <c r="I6" s="2791"/>
      <c r="J6" s="2791"/>
      <c r="K6" s="2791"/>
      <c r="L6" s="2791"/>
      <c r="M6" s="2791"/>
      <c r="N6" s="2791"/>
      <c r="O6" s="2791"/>
      <c r="P6" s="2791"/>
    </row>
    <row r="7" spans="1:16" ht="15.75">
      <c r="A7" s="2607"/>
      <c r="B7" s="2600" t="e">
        <f ca="1">SUMIF(INDIRECT("'"&amp;A7&amp;"'"&amp;"!A:A"),"总价",INDIRECT("'"&amp;A7&amp;"'"&amp;"!B:B"))</f>
        <v>#REF!</v>
      </c>
      <c r="C7" s="2145" t="s">
        <v>2072</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5" t="s">
        <v>2072</v>
      </c>
      <c r="D8" s="2791"/>
      <c r="E8" s="2610" t="e">
        <f t="shared" ca="1" si="0"/>
        <v>#REF!</v>
      </c>
      <c r="F8" s="2791"/>
      <c r="G8" s="2791"/>
      <c r="H8" s="2791"/>
      <c r="I8" s="2791"/>
      <c r="J8" s="2791"/>
      <c r="K8" s="2791"/>
      <c r="L8" s="2791"/>
      <c r="M8" s="2791"/>
      <c r="N8" s="2791"/>
      <c r="O8" s="2791"/>
      <c r="P8" s="2791"/>
    </row>
    <row r="9" spans="1:16" ht="15.75">
      <c r="A9" s="2607"/>
      <c r="B9" s="2600" t="e">
        <f t="shared" ca="1" si="1"/>
        <v>#REF!</v>
      </c>
      <c r="C9" s="2145" t="s">
        <v>2072</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5" t="s">
        <v>2072</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5" t="s">
        <v>2072</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5" t="s">
        <v>2072</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5" t="s">
        <v>2072</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6"/>
  <sheetViews>
    <sheetView zoomScale="85" zoomScaleNormal="85" workbookViewId="0">
      <selection activeCell="N6" sqref="N6"/>
    </sheetView>
  </sheetViews>
  <sheetFormatPr defaultRowHeight="13.5"/>
  <cols>
    <col min="1" max="2" width="20" style="3452" customWidth="1"/>
    <col min="3" max="3" width="7.625" style="3452" customWidth="1"/>
    <col min="4" max="4" width="8.625" style="3452" customWidth="1"/>
    <col min="5" max="5" width="8.25" style="3452" customWidth="1"/>
    <col min="6" max="6" width="6.625" style="3452" customWidth="1"/>
    <col min="7" max="7" width="9.25" style="3452" customWidth="1"/>
    <col min="8" max="8" width="13.5" style="3452" customWidth="1"/>
    <col min="9" max="9" width="12" style="3452" customWidth="1"/>
    <col min="10" max="10" width="11.375" style="3452" customWidth="1"/>
    <col min="11" max="11" width="8.25" style="3452" customWidth="1"/>
    <col min="12" max="12" width="12.25" style="3452" customWidth="1"/>
    <col min="13" max="13" width="10.875" style="3452" customWidth="1"/>
    <col min="14" max="14" width="10.125" style="3452" customWidth="1"/>
    <col min="15" max="15" width="9.375" style="3452" customWidth="1"/>
    <col min="16" max="16" width="13.625" style="3452" customWidth="1"/>
    <col min="17" max="17" width="20" style="3452" customWidth="1"/>
    <col min="18" max="16384" width="9" style="3452"/>
  </cols>
  <sheetData>
    <row r="1" spans="1:16">
      <c r="A1" s="3452" t="s">
        <v>3430</v>
      </c>
      <c r="B1" s="3452" t="s">
        <v>3431</v>
      </c>
      <c r="C1" s="3452" t="s">
        <v>3432</v>
      </c>
      <c r="D1" s="3452" t="s">
        <v>3433</v>
      </c>
      <c r="E1" s="3452" t="s">
        <v>3434</v>
      </c>
      <c r="F1" s="3452" t="s">
        <v>3435</v>
      </c>
      <c r="G1" s="3452" t="s">
        <v>3436</v>
      </c>
      <c r="H1" s="3452" t="s">
        <v>3437</v>
      </c>
      <c r="I1" s="3452" t="s">
        <v>3438</v>
      </c>
      <c r="J1" s="3452" t="s">
        <v>3439</v>
      </c>
      <c r="K1" s="3452" t="s">
        <v>3440</v>
      </c>
      <c r="L1" s="3452" t="s">
        <v>3441</v>
      </c>
      <c r="M1" s="3452" t="s">
        <v>3442</v>
      </c>
      <c r="N1" s="3452" t="s">
        <v>3443</v>
      </c>
      <c r="O1" s="3452" t="s">
        <v>3444</v>
      </c>
      <c r="P1" s="3452" t="s">
        <v>3445</v>
      </c>
    </row>
    <row r="2" spans="1:16" s="3456" customFormat="1">
      <c r="A2" s="3456" t="s">
        <v>3446</v>
      </c>
      <c r="B2" s="3456" t="s">
        <v>3447</v>
      </c>
      <c r="C2" s="3456" t="s">
        <v>3448</v>
      </c>
      <c r="D2" s="3456" t="s">
        <v>2480</v>
      </c>
      <c r="E2" s="3456" t="s">
        <v>3449</v>
      </c>
      <c r="F2" s="3456" t="s">
        <v>3450</v>
      </c>
      <c r="G2" s="3456" t="s">
        <v>3451</v>
      </c>
      <c r="H2" s="3456">
        <v>20000</v>
      </c>
      <c r="I2" s="3456">
        <v>20000</v>
      </c>
      <c r="J2" s="3456" t="s">
        <v>3452</v>
      </c>
      <c r="K2" s="3456">
        <v>2284.42</v>
      </c>
      <c r="L2" s="3457">
        <v>44742.000497685185</v>
      </c>
      <c r="M2" s="3456">
        <v>2284.42</v>
      </c>
      <c r="N2" s="3456">
        <v>1142</v>
      </c>
      <c r="O2" s="3456">
        <v>0</v>
      </c>
      <c r="P2" s="3456" t="s">
        <v>3453</v>
      </c>
    </row>
    <row r="3" spans="1:16" s="3456" customFormat="1">
      <c r="A3" s="3456" t="s">
        <v>3454</v>
      </c>
      <c r="B3" s="3456" t="s">
        <v>3455</v>
      </c>
      <c r="C3" s="3456" t="s">
        <v>3448</v>
      </c>
      <c r="D3" s="3456" t="s">
        <v>2480</v>
      </c>
      <c r="E3" s="3456" t="s">
        <v>3449</v>
      </c>
      <c r="F3" s="3456" t="s">
        <v>3456</v>
      </c>
      <c r="G3" s="3456" t="s">
        <v>3457</v>
      </c>
      <c r="H3" s="3456">
        <v>86233.23</v>
      </c>
      <c r="I3" s="3456">
        <v>57488.82</v>
      </c>
      <c r="J3" s="3456" t="s">
        <v>3458</v>
      </c>
      <c r="K3" s="3456">
        <v>7835.68</v>
      </c>
      <c r="L3" s="3457">
        <v>44480.000497685185</v>
      </c>
      <c r="M3" s="3456">
        <v>7835.68</v>
      </c>
      <c r="N3" s="3456">
        <v>909</v>
      </c>
      <c r="O3" s="3456">
        <v>0</v>
      </c>
      <c r="P3" s="3456" t="s">
        <v>3459</v>
      </c>
    </row>
    <row r="4" spans="1:16" s="3456" customFormat="1">
      <c r="A4" s="3456" t="s">
        <v>3460</v>
      </c>
      <c r="B4" s="3456" t="s">
        <v>3461</v>
      </c>
      <c r="C4" s="3456" t="s">
        <v>3448</v>
      </c>
      <c r="D4" s="3456" t="s">
        <v>2480</v>
      </c>
      <c r="E4" s="3456" t="s">
        <v>3449</v>
      </c>
      <c r="F4" s="3456" t="s">
        <v>3462</v>
      </c>
      <c r="G4" s="3456" t="s">
        <v>3457</v>
      </c>
      <c r="H4" s="3456">
        <v>5937.95</v>
      </c>
      <c r="I4" s="3456">
        <v>7422.43</v>
      </c>
      <c r="J4" s="3456" t="s">
        <v>3458</v>
      </c>
      <c r="K4" s="3456">
        <v>844.63</v>
      </c>
      <c r="L4" s="3457">
        <v>44480.000497685185</v>
      </c>
      <c r="M4" s="3456">
        <v>844.63</v>
      </c>
      <c r="N4" s="3456">
        <v>1422</v>
      </c>
      <c r="O4" s="3456">
        <v>0</v>
      </c>
      <c r="P4" s="3456" t="s">
        <v>3463</v>
      </c>
    </row>
    <row r="5" spans="1:16" s="3454" customFormat="1">
      <c r="A5" s="3454" t="s">
        <v>3464</v>
      </c>
      <c r="B5" s="3454" t="s">
        <v>3465</v>
      </c>
      <c r="C5" s="3454" t="s">
        <v>3448</v>
      </c>
      <c r="D5" s="3454" t="s">
        <v>2480</v>
      </c>
      <c r="E5" s="3454" t="s">
        <v>3449</v>
      </c>
      <c r="F5" s="3454">
        <v>1</v>
      </c>
      <c r="G5" s="3454" t="s">
        <v>3457</v>
      </c>
      <c r="H5" s="3454">
        <v>23652.31</v>
      </c>
      <c r="I5" s="3454">
        <v>23652.31</v>
      </c>
      <c r="J5" s="3454" t="s">
        <v>3458</v>
      </c>
      <c r="K5" s="3454">
        <v>2689.6</v>
      </c>
      <c r="L5" s="3455">
        <v>44480.000497685185</v>
      </c>
      <c r="M5" s="3454">
        <v>2689.6</v>
      </c>
      <c r="N5" s="3454">
        <v>1137</v>
      </c>
      <c r="O5" s="3454">
        <v>0</v>
      </c>
      <c r="P5" s="3454" t="s">
        <v>3466</v>
      </c>
    </row>
    <row r="6" spans="1:16" s="3456" customFormat="1">
      <c r="A6" s="3456" t="s">
        <v>3467</v>
      </c>
      <c r="B6" s="3456" t="s">
        <v>3468</v>
      </c>
      <c r="C6" s="3456" t="s">
        <v>3448</v>
      </c>
      <c r="D6" s="3456" t="s">
        <v>2480</v>
      </c>
      <c r="E6" s="3456" t="s">
        <v>3449</v>
      </c>
      <c r="F6" s="3456">
        <v>1</v>
      </c>
      <c r="G6" s="3456" t="s">
        <v>3457</v>
      </c>
      <c r="H6" s="3456">
        <v>23170.400000000001</v>
      </c>
      <c r="I6" s="3456">
        <v>23170.400000000001</v>
      </c>
      <c r="J6" s="3456" t="s">
        <v>3458</v>
      </c>
      <c r="K6" s="3456">
        <v>2632.78</v>
      </c>
      <c r="L6" s="3457">
        <v>44480.000497685185</v>
      </c>
      <c r="M6" s="3456">
        <v>2632.78</v>
      </c>
      <c r="N6" s="3456">
        <v>1136</v>
      </c>
      <c r="O6" s="3456">
        <v>0</v>
      </c>
      <c r="P6" s="3456" t="s">
        <v>3463</v>
      </c>
    </row>
    <row r="7" spans="1:16">
      <c r="A7" s="3452" t="s">
        <v>3469</v>
      </c>
      <c r="B7" s="3452" t="s">
        <v>3470</v>
      </c>
      <c r="C7" s="3452" t="s">
        <v>3448</v>
      </c>
      <c r="D7" s="3452" t="s">
        <v>2480</v>
      </c>
      <c r="E7" s="3452" t="s">
        <v>3449</v>
      </c>
      <c r="F7" s="3452" t="s">
        <v>3456</v>
      </c>
      <c r="G7" s="3452" t="s">
        <v>3451</v>
      </c>
      <c r="H7" s="3452">
        <v>10174.16</v>
      </c>
      <c r="I7" s="3452">
        <v>6782.77</v>
      </c>
      <c r="J7" s="3452" t="s">
        <v>3471</v>
      </c>
      <c r="K7" s="3452">
        <v>768.15</v>
      </c>
      <c r="L7" s="3453">
        <v>44433.000497685185</v>
      </c>
      <c r="M7" s="3452">
        <v>768.15</v>
      </c>
      <c r="N7" s="3452">
        <v>755</v>
      </c>
      <c r="O7" s="3452">
        <v>0</v>
      </c>
      <c r="P7" s="3452" t="s">
        <v>3472</v>
      </c>
    </row>
    <row r="8" spans="1:16">
      <c r="A8" s="3452" t="s">
        <v>3473</v>
      </c>
      <c r="B8" s="3452" t="s">
        <v>3474</v>
      </c>
      <c r="C8" s="3452" t="s">
        <v>3448</v>
      </c>
      <c r="D8" s="3452" t="s">
        <v>2480</v>
      </c>
      <c r="E8" s="3452" t="s">
        <v>3449</v>
      </c>
      <c r="F8" s="3452" t="s">
        <v>3475</v>
      </c>
      <c r="G8" s="3452" t="s">
        <v>3476</v>
      </c>
      <c r="H8" s="3452">
        <v>53289.96</v>
      </c>
      <c r="I8" s="3452">
        <v>26644.98</v>
      </c>
      <c r="J8" s="3452" t="s">
        <v>3477</v>
      </c>
      <c r="K8" s="3452">
        <v>3744.24</v>
      </c>
      <c r="L8" s="3453">
        <v>44139.000497685185</v>
      </c>
      <c r="M8" s="3452">
        <v>3744.24</v>
      </c>
      <c r="N8" s="3452">
        <v>703</v>
      </c>
      <c r="O8" s="3452">
        <v>0</v>
      </c>
      <c r="P8" s="3452" t="s">
        <v>3478</v>
      </c>
    </row>
    <row r="9" spans="1:16">
      <c r="A9" s="3452" t="s">
        <v>3479</v>
      </c>
      <c r="B9" s="3452" t="s">
        <v>3480</v>
      </c>
      <c r="C9" s="3452" t="s">
        <v>3448</v>
      </c>
      <c r="D9" s="3452" t="s">
        <v>2480</v>
      </c>
      <c r="E9" s="3452" t="s">
        <v>3449</v>
      </c>
      <c r="F9" s="3452" t="s">
        <v>3456</v>
      </c>
      <c r="G9" s="3452" t="s">
        <v>3476</v>
      </c>
      <c r="H9" s="3452">
        <v>101298</v>
      </c>
      <c r="I9" s="3452">
        <v>67532.14</v>
      </c>
      <c r="J9" s="3452" t="s">
        <v>3477</v>
      </c>
      <c r="K9" s="3452">
        <v>7574.07</v>
      </c>
      <c r="L9" s="3453">
        <v>44139.000497685185</v>
      </c>
      <c r="M9" s="3452">
        <v>7574.07</v>
      </c>
      <c r="N9" s="3452">
        <v>748</v>
      </c>
      <c r="O9" s="3452">
        <v>0</v>
      </c>
      <c r="P9" s="3452" t="s">
        <v>3481</v>
      </c>
    </row>
    <row r="10" spans="1:16">
      <c r="A10" s="3452" t="s">
        <v>3482</v>
      </c>
      <c r="B10" s="3452" t="s">
        <v>3483</v>
      </c>
      <c r="C10" s="3452" t="s">
        <v>3448</v>
      </c>
      <c r="D10" s="3452" t="s">
        <v>2480</v>
      </c>
      <c r="E10" s="3452" t="s">
        <v>3449</v>
      </c>
      <c r="F10" s="3452" t="s">
        <v>3475</v>
      </c>
      <c r="G10" s="3452" t="s">
        <v>3484</v>
      </c>
      <c r="H10" s="3452">
        <v>39967.440000000002</v>
      </c>
      <c r="I10" s="3452">
        <v>19983.72</v>
      </c>
      <c r="J10" s="3452" t="s">
        <v>3485</v>
      </c>
      <c r="K10" s="3452">
        <v>2805.96</v>
      </c>
      <c r="L10" s="3453">
        <v>44041.000497685185</v>
      </c>
      <c r="M10" s="3452">
        <v>2805.96</v>
      </c>
      <c r="N10" s="3452">
        <v>702</v>
      </c>
      <c r="O10" s="3452">
        <v>0</v>
      </c>
      <c r="P10" s="3452" t="s">
        <v>3486</v>
      </c>
    </row>
    <row r="11" spans="1:16">
      <c r="A11" s="3452" t="s">
        <v>3487</v>
      </c>
      <c r="B11" s="3452" t="s">
        <v>3488</v>
      </c>
      <c r="C11" s="3452" t="s">
        <v>3448</v>
      </c>
      <c r="D11" s="3452" t="s">
        <v>2480</v>
      </c>
      <c r="E11" s="3452" t="s">
        <v>3449</v>
      </c>
      <c r="F11" s="3452" t="s">
        <v>3475</v>
      </c>
      <c r="G11" s="3452" t="s">
        <v>3476</v>
      </c>
      <c r="H11" s="3452">
        <v>39967.440000000002</v>
      </c>
      <c r="I11" s="3452">
        <v>19983.72</v>
      </c>
      <c r="J11" s="3452" t="s">
        <v>3489</v>
      </c>
      <c r="K11" s="3452">
        <v>2801.12</v>
      </c>
      <c r="L11" s="3453">
        <v>43972.000497685185</v>
      </c>
      <c r="M11" s="3452">
        <v>2801.12</v>
      </c>
      <c r="N11" s="3452">
        <v>701</v>
      </c>
      <c r="O11" s="3452">
        <v>0</v>
      </c>
      <c r="P11" s="3452" t="s">
        <v>3490</v>
      </c>
    </row>
    <row r="12" spans="1:16">
      <c r="A12" s="3452" t="s">
        <v>3491</v>
      </c>
      <c r="B12" s="3452" t="s">
        <v>3492</v>
      </c>
      <c r="C12" s="3452" t="s">
        <v>3448</v>
      </c>
      <c r="D12" s="3452" t="s">
        <v>2480</v>
      </c>
      <c r="E12" s="3452" t="s">
        <v>3449</v>
      </c>
      <c r="F12" s="3452" t="s">
        <v>3456</v>
      </c>
      <c r="G12" s="3452" t="s">
        <v>3493</v>
      </c>
      <c r="H12" s="3452">
        <v>16915</v>
      </c>
      <c r="I12" s="3452">
        <v>11276.71</v>
      </c>
      <c r="J12" s="3452" t="s">
        <v>3494</v>
      </c>
      <c r="K12" s="3452">
        <v>1211.82</v>
      </c>
      <c r="L12" s="3453">
        <v>43927.000497685185</v>
      </c>
      <c r="M12" s="3452">
        <v>1211.82</v>
      </c>
      <c r="N12" s="3452">
        <v>716</v>
      </c>
      <c r="O12" s="3452">
        <v>0</v>
      </c>
      <c r="P12" s="3452" t="s">
        <v>3495</v>
      </c>
    </row>
    <row r="13" spans="1:16">
      <c r="A13" s="3452" t="s">
        <v>3496</v>
      </c>
      <c r="B13" s="3452" t="s">
        <v>3497</v>
      </c>
      <c r="C13" s="3452" t="s">
        <v>3448</v>
      </c>
      <c r="D13" s="3452" t="s">
        <v>2480</v>
      </c>
      <c r="E13" s="3452" t="s">
        <v>3449</v>
      </c>
      <c r="F13" s="3452" t="s">
        <v>3456</v>
      </c>
      <c r="G13" s="3452" t="s">
        <v>3476</v>
      </c>
      <c r="H13" s="3452">
        <v>28440</v>
      </c>
      <c r="I13" s="3452">
        <v>18959.82</v>
      </c>
      <c r="J13" s="3452" t="s">
        <v>3498</v>
      </c>
      <c r="K13" s="3452">
        <v>3118.97</v>
      </c>
      <c r="L13" s="3453">
        <v>43821.000497685185</v>
      </c>
      <c r="M13" s="3452">
        <v>3118.97</v>
      </c>
      <c r="N13" s="3452">
        <v>1097</v>
      </c>
      <c r="O13" s="3452">
        <v>0</v>
      </c>
      <c r="P13" s="3452" t="s">
        <v>3499</v>
      </c>
    </row>
    <row r="14" spans="1:16">
      <c r="A14" s="3452" t="s">
        <v>3500</v>
      </c>
      <c r="B14" s="3452" t="s">
        <v>3501</v>
      </c>
      <c r="C14" s="3452" t="s">
        <v>3448</v>
      </c>
      <c r="D14" s="3452" t="s">
        <v>2480</v>
      </c>
      <c r="E14" s="3452" t="s">
        <v>3449</v>
      </c>
      <c r="F14" s="3452">
        <v>1.5</v>
      </c>
      <c r="G14" s="3452" t="s">
        <v>3493</v>
      </c>
      <c r="H14" s="3452">
        <v>156658</v>
      </c>
      <c r="I14" s="3452">
        <v>104438.5</v>
      </c>
      <c r="J14" s="3452" t="s">
        <v>3502</v>
      </c>
      <c r="K14" s="3452">
        <v>16825.07</v>
      </c>
      <c r="L14" s="3453">
        <v>43482.000497685185</v>
      </c>
      <c r="M14" s="3452">
        <v>16825.07</v>
      </c>
      <c r="N14" s="3452">
        <v>1074</v>
      </c>
      <c r="O14" s="3452">
        <v>0</v>
      </c>
      <c r="P14" s="3452" t="s">
        <v>3503</v>
      </c>
    </row>
    <row r="15" spans="1:16">
      <c r="A15" s="3452" t="s">
        <v>3504</v>
      </c>
      <c r="B15" s="3452" t="s">
        <v>3505</v>
      </c>
      <c r="C15" s="3452" t="s">
        <v>3448</v>
      </c>
      <c r="D15" s="3452" t="s">
        <v>2480</v>
      </c>
      <c r="E15" s="3452" t="s">
        <v>3449</v>
      </c>
      <c r="F15" s="3452">
        <v>1.5</v>
      </c>
      <c r="G15" s="3452" t="s">
        <v>3493</v>
      </c>
      <c r="H15" s="3452">
        <v>135020</v>
      </c>
      <c r="I15" s="3452">
        <v>90013.22</v>
      </c>
      <c r="J15" s="3452" t="s">
        <v>3502</v>
      </c>
      <c r="K15" s="3452">
        <v>13936.73</v>
      </c>
      <c r="L15" s="3453">
        <v>43482.000497685185</v>
      </c>
      <c r="M15" s="3452">
        <v>13936.73</v>
      </c>
      <c r="N15" s="3452">
        <v>1032</v>
      </c>
      <c r="O15" s="3452">
        <v>0</v>
      </c>
      <c r="P15" s="3452" t="s">
        <v>3506</v>
      </c>
    </row>
    <row r="16" spans="1:16">
      <c r="A16" s="3452" t="s">
        <v>3507</v>
      </c>
      <c r="B16" s="3452" t="s">
        <v>3508</v>
      </c>
      <c r="C16" s="3452" t="s">
        <v>3448</v>
      </c>
      <c r="D16" s="3452" t="s">
        <v>2480</v>
      </c>
      <c r="E16" s="3452" t="s">
        <v>3449</v>
      </c>
      <c r="F16" s="3452">
        <v>1</v>
      </c>
      <c r="G16" s="3452" t="s">
        <v>3493</v>
      </c>
      <c r="H16" s="3452">
        <v>18550</v>
      </c>
      <c r="I16" s="3452">
        <v>18550.189999999999</v>
      </c>
      <c r="J16" s="3452" t="s">
        <v>3509</v>
      </c>
      <c r="K16" s="3452">
        <v>2221.27</v>
      </c>
      <c r="L16" s="3453">
        <v>43463.000497685185</v>
      </c>
      <c r="M16" s="3452">
        <v>2221.27</v>
      </c>
      <c r="N16" s="3452">
        <v>1197</v>
      </c>
      <c r="O16" s="3452">
        <v>0</v>
      </c>
      <c r="P16" s="3452" t="s">
        <v>3463</v>
      </c>
    </row>
  </sheetData>
  <phoneticPr fontId="13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G90" sqref="G90"/>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1924</v>
      </c>
      <c r="B1" s="197"/>
      <c r="C1" s="201" t="s">
        <v>1925</v>
      </c>
      <c r="D1" s="342">
        <f>SUM(D33:D34,D37:D42)</f>
        <v>23601.7</v>
      </c>
      <c r="E1" s="1995"/>
      <c r="F1" s="1995"/>
      <c r="G1" s="1995"/>
      <c r="H1" s="1995"/>
      <c r="I1" s="1995"/>
      <c r="J1" s="1995"/>
      <c r="K1" s="1119"/>
      <c r="L1" s="1996" t="s">
        <v>1926</v>
      </c>
      <c r="M1" s="863">
        <f>SUMPRODUCT((区片价!B5:B9=I2)*(区片价!C3:G3=E2)*(区片价!C5:G9))</f>
        <v>0</v>
      </c>
      <c r="N1" s="866">
        <f>SUMPRODUCT((因素修正幅度!B5:B9=I2)*(因素修正幅度!C3:G3=E2)*(因素修正幅度!C5:G9))</f>
        <v>0</v>
      </c>
      <c r="O1" s="1997"/>
      <c r="P1" s="1997"/>
      <c r="Q1" s="1119"/>
      <c r="R1" s="1212" t="s">
        <v>1927</v>
      </c>
      <c r="S1" s="1212" t="s">
        <v>1928</v>
      </c>
      <c r="T1" s="1212" t="s">
        <v>1929</v>
      </c>
      <c r="U1" s="1212" t="s">
        <v>1930</v>
      </c>
      <c r="V1" s="1212" t="s">
        <v>1931</v>
      </c>
      <c r="W1" s="1216"/>
      <c r="X1" s="1216"/>
      <c r="Y1" s="1216"/>
      <c r="Z1" s="1216"/>
      <c r="AA1" s="1216"/>
      <c r="AB1" s="1216"/>
      <c r="AC1" s="1217"/>
      <c r="AD1" s="1218"/>
      <c r="AE1" s="1218"/>
      <c r="AF1" s="1218"/>
      <c r="AG1" s="1218"/>
      <c r="AH1" s="1218"/>
      <c r="AI1" s="1218"/>
      <c r="AJ1" s="1219"/>
    </row>
    <row r="2" spans="1:36" ht="25.5">
      <c r="A2" s="201" t="s">
        <v>1932</v>
      </c>
      <c r="B2" s="204">
        <f>C30</f>
        <v>2433</v>
      </c>
      <c r="C2" s="1999" t="s">
        <v>1933</v>
      </c>
      <c r="D2" s="2000" t="s">
        <v>1934</v>
      </c>
      <c r="E2" s="3420" t="s">
        <v>3</v>
      </c>
      <c r="F2" s="2000" t="s">
        <v>1935</v>
      </c>
      <c r="G2" s="2001" t="str">
        <f>IF(E2="商业",项目基本情况!B37,IF(E2="办公",项目基本情况!C37,IF(E2="住宅",项目基本情况!D37,IF(E2="工业",项目基本情况!E37,项目基本情况!F37))))</f>
        <v>八级</v>
      </c>
      <c r="H2" s="2000" t="s">
        <v>1936</v>
      </c>
      <c r="I2" s="2001" t="str">
        <f>IF(E2="商业",项目基本情况!B38,IF(E2="办公",项目基本情况!C38,IF(E2="住宅",项目基本情况!D38,IF(E2="工业",项目基本情况!E38,项目基本情况!F38))))</f>
        <v>Ⅷ-生物医药基地</v>
      </c>
      <c r="J2" s="2002"/>
      <c r="K2" s="1119"/>
      <c r="L2" s="2003" t="s">
        <v>1937</v>
      </c>
      <c r="M2" s="864">
        <f>SUMPRODUCT((区片价!B10:B29=I2)*(区片价!C3:G3=E2)*(区片价!C10:G29))</f>
        <v>0</v>
      </c>
      <c r="N2" s="866">
        <f>SUMPRODUCT((因素修正幅度!B10:B29=I2)*(因素修正幅度!C3:G3=E2)*(因素修正幅度!C10:G29))</f>
        <v>0</v>
      </c>
      <c r="O2" s="1119"/>
      <c r="P2" s="1119"/>
      <c r="Q2" s="1119"/>
      <c r="R2" s="1212">
        <v>1</v>
      </c>
      <c r="S2" s="3359">
        <f>ROUND(SUMPRODUCT((B106:B110=R2)*(C105:N105=G2)*(C106:N110)),4)</f>
        <v>1.5418000000000001</v>
      </c>
      <c r="T2" s="3359">
        <f t="shared" ref="T2:T16" si="0">ROUND($C$5*$C$22*$C$23*$C$24*S2*$C$28,0)</f>
        <v>1589</v>
      </c>
      <c r="U2" s="1213"/>
      <c r="V2" s="3359">
        <f>ROUND(T2*U2/10000,0)</f>
        <v>0</v>
      </c>
      <c r="W2" s="1216"/>
      <c r="X2" s="1216"/>
      <c r="Y2" s="1216"/>
      <c r="Z2" s="1216"/>
      <c r="AA2" s="1216"/>
      <c r="AB2" s="1216"/>
      <c r="AC2" s="1217"/>
      <c r="AD2" s="1218"/>
      <c r="AE2" s="1218"/>
      <c r="AF2" s="1218"/>
      <c r="AG2" s="1218"/>
      <c r="AH2" s="1218"/>
      <c r="AI2" s="1218"/>
      <c r="AJ2" s="1219"/>
    </row>
    <row r="3" spans="1:36" ht="15.75">
      <c r="A3" s="203" t="s">
        <v>1938</v>
      </c>
      <c r="B3" s="204">
        <f>ROUND(B2*10000/D1,0)</f>
        <v>1031</v>
      </c>
      <c r="C3" s="1999" t="s">
        <v>1939</v>
      </c>
      <c r="D3" s="2000" t="s">
        <v>1940</v>
      </c>
      <c r="E3" s="3418" t="s">
        <v>2480</v>
      </c>
      <c r="F3" s="2004" t="s">
        <v>3421</v>
      </c>
      <c r="G3" s="752">
        <f>IF(F3="宗地容积率",'数据-汇总表'!I4,IF(F3="估价对象容积率",'数据-汇总表'!I6,'数据-汇总表'!I7))</f>
        <v>1</v>
      </c>
      <c r="H3" s="170" t="s">
        <v>1941</v>
      </c>
      <c r="I3" s="775"/>
      <c r="J3" s="2002" t="s">
        <v>1942</v>
      </c>
      <c r="K3" s="1119"/>
      <c r="L3" s="2003" t="s">
        <v>1943</v>
      </c>
      <c r="M3" s="864">
        <f>SUMPRODUCT((区片价!B30:B54=I2)*(区片价!C3:G3=E2)*(区片价!C30:G54))</f>
        <v>0</v>
      </c>
      <c r="N3" s="866">
        <f>SUMPRODUCT((因素修正幅度!B30:B54=I2)*(因素修正幅度!C3:G3=E2)*(因素修正幅度!C30:G54))</f>
        <v>0</v>
      </c>
      <c r="O3" s="1119"/>
      <c r="P3" s="1119"/>
      <c r="Q3" s="1119"/>
      <c r="R3" s="1212">
        <v>2</v>
      </c>
      <c r="S3" s="3359">
        <f>ROUND(SUMPRODUCT((B106:B110=R3)*(C105:N105=G2)*(C106:N110)),4)</f>
        <v>1.1883999999999999</v>
      </c>
      <c r="T3" s="3359">
        <f t="shared" si="0"/>
        <v>1225</v>
      </c>
      <c r="U3" s="1213"/>
      <c r="V3" s="3359">
        <f t="shared" ref="V3:V16" si="1">ROUND(T3*U3/10000,0)</f>
        <v>0</v>
      </c>
      <c r="W3" s="1216"/>
      <c r="X3" s="1216"/>
      <c r="Y3" s="1216"/>
      <c r="Z3" s="1216"/>
      <c r="AA3" s="1216"/>
      <c r="AB3" s="1216"/>
      <c r="AC3" s="1217"/>
      <c r="AD3" s="1218"/>
      <c r="AE3" s="1218"/>
      <c r="AF3" s="1218"/>
      <c r="AG3" s="1218"/>
      <c r="AH3" s="1218"/>
      <c r="AI3" s="1218"/>
      <c r="AJ3" s="1219"/>
    </row>
    <row r="4" spans="1:36" ht="15.75">
      <c r="A4" s="3756"/>
      <c r="B4" s="3757"/>
      <c r="C4" s="3757"/>
      <c r="D4" s="3758"/>
      <c r="E4" s="3758"/>
      <c r="F4" s="3758"/>
      <c r="G4" s="3758"/>
      <c r="H4" s="3758"/>
      <c r="I4" s="3758"/>
      <c r="J4" s="3759"/>
      <c r="K4" s="1119"/>
      <c r="L4" s="2003" t="s">
        <v>1944</v>
      </c>
      <c r="M4" s="864">
        <f>SUMPRODUCT((区片价!B55:B86=I2)*(区片价!C3:G3=E2)*(区片价!C55:G86))</f>
        <v>0</v>
      </c>
      <c r="N4" s="866">
        <f>SUMPRODUCT((因素修正幅度!B55:B86=I2)*(因素修正幅度!C3:G3=E2)*(因素修正幅度!C55:G86))</f>
        <v>0</v>
      </c>
      <c r="O4" s="1119"/>
      <c r="P4" s="1119"/>
      <c r="Q4" s="1119"/>
      <c r="R4" s="1212">
        <v>3</v>
      </c>
      <c r="S4" s="3359">
        <f>ROUND(SUMPRODUCT((B106:B110=R4)*(C105:N105=G2)*(C106:N110)),4)</f>
        <v>0.96940000000000004</v>
      </c>
      <c r="T4" s="3359">
        <f t="shared" si="0"/>
        <v>999</v>
      </c>
      <c r="U4" s="1213"/>
      <c r="V4" s="3359">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1945</v>
      </c>
      <c r="C5" s="753">
        <f>ROUND(IF(E2="商业",C6*C7*C17+C20,(IF(E2="住宅",C6*C13*C17+C20,IF(E2="办公",C6*C12*C17+C20,C6+C20)))),0)</f>
        <v>1460</v>
      </c>
      <c r="D5" s="1339">
        <f>ROUND(C6*C17+C20,0)</f>
        <v>1460</v>
      </c>
      <c r="E5" s="1339"/>
      <c r="F5" s="2007"/>
      <c r="G5" s="2008"/>
      <c r="H5" s="2008"/>
      <c r="I5" s="2008"/>
      <c r="J5" s="2009"/>
      <c r="K5" s="2010"/>
      <c r="L5" s="2003" t="s">
        <v>1946</v>
      </c>
      <c r="M5" s="864">
        <f>SUMPRODUCT((区片价!B87:B126=I2)*(区片价!C3:G3=E2)*(区片价!C87:G126))</f>
        <v>0</v>
      </c>
      <c r="N5" s="866">
        <f>SUMPRODUCT((因素修正幅度!B87:B126=I2)*(因素修正幅度!C3:G3=E2)*(因素修正幅度!C87:G126))</f>
        <v>0</v>
      </c>
      <c r="O5" s="1119"/>
      <c r="P5" s="1119"/>
      <c r="Q5" s="1119"/>
      <c r="R5" s="1212">
        <v>4</v>
      </c>
      <c r="S5" s="3359">
        <f>ROUND(SUMPRODUCT((B106:B110=R5)*(C105:N105=G2)*(C106:N110)),4)</f>
        <v>0.82299999999999995</v>
      </c>
      <c r="T5" s="3359">
        <f t="shared" si="0"/>
        <v>848</v>
      </c>
      <c r="U5" s="1213"/>
      <c r="V5" s="3359">
        <f t="shared" si="1"/>
        <v>0</v>
      </c>
      <c r="W5" s="1216"/>
      <c r="X5" s="1216"/>
      <c r="Y5" s="1216"/>
      <c r="Z5" s="1216"/>
      <c r="AA5" s="1216"/>
      <c r="AB5" s="1216"/>
      <c r="AC5" s="2011"/>
      <c r="AD5" s="2012"/>
      <c r="AE5" s="2012"/>
      <c r="AF5" s="2012"/>
      <c r="AG5" s="2012"/>
      <c r="AH5" s="2012"/>
      <c r="AI5" s="2012"/>
      <c r="AJ5" s="2013"/>
    </row>
    <row r="6" spans="1:36" ht="15.75" thickBot="1">
      <c r="A6" s="2015" t="s">
        <v>1947</v>
      </c>
      <c r="B6" s="2016" t="s">
        <v>1948</v>
      </c>
      <c r="C6" s="754">
        <f>SUMIF(L1:L12,G2,M1:M12)</f>
        <v>1380</v>
      </c>
      <c r="D6" s="2017"/>
      <c r="E6" s="2018"/>
      <c r="F6" s="2018"/>
      <c r="G6" s="2019"/>
      <c r="H6" s="2019"/>
      <c r="I6" s="2019"/>
      <c r="J6" s="2020"/>
      <c r="K6" s="1384"/>
      <c r="L6" s="2003" t="s">
        <v>1949</v>
      </c>
      <c r="M6" s="864">
        <f>SUMPRODUCT((区片价!B127:B189=I2)*(区片价!C3:G3=E2)*(区片价!C127:G189))</f>
        <v>0</v>
      </c>
      <c r="N6" s="866">
        <f>SUMPRODUCT((因素修正幅度!B127:B189=I2)*(因素修正幅度!C3:G3=E2)*(因素修正幅度!C127:G189))</f>
        <v>0</v>
      </c>
      <c r="O6" s="1119"/>
      <c r="P6" s="1119"/>
      <c r="Q6" s="1119"/>
      <c r="R6" s="1212">
        <v>5</v>
      </c>
      <c r="S6" s="3359">
        <f>ROUND(SUMPRODUCT((B106:B110=R6)*(C105:N105=G2)*(C106:N110)),4)</f>
        <v>0.74980000000000002</v>
      </c>
      <c r="T6" s="3359">
        <f t="shared" si="0"/>
        <v>773</v>
      </c>
      <c r="U6" s="1213"/>
      <c r="V6" s="3359">
        <f t="shared" si="1"/>
        <v>0</v>
      </c>
      <c r="W6" s="1216"/>
      <c r="X6" s="1216"/>
      <c r="Y6" s="1216"/>
      <c r="Z6" s="1216"/>
      <c r="AA6" s="1216"/>
      <c r="AB6" s="1216"/>
      <c r="AC6" s="2011"/>
      <c r="AD6" s="2012"/>
      <c r="AE6" s="2012"/>
      <c r="AF6" s="2012"/>
      <c r="AG6" s="2012"/>
      <c r="AH6" s="2012"/>
      <c r="AI6" s="2012"/>
      <c r="AJ6" s="2013"/>
    </row>
    <row r="7" spans="1:36" ht="24.75" thickBot="1">
      <c r="A7" s="3302" t="s">
        <v>3240</v>
      </c>
      <c r="B7" s="2021" t="s">
        <v>1950</v>
      </c>
      <c r="C7" s="755" t="e">
        <f>IF(C8="不临65条商业街",1,ROUND(1+(1.6*E8+1.2*E9+0.8*E10+0.4*E11)*C9,4))</f>
        <v>#DIV/0!</v>
      </c>
      <c r="D7" s="2022" t="s">
        <v>1951</v>
      </c>
      <c r="E7" s="776"/>
      <c r="F7" s="2023"/>
      <c r="G7" s="2024"/>
      <c r="H7" s="2024"/>
      <c r="I7" s="2024"/>
      <c r="J7" s="2025"/>
      <c r="K7" s="1384"/>
      <c r="L7" s="2003" t="s">
        <v>1952</v>
      </c>
      <c r="M7" s="864">
        <f>SUMPRODUCT((区片价!B190:B233=I2)*(区片价!C3:G3=E2)*(区片价!C190:G233))</f>
        <v>0</v>
      </c>
      <c r="N7" s="866">
        <f>SUMPRODUCT((因素修正幅度!B190:B233=I2)*(因素修正幅度!C3:G3=E2)*(因素修正幅度!C190:G233))</f>
        <v>0</v>
      </c>
      <c r="O7" s="1119"/>
      <c r="P7" s="1119"/>
      <c r="Q7" s="1119"/>
      <c r="R7" s="1212">
        <v>6</v>
      </c>
      <c r="S7" s="3417"/>
      <c r="T7" s="3359">
        <f t="shared" si="0"/>
        <v>0</v>
      </c>
      <c r="U7" s="1213"/>
      <c r="V7" s="3359">
        <f t="shared" si="1"/>
        <v>0</v>
      </c>
      <c r="W7" s="1358" t="s">
        <v>1953</v>
      </c>
      <c r="X7" s="1214" t="str">
        <f>G2</f>
        <v>八级</v>
      </c>
      <c r="Y7" s="1214" t="s">
        <v>1954</v>
      </c>
      <c r="Z7" s="1215">
        <f>G3</f>
        <v>1</v>
      </c>
      <c r="AA7" s="1216"/>
      <c r="AB7" s="1216"/>
      <c r="AC7" s="1217"/>
      <c r="AD7" s="1218"/>
      <c r="AE7" s="1218"/>
      <c r="AF7" s="1218"/>
      <c r="AG7" s="1218"/>
      <c r="AH7" s="1218"/>
      <c r="AI7" s="1218"/>
      <c r="AJ7" s="1219"/>
    </row>
    <row r="8" spans="1:36" ht="15">
      <c r="A8" s="3297"/>
      <c r="B8" s="170" t="s">
        <v>1955</v>
      </c>
      <c r="C8" s="2026"/>
      <c r="D8" s="756" t="s">
        <v>112</v>
      </c>
      <c r="E8" s="757" t="e">
        <f>ROUND(C11/E7,4)</f>
        <v>#DIV/0!</v>
      </c>
      <c r="F8" s="2027" t="s">
        <v>1956</v>
      </c>
      <c r="G8" s="2028"/>
      <c r="H8" s="2028"/>
      <c r="I8" s="2028"/>
      <c r="J8" s="2029"/>
      <c r="K8" s="1119"/>
      <c r="L8" s="2003" t="s">
        <v>1957</v>
      </c>
      <c r="M8" s="864">
        <f>SUMPRODUCT((区片价!B234:B276=I2)*(区片价!C3:G3=E2)*(区片价!C234:G276))</f>
        <v>1380</v>
      </c>
      <c r="N8" s="866">
        <f>SUMPRODUCT((因素修正幅度!B234:B276=I2)*(因素修正幅度!C3:G3=E2)*(因素修正幅度!C234:G276))</f>
        <v>0.05</v>
      </c>
      <c r="O8" s="1119"/>
      <c r="P8" s="1119"/>
      <c r="Q8" s="1119"/>
      <c r="R8" s="1212">
        <v>7</v>
      </c>
      <c r="S8" s="1213"/>
      <c r="T8" s="3359">
        <f t="shared" si="0"/>
        <v>0</v>
      </c>
      <c r="U8" s="1213"/>
      <c r="V8" s="3359">
        <f t="shared" si="1"/>
        <v>0</v>
      </c>
      <c r="W8" s="3753" t="s">
        <v>1958</v>
      </c>
      <c r="X8" s="3754"/>
      <c r="Y8" s="1220" t="s">
        <v>1959</v>
      </c>
      <c r="Z8" s="1220" t="s">
        <v>1960</v>
      </c>
      <c r="AA8" s="1220" t="s">
        <v>1961</v>
      </c>
      <c r="AB8" s="1220" t="s">
        <v>1962</v>
      </c>
      <c r="AC8" s="1220" t="s">
        <v>1963</v>
      </c>
      <c r="AD8" s="1220" t="s">
        <v>1964</v>
      </c>
      <c r="AE8" s="1220" t="s">
        <v>1965</v>
      </c>
      <c r="AF8" s="1220" t="s">
        <v>1966</v>
      </c>
      <c r="AG8" s="1220" t="s">
        <v>1967</v>
      </c>
      <c r="AH8" s="1220" t="s">
        <v>1968</v>
      </c>
      <c r="AI8" s="1220" t="s">
        <v>1969</v>
      </c>
      <c r="AJ8" s="1220" t="s">
        <v>1970</v>
      </c>
    </row>
    <row r="9" spans="1:36" ht="15">
      <c r="A9" s="3297"/>
      <c r="B9" s="170" t="s">
        <v>1971</v>
      </c>
      <c r="C9" s="758">
        <f>SUMIF(修正!C71:C138,C8,修正!E71:E138)</f>
        <v>0</v>
      </c>
      <c r="D9" s="171" t="s">
        <v>113</v>
      </c>
      <c r="E9" s="171" t="e">
        <f>ROUND(C11/E7,4)</f>
        <v>#DIV/0!</v>
      </c>
      <c r="F9" s="2027" t="s">
        <v>1972</v>
      </c>
      <c r="G9" s="2028"/>
      <c r="H9" s="2028"/>
      <c r="I9" s="2028"/>
      <c r="J9" s="2029"/>
      <c r="K9" s="1119"/>
      <c r="L9" s="2003" t="s">
        <v>1973</v>
      </c>
      <c r="M9" s="864">
        <f>SUMPRODUCT((区片价!B277:B326=I2)*(区片价!C3:G3=E2)*(区片价!C277:G326))</f>
        <v>0</v>
      </c>
      <c r="N9" s="866">
        <f>SUMPRODUCT((因素修正幅度!B277:B326=I2)*(因素修正幅度!C3:G3=E2)*(因素修正幅度!C277:G326))</f>
        <v>0</v>
      </c>
      <c r="O9" s="1119"/>
      <c r="P9" s="1119"/>
      <c r="Q9" s="1119"/>
      <c r="R9" s="1212">
        <v>8</v>
      </c>
      <c r="S9" s="1213"/>
      <c r="T9" s="3359">
        <f t="shared" si="0"/>
        <v>0</v>
      </c>
      <c r="U9" s="1213"/>
      <c r="V9" s="3359">
        <f t="shared" si="1"/>
        <v>0</v>
      </c>
      <c r="W9" s="3755"/>
      <c r="X9" s="3360" t="s">
        <v>3271</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1974</v>
      </c>
      <c r="C10" s="171">
        <f>SUMIF(修正!C71:C138,C8,修正!F71:F138)</f>
        <v>0</v>
      </c>
      <c r="D10" s="171" t="s">
        <v>114</v>
      </c>
      <c r="E10" s="171" t="e">
        <f>ROUND(C11/E7,4)</f>
        <v>#DIV/0!</v>
      </c>
      <c r="F10" s="2027" t="s">
        <v>1975</v>
      </c>
      <c r="G10" s="2028"/>
      <c r="H10" s="2028"/>
      <c r="I10" s="2028"/>
      <c r="J10" s="2029"/>
      <c r="K10" s="1119"/>
      <c r="L10" s="2003" t="s">
        <v>1976</v>
      </c>
      <c r="M10" s="864">
        <f>SUMPRODUCT((区片价!B327:B357=I2)*(区片价!C3:G3=E2)*(区片价!C327:G357))</f>
        <v>0</v>
      </c>
      <c r="N10" s="866">
        <f>SUMPRODUCT((因素修正幅度!B327:B357=I2)*(因素修正幅度!C3:G3=E2)*(因素修正幅度!C327:G357))</f>
        <v>0</v>
      </c>
      <c r="O10" s="1119"/>
      <c r="P10" s="1119"/>
      <c r="Q10" s="1119"/>
      <c r="R10" s="1212">
        <v>9</v>
      </c>
      <c r="S10" s="1213"/>
      <c r="T10" s="3359">
        <f t="shared" si="0"/>
        <v>0</v>
      </c>
      <c r="U10" s="1213"/>
      <c r="V10" s="3359">
        <f t="shared" si="1"/>
        <v>0</v>
      </c>
      <c r="W10" s="3755"/>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30" t="s">
        <v>1977</v>
      </c>
      <c r="C11" s="759">
        <f>C10/4</f>
        <v>0</v>
      </c>
      <c r="D11" s="759" t="s">
        <v>115</v>
      </c>
      <c r="E11" s="759" t="e">
        <f>ROUND(C11/E7,4)</f>
        <v>#DIV/0!</v>
      </c>
      <c r="F11" s="2031" t="s">
        <v>1978</v>
      </c>
      <c r="G11" s="2032"/>
      <c r="H11" s="2032"/>
      <c r="I11" s="2032"/>
      <c r="J11" s="2033"/>
      <c r="K11" s="1119"/>
      <c r="L11" s="2003" t="s">
        <v>1979</v>
      </c>
      <c r="M11" s="864">
        <f>SUMPRODUCT((区片价!B358:B377=I2)*(区片价!C3:G3=E2)*(区片价!C358:G377))</f>
        <v>0</v>
      </c>
      <c r="N11" s="866">
        <f>SUMPRODUCT((因素修正幅度!B358:B377=I2)*(因素修正幅度!C3:G3=E2)*(因素修正幅度!C358:G377))</f>
        <v>0</v>
      </c>
      <c r="O11" s="1119"/>
      <c r="P11" s="1119"/>
      <c r="Q11" s="1119"/>
      <c r="R11" s="1212">
        <v>10</v>
      </c>
      <c r="S11" s="1213"/>
      <c r="T11" s="3359">
        <f t="shared" si="0"/>
        <v>0</v>
      </c>
      <c r="U11" s="1213"/>
      <c r="V11" s="3359">
        <f t="shared" si="1"/>
        <v>0</v>
      </c>
      <c r="W11" s="1216"/>
      <c r="X11" s="1216"/>
      <c r="Y11" s="1216"/>
      <c r="Z11" s="1216"/>
      <c r="AA11" s="1216"/>
      <c r="AB11" s="1216"/>
      <c r="AC11" s="1217"/>
      <c r="AD11" s="2787"/>
      <c r="AE11" s="2787"/>
      <c r="AF11" s="2787"/>
      <c r="AG11" s="2787"/>
      <c r="AH11" s="2787"/>
      <c r="AI11" s="2787"/>
      <c r="AJ11" s="2788"/>
    </row>
    <row r="12" spans="1:36" ht="25.5" thickBot="1">
      <c r="A12" s="3302" t="s">
        <v>3241</v>
      </c>
      <c r="B12" s="3303" t="s">
        <v>3242</v>
      </c>
      <c r="C12" s="3304"/>
      <c r="D12" s="3305" t="s">
        <v>3243</v>
      </c>
      <c r="E12" s="3306" t="s">
        <v>3244</v>
      </c>
      <c r="F12" s="3307"/>
      <c r="G12" s="3308"/>
      <c r="H12" s="3308"/>
      <c r="I12" s="3308"/>
      <c r="J12" s="3309"/>
      <c r="K12" s="1119"/>
      <c r="L12" s="2039" t="s">
        <v>1982</v>
      </c>
      <c r="M12" s="865">
        <f>SUMPRODUCT((区片价!B378:B384=I2)*(区片价!C3:G3=E2)*(区片价!C378:G384))</f>
        <v>0</v>
      </c>
      <c r="N12" s="866">
        <f>SUMPRODUCT((因素修正幅度!B378:B384=I2)*(因素修正幅度!C3:G3=E2)*(因素修正幅度!C378:G384))</f>
        <v>0</v>
      </c>
      <c r="O12" s="1119"/>
      <c r="P12" s="1119"/>
      <c r="Q12" s="1119"/>
      <c r="R12" s="1212">
        <v>11</v>
      </c>
      <c r="S12" s="1213"/>
      <c r="T12" s="3359">
        <f t="shared" si="0"/>
        <v>0</v>
      </c>
      <c r="U12" s="1213"/>
      <c r="V12" s="3359">
        <f t="shared" si="1"/>
        <v>0</v>
      </c>
      <c r="W12" s="1216"/>
      <c r="X12" s="1216"/>
      <c r="Y12" s="1216"/>
      <c r="Z12" s="1216"/>
      <c r="AA12" s="1216"/>
      <c r="AB12" s="1216"/>
      <c r="AC12" s="1217"/>
      <c r="AD12" s="2787"/>
      <c r="AE12" s="2787"/>
      <c r="AF12" s="2787"/>
      <c r="AG12" s="2787"/>
      <c r="AH12" s="2787"/>
      <c r="AI12" s="2787"/>
      <c r="AJ12" s="2788"/>
    </row>
    <row r="13" spans="1:36" ht="15.75" thickBot="1">
      <c r="A13" s="3302" t="s">
        <v>3245</v>
      </c>
      <c r="B13" s="2034" t="s">
        <v>1980</v>
      </c>
      <c r="C13" s="755">
        <f>ROUND(C16*D16*E16*F16*G16*H16*I16*J16,4)</f>
        <v>0</v>
      </c>
      <c r="D13" s="2035" t="s">
        <v>1981</v>
      </c>
      <c r="E13" s="2036"/>
      <c r="F13" s="2036"/>
      <c r="G13" s="2037"/>
      <c r="H13" s="2037"/>
      <c r="I13" s="2037"/>
      <c r="J13" s="2038"/>
      <c r="K13" s="1119"/>
      <c r="L13" s="3298"/>
      <c r="M13" s="3299"/>
      <c r="N13" s="3300"/>
      <c r="O13" s="1119"/>
      <c r="P13" s="1119"/>
      <c r="Q13" s="1119"/>
      <c r="R13" s="1212">
        <v>12</v>
      </c>
      <c r="S13" s="1213"/>
      <c r="T13" s="3359">
        <f t="shared" si="0"/>
        <v>0</v>
      </c>
      <c r="U13" s="1213"/>
      <c r="V13" s="3359">
        <f t="shared" si="1"/>
        <v>0</v>
      </c>
      <c r="W13" s="1216"/>
      <c r="X13" s="1216"/>
      <c r="Y13" s="1216"/>
      <c r="Z13" s="1216"/>
      <c r="AA13" s="1216"/>
      <c r="AB13" s="1216"/>
      <c r="AC13" s="1217"/>
      <c r="AD13" s="2787"/>
      <c r="AE13" s="2787"/>
      <c r="AF13" s="2787"/>
      <c r="AG13" s="2787"/>
      <c r="AH13" s="2787"/>
      <c r="AI13" s="2787"/>
      <c r="AJ13" s="2788"/>
    </row>
    <row r="14" spans="1:36" ht="15">
      <c r="A14" s="3296"/>
      <c r="B14" s="2040" t="s">
        <v>1983</v>
      </c>
      <c r="C14" s="2041" t="s">
        <v>1984</v>
      </c>
      <c r="D14" s="1350" t="s">
        <v>1985</v>
      </c>
      <c r="E14" s="27" t="s">
        <v>1986</v>
      </c>
      <c r="F14" s="3310" t="s">
        <v>3246</v>
      </c>
      <c r="G14" s="3310" t="s">
        <v>3246</v>
      </c>
      <c r="H14" s="3310" t="s">
        <v>3246</v>
      </c>
      <c r="I14" s="3310" t="s">
        <v>3246</v>
      </c>
      <c r="J14" s="3310" t="s">
        <v>3246</v>
      </c>
      <c r="K14" s="1119"/>
      <c r="L14" s="1119"/>
      <c r="M14" s="1119"/>
      <c r="N14" s="1119"/>
      <c r="O14" s="1119"/>
      <c r="P14" s="1119"/>
      <c r="Q14" s="1119"/>
      <c r="R14" s="1212">
        <v>13</v>
      </c>
      <c r="S14" s="1213"/>
      <c r="T14" s="3359">
        <f t="shared" si="0"/>
        <v>0</v>
      </c>
      <c r="U14" s="1213"/>
      <c r="V14" s="3359">
        <f t="shared" si="1"/>
        <v>0</v>
      </c>
      <c r="W14" s="1216"/>
      <c r="X14" s="1216"/>
      <c r="Y14" s="1216"/>
      <c r="Z14" s="1216"/>
      <c r="AA14" s="1216"/>
      <c r="AB14" s="1216"/>
      <c r="AC14" s="1217"/>
      <c r="AD14" s="2787"/>
      <c r="AE14" s="2787"/>
      <c r="AF14" s="2787"/>
      <c r="AG14" s="2787"/>
      <c r="AH14" s="2787"/>
      <c r="AI14" s="2787"/>
      <c r="AJ14" s="2788"/>
    </row>
    <row r="15" spans="1:36" ht="15">
      <c r="A15" s="3296"/>
      <c r="B15" s="2042"/>
      <c r="C15" s="2043"/>
      <c r="D15" s="2044"/>
      <c r="E15" s="2045"/>
      <c r="F15" s="3311" t="s">
        <v>3247</v>
      </c>
      <c r="G15" s="3312"/>
      <c r="H15" s="3313"/>
      <c r="I15" s="3314"/>
      <c r="J15" s="3315"/>
      <c r="K15" s="1119"/>
      <c r="L15" s="1119"/>
      <c r="M15" s="1119"/>
      <c r="N15" s="1119"/>
      <c r="O15" s="1119"/>
      <c r="P15" s="1119"/>
      <c r="Q15" s="1119"/>
      <c r="R15" s="1212">
        <v>14</v>
      </c>
      <c r="S15" s="1213"/>
      <c r="T15" s="3359">
        <f t="shared" si="0"/>
        <v>0</v>
      </c>
      <c r="U15" s="1213"/>
      <c r="V15" s="3359">
        <f t="shared" si="1"/>
        <v>0</v>
      </c>
      <c r="W15" s="1216"/>
      <c r="X15" s="1216"/>
      <c r="Y15" s="1216"/>
      <c r="Z15" s="1216"/>
      <c r="AA15" s="1216"/>
      <c r="AB15" s="1216"/>
      <c r="AC15" s="1217"/>
      <c r="AD15" s="2787"/>
      <c r="AE15" s="2787"/>
      <c r="AF15" s="2787"/>
      <c r="AG15" s="2787"/>
      <c r="AH15" s="2787"/>
      <c r="AI15" s="2787"/>
      <c r="AJ15" s="2788"/>
    </row>
    <row r="16" spans="1:36" ht="15.75" thickBot="1">
      <c r="A16" s="3296"/>
      <c r="B16" s="3318" t="s">
        <v>1987</v>
      </c>
      <c r="C16" s="3316"/>
      <c r="D16" s="3316"/>
      <c r="E16" s="3316"/>
      <c r="F16" s="3316">
        <v>1</v>
      </c>
      <c r="G16" s="3316">
        <v>1</v>
      </c>
      <c r="H16" s="3316">
        <v>1</v>
      </c>
      <c r="I16" s="3316">
        <v>1</v>
      </c>
      <c r="J16" s="3317">
        <v>1</v>
      </c>
      <c r="K16" s="1119"/>
      <c r="L16" s="1997"/>
      <c r="M16" s="1997"/>
      <c r="N16" s="1997"/>
      <c r="O16" s="1997"/>
      <c r="P16" s="1997"/>
      <c r="Q16" s="1119"/>
      <c r="R16" s="1212">
        <v>15</v>
      </c>
      <c r="S16" s="1213"/>
      <c r="T16" s="3359">
        <f t="shared" si="0"/>
        <v>0</v>
      </c>
      <c r="U16" s="1213"/>
      <c r="V16" s="3359">
        <f t="shared" si="1"/>
        <v>0</v>
      </c>
      <c r="W16" s="1216"/>
      <c r="X16" s="1216"/>
      <c r="Y16" s="1216"/>
      <c r="Z16" s="1216"/>
      <c r="AA16" s="1216"/>
      <c r="AB16" s="1216"/>
      <c r="AC16" s="1217"/>
      <c r="AD16" s="2787"/>
      <c r="AE16" s="2787"/>
      <c r="AF16" s="2787"/>
      <c r="AG16" s="2787"/>
      <c r="AH16" s="2787"/>
      <c r="AI16" s="2787"/>
      <c r="AJ16" s="2788"/>
    </row>
    <row r="17" spans="1:37">
      <c r="A17" s="3328" t="s">
        <v>3248</v>
      </c>
      <c r="B17" s="3319" t="s">
        <v>3249</v>
      </c>
      <c r="C17" s="3329">
        <f>ROUND(IF(OR(E2="工业",E2="公共服务"),1,IF(AND(E18=0,E19=0),1,IF(AND(E18=J24,E19=G19),0.8,IF(E19=0,1+E17*(-0.2),1+E17*G17*(-0.2))))),4)</f>
        <v>1</v>
      </c>
      <c r="D17" s="3320" t="s">
        <v>3250</v>
      </c>
      <c r="E17" s="3329">
        <f>ROUND(G18/I18,2)</f>
        <v>0</v>
      </c>
      <c r="F17" s="3320" t="s">
        <v>3253</v>
      </c>
      <c r="G17" s="3329" t="e">
        <f>ROUND(E19/G19,2)</f>
        <v>#DIV/0!</v>
      </c>
      <c r="H17" s="3329"/>
      <c r="I17" s="3329"/>
      <c r="J17" s="3330"/>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1"/>
      <c r="B18" s="3008"/>
      <c r="C18" s="3326"/>
      <c r="D18" s="3321" t="s">
        <v>3251</v>
      </c>
      <c r="E18" s="3327"/>
      <c r="F18" s="3322" t="s">
        <v>3254</v>
      </c>
      <c r="G18" s="3326">
        <f>ROUND(1-(1/(POWER(1+G24,E18))),4)</f>
        <v>0</v>
      </c>
      <c r="H18" s="3322" t="s">
        <v>3256</v>
      </c>
      <c r="I18" s="3326">
        <f>ROUND(1-(1/(POWER(1+G24,J24))),4)</f>
        <v>0.91279999999999994</v>
      </c>
      <c r="J18" s="3332"/>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6"/>
    </row>
    <row r="19" spans="1:37" s="2014" customFormat="1" ht="15" thickBot="1">
      <c r="A19" s="3333"/>
      <c r="B19" s="3334"/>
      <c r="C19" s="3335"/>
      <c r="D19" s="3335" t="s">
        <v>3252</v>
      </c>
      <c r="E19" s="3336"/>
      <c r="F19" s="3337" t="s">
        <v>3255</v>
      </c>
      <c r="G19" s="3336"/>
      <c r="H19" s="3335"/>
      <c r="I19" s="3335"/>
      <c r="J19" s="3338"/>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89"/>
      <c r="AH19" s="2141"/>
      <c r="AI19" s="2790"/>
      <c r="AJ19" s="2790"/>
      <c r="AK19" s="2057"/>
    </row>
    <row r="20" spans="1:37" s="2014" customFormat="1" ht="14.25">
      <c r="A20" s="3760" t="s">
        <v>3257</v>
      </c>
      <c r="B20" s="167" t="s">
        <v>1992</v>
      </c>
      <c r="C20" s="3323">
        <f>ROUND(IF(F21="与级别开发程度一致",0,(G21-E21)/C21),0)</f>
        <v>80</v>
      </c>
      <c r="D20" s="3339" t="s">
        <v>1996</v>
      </c>
      <c r="E20" s="3340"/>
      <c r="F20" s="3766" t="s">
        <v>1993</v>
      </c>
      <c r="G20" s="3767"/>
      <c r="H20" s="3324" t="s">
        <v>3384</v>
      </c>
      <c r="I20" s="3324" t="s">
        <v>3384</v>
      </c>
      <c r="J20" s="3325" t="s">
        <v>3387</v>
      </c>
      <c r="K20" s="2047" t="s">
        <v>3388</v>
      </c>
      <c r="L20" s="2047" t="s">
        <v>3389</v>
      </c>
      <c r="M20" s="2047" t="s">
        <v>3390</v>
      </c>
      <c r="N20" s="2047" t="s">
        <v>3391</v>
      </c>
      <c r="O20" s="2048" t="s">
        <v>3423</v>
      </c>
      <c r="P20" s="1997"/>
      <c r="Q20" s="1124"/>
      <c r="R20" s="1124"/>
      <c r="S20" s="1124"/>
      <c r="T20" s="1120"/>
      <c r="U20" s="1120"/>
      <c r="V20" s="1120"/>
      <c r="W20" s="1119"/>
      <c r="X20" s="1119"/>
      <c r="Y20" s="1119"/>
      <c r="Z20" s="1125"/>
      <c r="AA20" s="1125"/>
      <c r="AB20" s="1125"/>
      <c r="AC20" s="1125"/>
      <c r="AD20" s="1125"/>
      <c r="AE20" s="1125"/>
      <c r="AF20" s="1125"/>
      <c r="AG20" s="2786"/>
      <c r="AH20" s="2786"/>
      <c r="AI20" s="2786"/>
      <c r="AJ20" s="2786"/>
    </row>
    <row r="21" spans="1:37" s="2014" customFormat="1" ht="26.25" thickBot="1">
      <c r="A21" s="3761"/>
      <c r="B21" s="2164" t="s">
        <v>1995</v>
      </c>
      <c r="C21" s="2165">
        <f>IF(E3="M4科研用地",SUMPRODUCT((修正!A2:A7=E3)*(修正!B1:M1=G2)*(修正!B2:M7)),SUMPRODUCT((修正!A2:A7=E2)*(修正!B1:M1=G2)*(修正!B2:M7)))</f>
        <v>1</v>
      </c>
      <c r="D21" s="187" t="str">
        <f>IF(OR(G2="八级",G2="九级",G2="十级",G2="十一级",G2="十二级"),"五通一平","七通一平")</f>
        <v>五通一平</v>
      </c>
      <c r="E21" s="2155">
        <f>SUMPRODUCT((修正!B1:M1=G2)*(修正!B17:M17))</f>
        <v>185</v>
      </c>
      <c r="F21" s="2156" t="s">
        <v>3422</v>
      </c>
      <c r="G21" s="2157">
        <f>SUM(H21:O21)</f>
        <v>265</v>
      </c>
      <c r="H21" s="2165">
        <f>SUMPRODUCT((七通一平=H20)*(修正!B1:M1=G2)*(修正!B8:M16))</f>
        <v>60</v>
      </c>
      <c r="I21" s="2165">
        <f>SUMPRODUCT((七通一平=I20)*(修正!B1:M1=G2)*(修正!B8:M16))</f>
        <v>60</v>
      </c>
      <c r="J21" s="2166">
        <f>SUMPRODUCT((七通一平=J20)*(修正!B1:M1=G2)*(修正!B8:M16))</f>
        <v>10</v>
      </c>
      <c r="K21" s="2165">
        <f>SUMPRODUCT((七通一平=K20)*(修正!B1:M1=G2)*(修正!B8:M16))</f>
        <v>20</v>
      </c>
      <c r="L21" s="2165">
        <f>SUMPRODUCT((七通一平=L20)*(修正!B1:M1=G2)*(修正!B8:M16))</f>
        <v>35</v>
      </c>
      <c r="M21" s="2165">
        <f>SUMPRODUCT((七通一平=M20)*(修正!B1:M1=G2)*(修正!B8:M16))</f>
        <v>40</v>
      </c>
      <c r="N21" s="2165">
        <f>SUMPRODUCT((七通一平=N20)*(修正!B1:M1=G2)*(修正!B8:M16))</f>
        <v>30</v>
      </c>
      <c r="O21" s="2167">
        <f>SUMPRODUCT((七通一平=O20)*(修正!B1:M1=G2)*(修正!B8:M16))</f>
        <v>10</v>
      </c>
      <c r="P21" s="1997"/>
      <c r="Q21" s="2786"/>
      <c r="R21" s="1124"/>
      <c r="S21" s="1124"/>
      <c r="T21" s="1120"/>
      <c r="U21" s="1120"/>
      <c r="V21" s="1120"/>
      <c r="W21" s="1119"/>
      <c r="X21" s="1119"/>
      <c r="Y21" s="1119"/>
      <c r="Z21" s="1125"/>
      <c r="AA21" s="1125"/>
      <c r="AB21" s="1125"/>
      <c r="AC21" s="1125"/>
      <c r="AD21" s="1125"/>
      <c r="AE21" s="1125"/>
      <c r="AF21" s="1125"/>
      <c r="AG21" s="2786"/>
      <c r="AH21" s="2786"/>
      <c r="AI21" s="2786"/>
      <c r="AJ21" s="2786"/>
    </row>
    <row r="22" spans="1:37" s="2014" customFormat="1" ht="15.75" thickBot="1">
      <c r="A22" s="2158" t="s">
        <v>363</v>
      </c>
      <c r="B22" s="2159" t="s">
        <v>1998</v>
      </c>
      <c r="C22" s="2160">
        <f>SUMIF(修正!C20:C51,E3,修正!E20:E51)</f>
        <v>1</v>
      </c>
      <c r="D22" s="2161"/>
      <c r="E22" s="2162"/>
      <c r="F22" s="2162"/>
      <c r="G22" s="2162"/>
      <c r="H22" s="2162"/>
      <c r="I22" s="2162"/>
      <c r="J22" s="2163"/>
      <c r="K22" s="1125"/>
      <c r="L22" s="2786"/>
      <c r="M22" s="2786"/>
      <c r="N22" s="2786"/>
      <c r="O22" s="1123"/>
      <c r="P22" s="1123"/>
      <c r="Q22" s="2786"/>
      <c r="R22" s="1124"/>
      <c r="S22" s="1124"/>
      <c r="T22" s="1120"/>
      <c r="U22" s="1120"/>
      <c r="V22" s="1120"/>
      <c r="W22" s="1119"/>
      <c r="X22" s="1119"/>
      <c r="Y22" s="1119"/>
      <c r="Z22" s="1125"/>
      <c r="AA22" s="1125"/>
      <c r="AB22" s="1125"/>
      <c r="AC22" s="1125"/>
      <c r="AD22" s="1125"/>
      <c r="AE22" s="1125"/>
      <c r="AF22" s="1125"/>
      <c r="AG22" s="2786"/>
      <c r="AH22" s="2786"/>
      <c r="AI22" s="2786"/>
      <c r="AJ22" s="2786"/>
    </row>
    <row r="23" spans="1:37" ht="26.25" thickBot="1">
      <c r="A23" s="2050" t="s">
        <v>364</v>
      </c>
      <c r="B23" s="2051" t="s">
        <v>1999</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1.0555000000000001</v>
      </c>
      <c r="D23" s="2054" t="s">
        <v>2000</v>
      </c>
      <c r="E23" s="761">
        <v>44197</v>
      </c>
      <c r="F23" s="2054" t="s">
        <v>2001</v>
      </c>
      <c r="G23" s="762">
        <f>'数据-取费表'!B2</f>
        <v>45044</v>
      </c>
      <c r="H23" s="3341" t="s">
        <v>3259</v>
      </c>
      <c r="I23" s="3342" t="str">
        <f>IF(H23="季度增幅（自定义）",SUMIF(N25:N28,E2,O25:O28),"")</f>
        <v/>
      </c>
      <c r="J23" s="3444" t="s">
        <v>3258</v>
      </c>
      <c r="K23" s="1125"/>
      <c r="L23" s="2055" t="s">
        <v>2002</v>
      </c>
      <c r="M23" s="1328">
        <f>ROUND(SUMIF(地价!B2:G2,E2,地价!B16:G16),0)</f>
        <v>318</v>
      </c>
      <c r="N23" s="2056" t="s">
        <v>2003</v>
      </c>
      <c r="O23" s="763">
        <f>ROUNDDOWN(DATEDIF(E23,G23,"M")/3,0)</f>
        <v>9</v>
      </c>
      <c r="P23" s="1122"/>
      <c r="Q23" s="2786"/>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2004</v>
      </c>
      <c r="C24" s="764">
        <f>ROUND(POWER(1+G24,J24-I24)*(POWER(1+G24,I24)-1)/(POWER(1+G24,J24)-1),4)</f>
        <v>0.65169999999999995</v>
      </c>
      <c r="D24" s="2060" t="s">
        <v>2005</v>
      </c>
      <c r="E24" s="1335">
        <f>存贷款利率!E22/100</f>
        <v>4.3499999999999997E-2</v>
      </c>
      <c r="F24" s="2060" t="s">
        <v>1997</v>
      </c>
      <c r="G24" s="768">
        <f>SUMIF(M30:Q30,E2,M33:Q33)</f>
        <v>0.05</v>
      </c>
      <c r="H24" s="2060" t="s">
        <v>2006</v>
      </c>
      <c r="I24" s="769">
        <f>SUMIF('数据-取费表'!C6:C15,E2,'数据-取费表'!F6:F15)/COUNTIF('数据-取费表'!C6:C15,E2)</f>
        <v>18.52</v>
      </c>
      <c r="J24" s="770">
        <f>IF(E2="住宅",70,IF(E2="商业",40,50))</f>
        <v>50</v>
      </c>
      <c r="K24" s="1125"/>
      <c r="L24" s="2061" t="s">
        <v>2007</v>
      </c>
      <c r="M24" s="1329">
        <f>ROUND(SUMPRODUCT((地价!A4:A16=YEAR(G23)&amp;"-"&amp;ROUNDUP(MONTH(G23)/3,0))*(地价!B2:G2=E2)*(地价!B4:G16)),0)</f>
        <v>0</v>
      </c>
      <c r="N24" s="2062" t="s">
        <v>2008</v>
      </c>
      <c r="O24" s="2063" t="s">
        <v>2009</v>
      </c>
      <c r="P24" s="2064" t="s">
        <v>2010</v>
      </c>
      <c r="Q24" s="1997"/>
      <c r="R24" s="1124"/>
      <c r="S24" s="1124"/>
      <c r="T24" s="1120"/>
      <c r="U24" s="1120"/>
      <c r="V24" s="1120"/>
      <c r="W24" s="1119"/>
      <c r="X24" s="1119"/>
      <c r="Y24" s="1119"/>
      <c r="Z24" s="1125"/>
      <c r="AA24" s="1125"/>
      <c r="AB24" s="1125"/>
      <c r="AC24" s="1125"/>
      <c r="AD24" s="1125"/>
      <c r="AE24" s="1125"/>
      <c r="AF24" s="1125"/>
      <c r="AG24" s="2786"/>
      <c r="AH24" s="2786"/>
      <c r="AI24" s="2786"/>
      <c r="AJ24" s="2786"/>
    </row>
    <row r="25" spans="1:37" ht="15">
      <c r="A25" s="2065" t="s">
        <v>366</v>
      </c>
      <c r="B25" s="2066" t="s">
        <v>3338</v>
      </c>
      <c r="C25" s="771">
        <f>IF(B25="容积率修正",IF(G3&lt;10,D26,J26),C27)</f>
        <v>1</v>
      </c>
      <c r="D25" s="2067"/>
      <c r="E25" s="2067"/>
      <c r="F25" s="2067"/>
      <c r="G25" s="2067"/>
      <c r="H25" s="2067"/>
      <c r="I25" s="2067"/>
      <c r="J25" s="2068"/>
      <c r="K25" s="1125"/>
      <c r="L25" s="2786"/>
      <c r="M25" s="2786"/>
      <c r="N25" s="2069" t="s">
        <v>2011</v>
      </c>
      <c r="O25" s="1173"/>
      <c r="P25" s="1174">
        <f>SUMPRODUCT((地价!A3:A40=YEAR(G23)&amp;"-"&amp;ROUNDUP(MONTH(G23)/3,0))*(地价!AD2:AH2=N25)*(地价!AD3:AH40))</f>
        <v>0</v>
      </c>
      <c r="Q25" s="2786"/>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2012</v>
      </c>
      <c r="B26" s="2070" t="s">
        <v>2013</v>
      </c>
      <c r="C26" s="3343" t="s">
        <v>3260</v>
      </c>
      <c r="D26" s="1352">
        <f>IF(E26=G26,F26,IF(G3&lt;10,ROUND(F26+(H26-F26)*(G3-E26)/(G26-E26),4),"——"))</f>
        <v>1</v>
      </c>
      <c r="E26" s="752">
        <f>ROUNDDOWN(G3,1)</f>
        <v>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3" t="s">
        <v>3261</v>
      </c>
      <c r="J26" s="772" t="str">
        <f>IF(G3&gt;=10,D115,"——")</f>
        <v>——</v>
      </c>
      <c r="K26" s="1125"/>
      <c r="L26" s="2786"/>
      <c r="M26" s="2786"/>
      <c r="N26" s="2069" t="s">
        <v>2014</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2015</v>
      </c>
      <c r="B27" s="2071" t="s">
        <v>2016</v>
      </c>
      <c r="C27" s="841">
        <f>ROUND(IF(I3&lt;6,SUMPRODUCT((B106:B110=I3)*(C105:N105=G2)*(C106:N110)),SUMIF(C105:N105,G2,C112:N112)),4)</f>
        <v>0</v>
      </c>
      <c r="D27" s="2046"/>
      <c r="E27" s="2046"/>
      <c r="F27" s="2072"/>
      <c r="G27" s="2073"/>
      <c r="H27" s="2074"/>
      <c r="I27" s="2075"/>
      <c r="J27" s="2076"/>
      <c r="K27" s="1119"/>
      <c r="L27" s="1997"/>
      <c r="M27" s="1997"/>
      <c r="N27" s="2069" t="s">
        <v>2017</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2018</v>
      </c>
      <c r="C28" s="760">
        <f>SUMIF(A47:A101,E2,B47:B101)</f>
        <v>1.0264</v>
      </c>
      <c r="D28" s="2052"/>
      <c r="E28" s="2077"/>
      <c r="F28" s="2077"/>
      <c r="G28" s="2077"/>
      <c r="H28" s="2077"/>
      <c r="I28" s="2077"/>
      <c r="J28" s="2078"/>
      <c r="K28" s="1125"/>
      <c r="L28" s="2786"/>
      <c r="M28" s="2786"/>
      <c r="N28" s="2079" t="s">
        <v>2019</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2020</v>
      </c>
      <c r="C29" s="765"/>
      <c r="D29" s="2024"/>
      <c r="E29" s="2024"/>
      <c r="F29" s="2081"/>
      <c r="G29" s="2024"/>
      <c r="H29" s="2024"/>
      <c r="I29" s="2024"/>
      <c r="J29" s="2025"/>
      <c r="K29" s="1119"/>
      <c r="L29" s="1997"/>
      <c r="M29" s="1997"/>
      <c r="N29" s="2783" t="s">
        <v>2021</v>
      </c>
      <c r="O29" s="2784"/>
      <c r="P29" s="2785">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2022</v>
      </c>
      <c r="C30" s="2321">
        <f>IF(B25="容积率修正",E33+SUM(E37:E42),SUM(V2:V16)+SUM(E37:E42))</f>
        <v>2433</v>
      </c>
      <c r="D30" s="2083"/>
      <c r="E30" s="2046"/>
      <c r="F30" s="2084"/>
      <c r="G30" s="2046"/>
      <c r="H30" s="2046"/>
      <c r="I30" s="2046"/>
      <c r="J30" s="2085"/>
      <c r="K30" s="1119"/>
      <c r="L30" s="3349" t="s">
        <v>1934</v>
      </c>
      <c r="M30" s="3350" t="s">
        <v>1988</v>
      </c>
      <c r="N30" s="3350" t="s">
        <v>1989</v>
      </c>
      <c r="O30" s="3350" t="s">
        <v>1990</v>
      </c>
      <c r="P30" s="3350" t="s">
        <v>1991</v>
      </c>
      <c r="Q30" s="3353" t="s">
        <v>3265</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2023</v>
      </c>
      <c r="C31" s="766">
        <f>E34+SUM(I37:I42)</f>
        <v>0</v>
      </c>
      <c r="D31" s="2087"/>
      <c r="E31" s="2088"/>
      <c r="F31" s="2089"/>
      <c r="G31" s="2088"/>
      <c r="H31" s="2088"/>
      <c r="I31" s="2088"/>
      <c r="J31" s="2090"/>
      <c r="K31" s="1119"/>
      <c r="L31" s="3351" t="s">
        <v>1994</v>
      </c>
      <c r="M31" s="2000">
        <v>0.25</v>
      </c>
      <c r="N31" s="2000">
        <v>0.2</v>
      </c>
      <c r="O31" s="2000">
        <v>0.15</v>
      </c>
      <c r="P31" s="2000">
        <v>0.1</v>
      </c>
      <c r="Q31" s="3346">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2024</v>
      </c>
      <c r="C32" s="2093" t="s">
        <v>2025</v>
      </c>
      <c r="D32" s="2093" t="s">
        <v>2026</v>
      </c>
      <c r="E32" s="2094" t="s">
        <v>2027</v>
      </c>
      <c r="F32" s="2095"/>
      <c r="G32" s="2037"/>
      <c r="H32" s="2037"/>
      <c r="I32" s="2037"/>
      <c r="J32" s="2038"/>
      <c r="K32" s="1119"/>
      <c r="L32" s="3352" t="s">
        <v>1997</v>
      </c>
      <c r="M32" s="2568">
        <f>ROUND($E$24*(1+M31),3)</f>
        <v>5.3999999999999999E-2</v>
      </c>
      <c r="N32" s="2568">
        <f>ROUND($E$24*(1+N31),3)</f>
        <v>5.1999999999999998E-2</v>
      </c>
      <c r="O32" s="2568">
        <f>ROUND($E$24*(1+O31),3)</f>
        <v>0.05</v>
      </c>
      <c r="P32" s="2568">
        <f>ROUND($E$24*(1+P31),3)</f>
        <v>4.8000000000000001E-2</v>
      </c>
      <c r="Q32" s="3354">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2028</v>
      </c>
      <c r="C33" s="175">
        <f>ROUND(C5*C22*C23*C24*C25*C28,0)</f>
        <v>1031</v>
      </c>
      <c r="D33" s="2098">
        <f>'数据-汇总表'!F31</f>
        <v>23601.7</v>
      </c>
      <c r="E33" s="773">
        <f>ROUND(C33*D33/10000,0)</f>
        <v>2433</v>
      </c>
      <c r="F33" s="3344" t="s">
        <v>3263</v>
      </c>
      <c r="G33" s="2099"/>
      <c r="H33" s="2099"/>
      <c r="I33" s="2099"/>
      <c r="J33" s="2100"/>
      <c r="K33" s="1119"/>
      <c r="L33" s="3347" t="s">
        <v>3266</v>
      </c>
      <c r="M33" s="3348">
        <v>5.5E-2</v>
      </c>
      <c r="N33" s="3348">
        <v>5.5E-2</v>
      </c>
      <c r="O33" s="3348">
        <v>0.05</v>
      </c>
      <c r="P33" s="3348">
        <v>0.05</v>
      </c>
      <c r="Q33" s="3348">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2029</v>
      </c>
      <c r="C34" s="187">
        <f>ROUND(IF(E2="工业",C33*M42,IF(B25="楼层修正",SUM(V2:V16)*M41*10000/D34,C33*M41)),0)</f>
        <v>155</v>
      </c>
      <c r="D34" s="2103"/>
      <c r="E34" s="773">
        <f>ROUND(IF(B25="楼层修正",SUM(V2:V16)*M40,C34*D34/10000),0)</f>
        <v>0</v>
      </c>
      <c r="F34" s="2104" t="s">
        <v>2030</v>
      </c>
      <c r="G34" s="2105"/>
      <c r="H34" s="2105"/>
      <c r="I34" s="2105"/>
      <c r="J34" s="2106"/>
      <c r="K34" s="1119"/>
      <c r="L34" s="3347" t="s">
        <v>3267</v>
      </c>
      <c r="M34" s="3348">
        <v>6.5000000000000002E-2</v>
      </c>
      <c r="N34" s="3348">
        <v>6.5000000000000002E-2</v>
      </c>
      <c r="O34" s="3348">
        <v>0.06</v>
      </c>
      <c r="P34" s="3348">
        <v>0.06</v>
      </c>
      <c r="Q34" s="3348">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2031</v>
      </c>
      <c r="C35" s="3345" t="s">
        <v>3264</v>
      </c>
      <c r="D35" s="2037"/>
      <c r="E35" s="2109"/>
      <c r="F35" s="2109"/>
      <c r="G35" s="2035" t="s">
        <v>2032</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2025</v>
      </c>
      <c r="D36" s="447" t="s">
        <v>2026</v>
      </c>
      <c r="E36" s="447" t="s">
        <v>2027</v>
      </c>
      <c r="F36" s="342" t="s">
        <v>2033</v>
      </c>
      <c r="G36" s="2112" t="s">
        <v>2025</v>
      </c>
      <c r="H36" s="2112" t="s">
        <v>2026</v>
      </c>
      <c r="I36" s="2112" t="s">
        <v>2027</v>
      </c>
      <c r="J36" s="243"/>
      <c r="K36" s="3355" t="s">
        <v>3268</v>
      </c>
      <c r="L36" s="3445">
        <f ca="1">'数据-取费表'!B40</f>
        <v>4.1499999999999995E-2</v>
      </c>
      <c r="M36" s="3356">
        <f ca="1">ROUND($L$36*(1+M31),3)</f>
        <v>5.1999999999999998E-2</v>
      </c>
      <c r="N36" s="3356">
        <f ca="1">ROUND($L$36*(1+N31),3)</f>
        <v>0.05</v>
      </c>
      <c r="O36" s="3356">
        <f ca="1">ROUND($L$36*(1+O31),3)</f>
        <v>4.8000000000000001E-2</v>
      </c>
      <c r="P36" s="3356">
        <f ca="1">ROUND($L$36*(1+P31),3)</f>
        <v>4.5999999999999999E-2</v>
      </c>
      <c r="Q36" s="3356">
        <f ca="1">ROUND($L$36*(1+Q31),3)</f>
        <v>4.8000000000000001E-2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64"/>
      <c r="B37" s="2113" t="s">
        <v>2034</v>
      </c>
      <c r="C37" s="175">
        <f>ROUND(D5*C22*C23*C24*C28*F37,0)</f>
        <v>515</v>
      </c>
      <c r="D37" s="2098"/>
      <c r="E37" s="171">
        <f>ROUND(C37*D37/10000,0)</f>
        <v>0</v>
      </c>
      <c r="F37" s="171">
        <f>SUMIF(修正!A57:A68,G2,修正!B57:B68)</f>
        <v>0.5</v>
      </c>
      <c r="G37" s="171">
        <f>ROUND(IF(E2="工业",C37*$M$42,C37*$M$41),0)</f>
        <v>77</v>
      </c>
      <c r="H37" s="171">
        <f>D37</f>
        <v>0</v>
      </c>
      <c r="I37" s="171">
        <f>ROUND(G37*H37/10000,0)</f>
        <v>0</v>
      </c>
      <c r="J37" s="3010"/>
      <c r="K37" s="3357" t="s">
        <v>3269</v>
      </c>
      <c r="L37" s="3355">
        <f ca="1">L36+K38</f>
        <v>4.6499999999999993E-2</v>
      </c>
      <c r="M37" s="3356">
        <f ca="1">ROUND($L$37*(1+M31),3)</f>
        <v>5.8000000000000003E-2</v>
      </c>
      <c r="N37" s="3356">
        <f t="shared" ref="N37:Q37" ca="1" si="3">ROUND($L$37*(1+N31),3)</f>
        <v>5.6000000000000001E-2</v>
      </c>
      <c r="O37" s="3356">
        <f t="shared" ca="1" si="3"/>
        <v>5.2999999999999999E-2</v>
      </c>
      <c r="P37" s="3356">
        <f t="shared" ca="1" si="3"/>
        <v>5.0999999999999997E-2</v>
      </c>
      <c r="Q37" s="3356">
        <f t="shared" ca="1" si="3"/>
        <v>5.2999999999999999E-2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65"/>
      <c r="B38" s="2041" t="s">
        <v>2035</v>
      </c>
      <c r="C38" s="175">
        <f>ROUND(D5*C22*C23*C24*C28*F38,0)</f>
        <v>206</v>
      </c>
      <c r="D38" s="2098"/>
      <c r="E38" s="171">
        <f t="shared" ref="E38:E42" si="4">ROUND(C38*D38/10000,0)</f>
        <v>0</v>
      </c>
      <c r="F38" s="171">
        <f>SUMIF(修正!A57:A68,G2,修正!C57:C68)</f>
        <v>0.2</v>
      </c>
      <c r="G38" s="171">
        <f>ROUND(IF(E2="工业",C38*$M$42,C38*$M$41),0)</f>
        <v>31</v>
      </c>
      <c r="H38" s="171">
        <f t="shared" ref="H38:H42" si="5">D38</f>
        <v>0</v>
      </c>
      <c r="I38" s="171">
        <f t="shared" ref="I38:I42" si="6">ROUND(G38*H38/10000,0)</f>
        <v>0</v>
      </c>
      <c r="J38" s="3009"/>
      <c r="K38" s="3355">
        <v>5.0000000000000001E-3</v>
      </c>
      <c r="L38" s="3355"/>
      <c r="M38" s="3355"/>
      <c r="N38" s="3355"/>
      <c r="O38" s="3355"/>
      <c r="P38" s="3355"/>
      <c r="Q38" s="3355"/>
      <c r="R38" s="1119"/>
      <c r="S38" s="1119"/>
      <c r="T38" s="1119"/>
      <c r="U38" s="1119"/>
      <c r="V38" s="1119"/>
      <c r="W38" s="1119"/>
      <c r="X38" s="1119"/>
      <c r="Y38" s="1119"/>
      <c r="Z38" s="1120"/>
      <c r="AA38" s="1120"/>
      <c r="AB38" s="1120"/>
      <c r="AC38" s="1120"/>
      <c r="AD38" s="1120"/>
    </row>
    <row r="39" spans="1:37" ht="13.5" thickBot="1">
      <c r="A39" s="3765"/>
      <c r="B39" s="2041" t="s">
        <v>3262</v>
      </c>
      <c r="C39" s="175">
        <f>ROUND(D5*C22*C23*C24*C28*F39,0)</f>
        <v>206</v>
      </c>
      <c r="D39" s="2098"/>
      <c r="E39" s="171">
        <f t="shared" si="4"/>
        <v>0</v>
      </c>
      <c r="F39" s="171">
        <f>SUMIF(修正!A57:A68,G2,修正!D57:D68)</f>
        <v>0.2</v>
      </c>
      <c r="G39" s="171">
        <f>ROUND(IF(E2="工业",C39*$M$42,C39*$M$41),0)</f>
        <v>31</v>
      </c>
      <c r="H39" s="171">
        <f t="shared" si="5"/>
        <v>0</v>
      </c>
      <c r="I39" s="171">
        <f t="shared" si="6"/>
        <v>0</v>
      </c>
      <c r="J39" s="3009"/>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2036</v>
      </c>
      <c r="C40" s="171">
        <f>ROUND(D5*C22*C23*C24*C28*F40,0)</f>
        <v>206</v>
      </c>
      <c r="D40" s="2098"/>
      <c r="E40" s="171">
        <f t="shared" si="4"/>
        <v>0</v>
      </c>
      <c r="F40" s="175">
        <f>SUMIF(修正!A57:A68,G2,修正!E57:E68)</f>
        <v>0.2</v>
      </c>
      <c r="G40" s="171">
        <f>ROUND(IF(E2="工业",C40*$M$42,C40*$M$41),0)</f>
        <v>31</v>
      </c>
      <c r="H40" s="171">
        <f t="shared" si="5"/>
        <v>0</v>
      </c>
      <c r="I40" s="171">
        <f t="shared" si="6"/>
        <v>0</v>
      </c>
      <c r="J40" s="2114"/>
      <c r="L40" s="2116" t="s">
        <v>2037</v>
      </c>
      <c r="M40" s="2117"/>
      <c r="Z40" s="1120"/>
      <c r="AA40" s="1120"/>
      <c r="AB40" s="1120"/>
      <c r="AC40" s="1120"/>
      <c r="AD40" s="1120"/>
      <c r="AE40" s="1120"/>
      <c r="AF40" s="1120"/>
      <c r="AG40" s="1120"/>
      <c r="AH40" s="1120"/>
      <c r="AI40" s="1120"/>
      <c r="AJ40" s="1120"/>
    </row>
    <row r="41" spans="1:37" s="1119" customFormat="1">
      <c r="A41" s="2115"/>
      <c r="B41" s="2041" t="s">
        <v>2038</v>
      </c>
      <c r="C41" s="171">
        <f>ROUND(D5*C22*C23*C44*C28*F41,0)</f>
        <v>0</v>
      </c>
      <c r="D41" s="2098"/>
      <c r="E41" s="171">
        <f t="shared" si="4"/>
        <v>0</v>
      </c>
      <c r="F41" s="175">
        <f>SUMIF(修正!A57:A68,G2,修正!F57:F68)</f>
        <v>0.2</v>
      </c>
      <c r="G41" s="171">
        <f>ROUND(IF(E2="工业",C41*$M$42,C41*$M$41),0)</f>
        <v>0</v>
      </c>
      <c r="H41" s="171">
        <f t="shared" si="5"/>
        <v>0</v>
      </c>
      <c r="I41" s="171">
        <f t="shared" si="6"/>
        <v>0</v>
      </c>
      <c r="J41" s="2114"/>
      <c r="L41" s="3358" t="s">
        <v>3270</v>
      </c>
      <c r="M41" s="2118">
        <v>0.25</v>
      </c>
      <c r="Z41" s="1120"/>
      <c r="AA41" s="1120"/>
      <c r="AB41" s="1120"/>
      <c r="AC41" s="1120"/>
      <c r="AD41" s="1120"/>
      <c r="AE41" s="1120"/>
      <c r="AF41" s="1120"/>
      <c r="AG41" s="1120"/>
      <c r="AH41" s="1120"/>
      <c r="AI41" s="1120"/>
      <c r="AJ41" s="1120"/>
    </row>
    <row r="42" spans="1:37" s="1119" customFormat="1" ht="13.5" thickBot="1">
      <c r="A42" s="2101"/>
      <c r="B42" s="2119" t="s">
        <v>2039</v>
      </c>
      <c r="C42" s="187">
        <f>ROUND(D5*C22*C23*C44*C28*F42,0)</f>
        <v>0</v>
      </c>
      <c r="D42" s="2103"/>
      <c r="E42" s="187">
        <f t="shared" si="4"/>
        <v>0</v>
      </c>
      <c r="F42" s="767">
        <f>SUMIF(修正!A57:A68,G2,修正!G57:G68)</f>
        <v>0.1</v>
      </c>
      <c r="G42" s="187">
        <f>ROUND(IF(E2="工业",C42*$M$42,C42*$M$41),0)</f>
        <v>0</v>
      </c>
      <c r="H42" s="187">
        <f t="shared" si="5"/>
        <v>0</v>
      </c>
      <c r="I42" s="187">
        <f t="shared" si="6"/>
        <v>0</v>
      </c>
      <c r="J42" s="2120"/>
      <c r="L42" s="2121" t="s">
        <v>1991</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2120</v>
      </c>
      <c r="C44" s="342">
        <f>ROUND(POWER(1+E44,H44-G44)*(POWER(1+E44,G44)-1)/(POWER(1+E44,H44)-1),4)</f>
        <v>0</v>
      </c>
      <c r="D44" s="171" t="s">
        <v>1997</v>
      </c>
      <c r="E44" s="2153">
        <f>G24</f>
        <v>0.05</v>
      </c>
      <c r="F44" s="171" t="s">
        <v>2006</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2040</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2041</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2042</v>
      </c>
      <c r="B49" s="1351" t="s">
        <v>2043</v>
      </c>
      <c r="C49" s="1351" t="s">
        <v>2044</v>
      </c>
      <c r="D49" s="1351" t="s">
        <v>2045</v>
      </c>
      <c r="E49" s="743" t="s">
        <v>2046</v>
      </c>
      <c r="F49" s="2131" t="s">
        <v>2047</v>
      </c>
      <c r="G49" s="1351" t="s">
        <v>310</v>
      </c>
      <c r="H49" s="2132" t="s">
        <v>2048</v>
      </c>
      <c r="I49" s="1351" t="s">
        <v>2049</v>
      </c>
      <c r="J49" s="552" t="s">
        <v>1720</v>
      </c>
      <c r="K49" s="552" t="s">
        <v>1721</v>
      </c>
      <c r="L49" s="552" t="s">
        <v>1722</v>
      </c>
      <c r="M49" s="552" t="s">
        <v>1723</v>
      </c>
      <c r="N49" s="552" t="s">
        <v>1724</v>
      </c>
      <c r="AA49" s="1120"/>
      <c r="AB49" s="1120"/>
      <c r="AC49" s="1120"/>
      <c r="AD49" s="1120"/>
      <c r="AE49" s="1120"/>
      <c r="AF49" s="1120"/>
      <c r="AG49" s="1120"/>
      <c r="AH49" s="1120"/>
      <c r="AI49" s="1120"/>
      <c r="AJ49" s="1120"/>
      <c r="AK49" s="1120"/>
    </row>
    <row r="50" spans="1:37" s="1119" customFormat="1" ht="38.25">
      <c r="A50" s="2130" t="s">
        <v>2050</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5">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2051</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5">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7" t="s">
        <v>3272</v>
      </c>
      <c r="B52" s="2134">
        <f>估价对象房地状况!C19</f>
        <v>0</v>
      </c>
      <c r="C52" s="2044"/>
      <c r="D52" s="1065">
        <f t="shared" si="7"/>
        <v>0</v>
      </c>
      <c r="E52" s="745"/>
      <c r="F52" s="1814"/>
      <c r="G52" s="1063"/>
      <c r="H52" s="1066" t="str">
        <f t="shared" si="8"/>
        <v>——</v>
      </c>
      <c r="I52" s="3365">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2052</v>
      </c>
      <c r="B53" s="2135" t="s">
        <v>2053</v>
      </c>
      <c r="C53" s="2044"/>
      <c r="D53" s="1065">
        <f t="shared" si="7"/>
        <v>0</v>
      </c>
      <c r="E53" s="745"/>
      <c r="F53" s="1814"/>
      <c r="G53" s="1063"/>
      <c r="H53" s="1066" t="str">
        <f t="shared" si="8"/>
        <v>——</v>
      </c>
      <c r="I53" s="3365">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2054</v>
      </c>
      <c r="B54" s="2134">
        <f>估价对象房地状况!C24</f>
        <v>0</v>
      </c>
      <c r="C54" s="2044"/>
      <c r="D54" s="1065">
        <f t="shared" si="7"/>
        <v>0</v>
      </c>
      <c r="E54" s="745"/>
      <c r="F54" s="1814"/>
      <c r="G54" s="1063"/>
      <c r="H54" s="1066" t="str">
        <f t="shared" si="8"/>
        <v>——</v>
      </c>
      <c r="I54" s="3365">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2055</v>
      </c>
      <c r="B55" s="2136" t="s">
        <v>2056</v>
      </c>
      <c r="C55" s="2044"/>
      <c r="D55" s="1065">
        <f t="shared" si="7"/>
        <v>0</v>
      </c>
      <c r="E55" s="745"/>
      <c r="F55" s="1814"/>
      <c r="G55" s="1063"/>
      <c r="H55" s="1066" t="str">
        <f t="shared" si="8"/>
        <v>——</v>
      </c>
      <c r="I55" s="3365">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2057</v>
      </c>
      <c r="B56" s="1326" t="str">
        <f>估价对象房地状况!C21</f>
        <v>估价对象所在区域公共配套设施齐备情况</v>
      </c>
      <c r="C56" s="2044"/>
      <c r="D56" s="1065">
        <f t="shared" si="7"/>
        <v>0</v>
      </c>
      <c r="E56" s="745"/>
      <c r="F56" s="1814"/>
      <c r="G56" s="1063"/>
      <c r="H56" s="1066" t="str">
        <f t="shared" si="8"/>
        <v>——</v>
      </c>
      <c r="I56" s="3365">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2058</v>
      </c>
      <c r="B57" s="2134" t="str">
        <f>估价对象房地状况!C22</f>
        <v>估价对象所在区域基础设施水平</v>
      </c>
      <c r="C57" s="2044"/>
      <c r="D57" s="1065">
        <f t="shared" si="7"/>
        <v>0</v>
      </c>
      <c r="E57" s="745"/>
      <c r="F57" s="1814"/>
      <c r="G57" s="1063"/>
      <c r="H57" s="1066" t="str">
        <f t="shared" si="8"/>
        <v>——</v>
      </c>
      <c r="I57" s="3365">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2059</v>
      </c>
      <c r="B58" s="2139" t="str">
        <f>估价对象房地状况!C20</f>
        <v>区域自然环境：；人文环境；综合评价环境状况一般</v>
      </c>
      <c r="C58" s="2044"/>
      <c r="D58" s="1065">
        <f t="shared" si="7"/>
        <v>0</v>
      </c>
      <c r="E58" s="746"/>
      <c r="F58" s="1814"/>
      <c r="G58" s="1063"/>
      <c r="H58" s="1066" t="str">
        <f t="shared" si="8"/>
        <v>——</v>
      </c>
      <c r="I58" s="3366">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2060</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2042</v>
      </c>
      <c r="B60" s="1351"/>
      <c r="C60" s="1351" t="s">
        <v>2044</v>
      </c>
      <c r="D60" s="1351" t="s">
        <v>2045</v>
      </c>
      <c r="E60" s="743" t="s">
        <v>2046</v>
      </c>
      <c r="F60" s="2131" t="s">
        <v>2061</v>
      </c>
      <c r="G60" s="1351" t="s">
        <v>310</v>
      </c>
      <c r="H60" s="2132" t="s">
        <v>2048</v>
      </c>
      <c r="I60" s="1351" t="s">
        <v>2049</v>
      </c>
      <c r="J60" s="552" t="s">
        <v>1720</v>
      </c>
      <c r="K60" s="552" t="s">
        <v>1721</v>
      </c>
      <c r="L60" s="552" t="s">
        <v>1722</v>
      </c>
      <c r="M60" s="552" t="s">
        <v>1723</v>
      </c>
      <c r="N60" s="552" t="s">
        <v>1724</v>
      </c>
      <c r="AA60" s="1120"/>
      <c r="AB60" s="1120"/>
      <c r="AC60" s="1120"/>
      <c r="AD60" s="1120"/>
      <c r="AE60" s="1120"/>
      <c r="AF60" s="1120"/>
      <c r="AG60" s="1120"/>
      <c r="AH60" s="1120"/>
      <c r="AI60" s="1120"/>
      <c r="AJ60" s="1120"/>
      <c r="AK60" s="1120"/>
    </row>
    <row r="61" spans="1:37" s="1119" customFormat="1" ht="38.25">
      <c r="A61" s="2130" t="s">
        <v>2062</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5">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2051</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5">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7" t="s">
        <v>3272</v>
      </c>
      <c r="B63" s="2134">
        <f>估价对象房地状况!C19</f>
        <v>0</v>
      </c>
      <c r="C63" s="2044"/>
      <c r="D63" s="1065">
        <f t="shared" si="12"/>
        <v>0</v>
      </c>
      <c r="E63" s="745"/>
      <c r="F63" s="1814"/>
      <c r="G63" s="1063"/>
      <c r="H63" s="1066" t="str">
        <f t="shared" si="13"/>
        <v>——</v>
      </c>
      <c r="I63" s="3365">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2052</v>
      </c>
      <c r="B64" s="2135" t="s">
        <v>2053</v>
      </c>
      <c r="C64" s="2044"/>
      <c r="D64" s="1065">
        <f t="shared" si="12"/>
        <v>0</v>
      </c>
      <c r="E64" s="745"/>
      <c r="F64" s="1814"/>
      <c r="G64" s="1063"/>
      <c r="H64" s="1066" t="str">
        <f t="shared" si="13"/>
        <v>——</v>
      </c>
      <c r="I64" s="3365">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2054</v>
      </c>
      <c r="B65" s="2134">
        <f>估价对象房地状况!C24</f>
        <v>0</v>
      </c>
      <c r="C65" s="2044"/>
      <c r="D65" s="1065">
        <f t="shared" si="12"/>
        <v>0</v>
      </c>
      <c r="E65" s="745"/>
      <c r="F65" s="1814"/>
      <c r="G65" s="1063"/>
      <c r="H65" s="1066" t="str">
        <f t="shared" si="13"/>
        <v>——</v>
      </c>
      <c r="I65" s="3365">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2055</v>
      </c>
      <c r="B66" s="2136" t="s">
        <v>2056</v>
      </c>
      <c r="C66" s="2044"/>
      <c r="D66" s="1065">
        <f t="shared" si="12"/>
        <v>0</v>
      </c>
      <c r="E66" s="745"/>
      <c r="F66" s="1814"/>
      <c r="G66" s="1063"/>
      <c r="H66" s="1066" t="str">
        <f t="shared" si="13"/>
        <v>——</v>
      </c>
      <c r="I66" s="3365">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2057</v>
      </c>
      <c r="B67" s="1326" t="str">
        <f>估价对象房地状况!C21</f>
        <v>估价对象所在区域公共配套设施齐备情况</v>
      </c>
      <c r="C67" s="2044"/>
      <c r="D67" s="1065">
        <f t="shared" si="12"/>
        <v>0</v>
      </c>
      <c r="E67" s="745"/>
      <c r="F67" s="1814"/>
      <c r="G67" s="1063"/>
      <c r="H67" s="1066" t="str">
        <f t="shared" si="13"/>
        <v>——</v>
      </c>
      <c r="I67" s="3365">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2058</v>
      </c>
      <c r="B68" s="1326" t="str">
        <f>估价对象房地状况!C22</f>
        <v>估价对象所在区域基础设施水平</v>
      </c>
      <c r="C68" s="2044"/>
      <c r="D68" s="1065">
        <f t="shared" si="12"/>
        <v>0</v>
      </c>
      <c r="E68" s="745"/>
      <c r="F68" s="1814"/>
      <c r="G68" s="1063"/>
      <c r="H68" s="1066" t="str">
        <f t="shared" si="13"/>
        <v>——</v>
      </c>
      <c r="I68" s="3365">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2059</v>
      </c>
      <c r="B69" s="2140" t="str">
        <f>估价对象房地状况!C20</f>
        <v>区域自然环境：；人文环境；综合评价环境状况一般</v>
      </c>
      <c r="C69" s="2044"/>
      <c r="D69" s="1065">
        <f t="shared" si="12"/>
        <v>0</v>
      </c>
      <c r="E69" s="746"/>
      <c r="F69" s="1814"/>
      <c r="G69" s="1063"/>
      <c r="H69" s="1066" t="str">
        <f t="shared" si="13"/>
        <v>——</v>
      </c>
      <c r="I69" s="3366">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2063</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2042</v>
      </c>
      <c r="B71" s="1351"/>
      <c r="C71" s="1351" t="s">
        <v>2044</v>
      </c>
      <c r="D71" s="1351" t="s">
        <v>2045</v>
      </c>
      <c r="E71" s="743" t="s">
        <v>2046</v>
      </c>
      <c r="F71" s="2131" t="s">
        <v>2061</v>
      </c>
      <c r="G71" s="1351" t="s">
        <v>310</v>
      </c>
      <c r="H71" s="2132" t="s">
        <v>2048</v>
      </c>
      <c r="I71" s="1351" t="s">
        <v>2049</v>
      </c>
      <c r="J71" s="552" t="s">
        <v>1720</v>
      </c>
      <c r="K71" s="552" t="s">
        <v>1721</v>
      </c>
      <c r="L71" s="552" t="s">
        <v>1722</v>
      </c>
      <c r="M71" s="552" t="s">
        <v>1723</v>
      </c>
      <c r="N71" s="552" t="s">
        <v>1724</v>
      </c>
      <c r="AA71" s="1120"/>
      <c r="AB71" s="1120"/>
      <c r="AC71" s="1120"/>
      <c r="AD71" s="1120"/>
      <c r="AE71" s="1120"/>
      <c r="AF71" s="1120"/>
      <c r="AG71" s="1120"/>
      <c r="AH71" s="1120"/>
      <c r="AI71" s="1120"/>
      <c r="AJ71" s="1120"/>
      <c r="AK71" s="1120"/>
    </row>
    <row r="72" spans="1:37" s="1119" customFormat="1" ht="51">
      <c r="A72" s="2130" t="s">
        <v>2064</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5">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2051</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5">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7" t="s">
        <v>3272</v>
      </c>
      <c r="B74" s="2134">
        <f>估价对象房地状况!C19</f>
        <v>0</v>
      </c>
      <c r="C74" s="2044"/>
      <c r="D74" s="1065">
        <f t="shared" si="17"/>
        <v>0</v>
      </c>
      <c r="E74" s="747"/>
      <c r="F74" s="1814"/>
      <c r="G74" s="1063"/>
      <c r="H74" s="1066" t="str">
        <f t="shared" si="18"/>
        <v>——</v>
      </c>
      <c r="I74" s="3365">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2065</v>
      </c>
      <c r="B75" s="2134">
        <f>估价对象房地状况!C24</f>
        <v>0</v>
      </c>
      <c r="C75" s="2044"/>
      <c r="D75" s="1065">
        <f t="shared" si="17"/>
        <v>0</v>
      </c>
      <c r="E75" s="747"/>
      <c r="F75" s="1814"/>
      <c r="G75" s="1063"/>
      <c r="H75" s="1066" t="str">
        <f t="shared" si="18"/>
        <v>——</v>
      </c>
      <c r="I75" s="3365">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2057</v>
      </c>
      <c r="B76" s="1326" t="str">
        <f>估价对象房地状况!C21</f>
        <v>估价对象所在区域公共配套设施齐备情况</v>
      </c>
      <c r="C76" s="2044"/>
      <c r="D76" s="1065">
        <f t="shared" si="17"/>
        <v>0</v>
      </c>
      <c r="E76" s="747"/>
      <c r="F76" s="1814"/>
      <c r="G76" s="1063"/>
      <c r="H76" s="1066" t="str">
        <f t="shared" si="18"/>
        <v>——</v>
      </c>
      <c r="I76" s="3365">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2058</v>
      </c>
      <c r="B77" s="1326" t="str">
        <f>估价对象房地状况!C22</f>
        <v>估价对象所在区域基础设施水平</v>
      </c>
      <c r="C77" s="2044"/>
      <c r="D77" s="1065">
        <f t="shared" si="17"/>
        <v>0</v>
      </c>
      <c r="E77" s="747"/>
      <c r="F77" s="1814"/>
      <c r="G77" s="1063"/>
      <c r="H77" s="1066" t="str">
        <f t="shared" si="18"/>
        <v>——</v>
      </c>
      <c r="I77" s="3365">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2055</v>
      </c>
      <c r="B78" s="2136" t="s">
        <v>2056</v>
      </c>
      <c r="C78" s="2044"/>
      <c r="D78" s="1065">
        <f t="shared" si="17"/>
        <v>0</v>
      </c>
      <c r="E78" s="747"/>
      <c r="F78" s="1814"/>
      <c r="G78" s="1063"/>
      <c r="H78" s="1066" t="str">
        <f t="shared" si="18"/>
        <v>——</v>
      </c>
      <c r="I78" s="3365">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2059</v>
      </c>
      <c r="B79" s="2133" t="str">
        <f>估价对象房地状况!C20</f>
        <v>区域自然环境：；人文环境；综合评价环境状况一般</v>
      </c>
      <c r="C79" s="2044"/>
      <c r="D79" s="1065">
        <f t="shared" si="17"/>
        <v>0</v>
      </c>
      <c r="E79" s="747"/>
      <c r="F79" s="1814"/>
      <c r="G79" s="1063"/>
      <c r="H79" s="1066" t="str">
        <f t="shared" si="18"/>
        <v>——</v>
      </c>
      <c r="I79" s="3365">
        <v>0.12</v>
      </c>
      <c r="J79" s="1064">
        <f t="shared" si="19"/>
        <v>0</v>
      </c>
      <c r="K79" s="1064">
        <f t="shared" si="20"/>
        <v>0</v>
      </c>
      <c r="L79" s="1064">
        <v>0</v>
      </c>
      <c r="M79" s="1064">
        <f t="shared" si="21"/>
        <v>0</v>
      </c>
      <c r="N79" s="1064">
        <f t="shared" si="21"/>
        <v>0</v>
      </c>
      <c r="Z79" s="1998"/>
      <c r="AA79" s="2053"/>
      <c r="AG79" s="1121"/>
      <c r="AK79" s="2053"/>
    </row>
    <row r="80" spans="1:37" ht="24.75" thickBot="1">
      <c r="A80" s="2138" t="s">
        <v>2066</v>
      </c>
      <c r="B80" s="2142"/>
      <c r="C80" s="2044"/>
      <c r="D80" s="1065">
        <f t="shared" si="17"/>
        <v>0</v>
      </c>
      <c r="E80" s="748"/>
      <c r="F80" s="1814"/>
      <c r="G80" s="1063"/>
      <c r="H80" s="1066" t="str">
        <f t="shared" si="18"/>
        <v>——</v>
      </c>
      <c r="I80" s="3366">
        <v>0.05</v>
      </c>
      <c r="J80" s="1064">
        <f t="shared" si="19"/>
        <v>0</v>
      </c>
      <c r="K80" s="1064">
        <f t="shared" si="20"/>
        <v>0</v>
      </c>
      <c r="L80" s="1064">
        <v>0</v>
      </c>
      <c r="M80" s="1064">
        <f t="shared" si="21"/>
        <v>0</v>
      </c>
      <c r="N80" s="1064">
        <f t="shared" si="21"/>
        <v>0</v>
      </c>
      <c r="Z80" s="1998"/>
      <c r="AA80" s="2053"/>
      <c r="AG80" s="1121"/>
      <c r="AK80" s="2053"/>
    </row>
    <row r="81" spans="1:37" ht="15">
      <c r="A81" s="2126" t="s">
        <v>2067</v>
      </c>
      <c r="B81" s="2127">
        <f>1+E83</f>
        <v>1.0264</v>
      </c>
      <c r="C81" s="741"/>
      <c r="D81" s="741"/>
      <c r="E81" s="742"/>
      <c r="F81" s="2129"/>
      <c r="G81" s="3"/>
      <c r="H81" s="3"/>
      <c r="I81" s="3"/>
      <c r="J81" s="4"/>
      <c r="K81" s="4"/>
      <c r="L81" s="4"/>
      <c r="M81" s="4"/>
      <c r="N81" s="4"/>
      <c r="Z81" s="1998"/>
      <c r="AA81" s="2053"/>
      <c r="AG81" s="1121"/>
      <c r="AK81" s="2053"/>
    </row>
    <row r="82" spans="1:37" ht="24.75">
      <c r="A82" s="2130" t="s">
        <v>2042</v>
      </c>
      <c r="B82" s="1351"/>
      <c r="C82" s="1351" t="s">
        <v>2044</v>
      </c>
      <c r="D82" s="1351" t="s">
        <v>2045</v>
      </c>
      <c r="E82" s="743" t="s">
        <v>2046</v>
      </c>
      <c r="F82" s="2131" t="s">
        <v>2061</v>
      </c>
      <c r="G82" s="1351" t="s">
        <v>310</v>
      </c>
      <c r="H82" s="2132" t="s">
        <v>2048</v>
      </c>
      <c r="I82" s="1351" t="s">
        <v>2049</v>
      </c>
      <c r="J82" s="552" t="s">
        <v>1720</v>
      </c>
      <c r="K82" s="552" t="s">
        <v>1721</v>
      </c>
      <c r="L82" s="552" t="s">
        <v>1722</v>
      </c>
      <c r="M82" s="552" t="s">
        <v>1723</v>
      </c>
      <c r="N82" s="552" t="s">
        <v>1724</v>
      </c>
      <c r="Z82" s="1998"/>
      <c r="AA82" s="2053"/>
      <c r="AG82" s="1121"/>
      <c r="AK82" s="2053"/>
    </row>
    <row r="83" spans="1:37" ht="38.25">
      <c r="A83" s="2130" t="s">
        <v>2068</v>
      </c>
      <c r="B83" s="2134" t="str">
        <f>估价对象房地状况!G15</f>
        <v>估价对象位于XX开发区，园区建设成熟度XX，产业集聚程度XX</v>
      </c>
      <c r="C83" s="2044" t="s">
        <v>3424</v>
      </c>
      <c r="D83" s="1065">
        <f t="shared" ref="D83:D90" si="22">SUMIF($J$82:$N$82,C83,J83:N83)</f>
        <v>6.4999999999999997E-3</v>
      </c>
      <c r="E83" s="744">
        <f>ROUND(SUM(D83:D90),4)</f>
        <v>2.64E-2</v>
      </c>
      <c r="F83" s="1814">
        <f>IF(E2="工业",SUMIF(L1:L12,G2,N1:N12),"——")</f>
        <v>0.05</v>
      </c>
      <c r="G83" s="1063">
        <f>H83</f>
        <v>6.4999999999999997E-3</v>
      </c>
      <c r="H83" s="1066">
        <f t="shared" ref="H83:H90" si="23">IFERROR(ROUNDDOWN($F$83*I83/2,4),"——")</f>
        <v>6.4999999999999997E-3</v>
      </c>
      <c r="I83" s="3365">
        <v>0.26</v>
      </c>
      <c r="J83" s="1064">
        <f t="shared" ref="J83:J90" si="24">K83+$G83</f>
        <v>1.2999999999999999E-2</v>
      </c>
      <c r="K83" s="1064">
        <f t="shared" ref="K83:K90" si="25">$L83+$G83</f>
        <v>6.4999999999999997E-3</v>
      </c>
      <c r="L83" s="1064">
        <v>0</v>
      </c>
      <c r="M83" s="1064">
        <f t="shared" ref="M83:N90" si="26">L83-$G83</f>
        <v>-6.4999999999999997E-3</v>
      </c>
      <c r="N83" s="1064">
        <f t="shared" si="26"/>
        <v>-1.2999999999999999E-2</v>
      </c>
      <c r="Z83" s="1998"/>
      <c r="AA83" s="2053"/>
      <c r="AG83" s="1121"/>
      <c r="AK83" s="2053"/>
    </row>
    <row r="84" spans="1:37" ht="38.25">
      <c r="A84" s="2130" t="s">
        <v>2051</v>
      </c>
      <c r="B84" s="2134" t="str">
        <f>估价对象房地状况!G16</f>
        <v>估价对象周边道路状况、公共交通通达情况、停车便捷程度，综合评价交通便捷度较好</v>
      </c>
      <c r="C84" s="2044" t="s">
        <v>3424</v>
      </c>
      <c r="D84" s="1065">
        <f t="shared" si="22"/>
        <v>7.4999999999999997E-3</v>
      </c>
      <c r="E84" s="747"/>
      <c r="F84" s="1814"/>
      <c r="G84" s="1063">
        <f t="shared" ref="G84:G90" si="27">H84</f>
        <v>7.4999999999999997E-3</v>
      </c>
      <c r="H84" s="1066">
        <f t="shared" si="23"/>
        <v>7.4999999999999997E-3</v>
      </c>
      <c r="I84" s="3365">
        <v>0.3</v>
      </c>
      <c r="J84" s="1064">
        <f t="shared" si="24"/>
        <v>1.4999999999999999E-2</v>
      </c>
      <c r="K84" s="1064">
        <f t="shared" si="25"/>
        <v>7.4999999999999997E-3</v>
      </c>
      <c r="L84" s="1064">
        <v>0</v>
      </c>
      <c r="M84" s="1064">
        <f t="shared" si="26"/>
        <v>-7.4999999999999997E-3</v>
      </c>
      <c r="N84" s="1064">
        <f t="shared" si="26"/>
        <v>-1.4999999999999999E-2</v>
      </c>
      <c r="Z84" s="1998"/>
      <c r="AA84" s="2053"/>
      <c r="AG84" s="1121"/>
      <c r="AK84" s="2053"/>
    </row>
    <row r="85" spans="1:37" ht="36">
      <c r="A85" s="3367" t="s">
        <v>3273</v>
      </c>
      <c r="B85" s="2134">
        <f>估价对象房地状况!G17</f>
        <v>0</v>
      </c>
      <c r="C85" s="2044" t="s">
        <v>3424</v>
      </c>
      <c r="D85" s="1065">
        <f t="shared" si="22"/>
        <v>2.5000000000000001E-3</v>
      </c>
      <c r="E85" s="747"/>
      <c r="F85" s="1814"/>
      <c r="G85" s="1063">
        <f t="shared" si="27"/>
        <v>2.5000000000000001E-3</v>
      </c>
      <c r="H85" s="1066">
        <f t="shared" si="23"/>
        <v>2.5000000000000001E-3</v>
      </c>
      <c r="I85" s="3365">
        <v>0.1</v>
      </c>
      <c r="J85" s="1064">
        <f t="shared" si="24"/>
        <v>5.0000000000000001E-3</v>
      </c>
      <c r="K85" s="1064">
        <f t="shared" si="25"/>
        <v>2.5000000000000001E-3</v>
      </c>
      <c r="L85" s="1064">
        <v>0</v>
      </c>
      <c r="M85" s="1064">
        <f t="shared" si="26"/>
        <v>-2.5000000000000001E-3</v>
      </c>
      <c r="N85" s="1064">
        <f t="shared" si="26"/>
        <v>-5.0000000000000001E-3</v>
      </c>
      <c r="Z85" s="1998"/>
      <c r="AA85" s="2053"/>
      <c r="AG85" s="1121"/>
      <c r="AK85" s="2053"/>
    </row>
    <row r="86" spans="1:37" ht="14.25">
      <c r="A86" s="2130" t="s">
        <v>2065</v>
      </c>
      <c r="B86" s="2134">
        <f>估价对象房地状况!G22</f>
        <v>0</v>
      </c>
      <c r="C86" s="2044" t="s">
        <v>3424</v>
      </c>
      <c r="D86" s="1065">
        <f t="shared" si="22"/>
        <v>1.1999999999999999E-3</v>
      </c>
      <c r="E86" s="747"/>
      <c r="F86" s="1814"/>
      <c r="G86" s="1063">
        <f t="shared" si="27"/>
        <v>1.1999999999999999E-3</v>
      </c>
      <c r="H86" s="1066">
        <f t="shared" si="23"/>
        <v>1.1999999999999999E-3</v>
      </c>
      <c r="I86" s="3365">
        <v>0.05</v>
      </c>
      <c r="J86" s="1064">
        <f t="shared" si="24"/>
        <v>2.3999999999999998E-3</v>
      </c>
      <c r="K86" s="1064">
        <f t="shared" si="25"/>
        <v>1.1999999999999999E-3</v>
      </c>
      <c r="L86" s="1064">
        <v>0</v>
      </c>
      <c r="M86" s="1064">
        <f t="shared" si="26"/>
        <v>-1.1999999999999999E-3</v>
      </c>
      <c r="N86" s="1064">
        <f t="shared" si="26"/>
        <v>-2.3999999999999998E-3</v>
      </c>
      <c r="Z86" s="1998"/>
      <c r="AA86" s="2053"/>
      <c r="AG86" s="1121"/>
      <c r="AK86" s="2053"/>
    </row>
    <row r="87" spans="1:37" ht="25.5">
      <c r="A87" s="2130" t="s">
        <v>2057</v>
      </c>
      <c r="B87" s="1326" t="str">
        <f>估价对象房地状况!G19</f>
        <v>估价对象所在区域公共配套设施齐备情况</v>
      </c>
      <c r="C87" s="2044" t="s">
        <v>3425</v>
      </c>
      <c r="D87" s="1065">
        <f t="shared" si="22"/>
        <v>0</v>
      </c>
      <c r="E87" s="747"/>
      <c r="F87" s="1814"/>
      <c r="G87" s="1063">
        <f t="shared" si="27"/>
        <v>1.5E-3</v>
      </c>
      <c r="H87" s="1066">
        <f t="shared" si="23"/>
        <v>1.5E-3</v>
      </c>
      <c r="I87" s="3365">
        <v>0.06</v>
      </c>
      <c r="J87" s="1064">
        <f t="shared" si="24"/>
        <v>3.0000000000000001E-3</v>
      </c>
      <c r="K87" s="1064">
        <f t="shared" si="25"/>
        <v>1.5E-3</v>
      </c>
      <c r="L87" s="1064">
        <v>0</v>
      </c>
      <c r="M87" s="1064">
        <f t="shared" si="26"/>
        <v>-1.5E-3</v>
      </c>
      <c r="N87" s="1064">
        <f t="shared" si="26"/>
        <v>-3.0000000000000001E-3</v>
      </c>
    </row>
    <row r="88" spans="1:37" ht="25.5">
      <c r="A88" s="2130" t="s">
        <v>2058</v>
      </c>
      <c r="B88" s="1326" t="str">
        <f>估价对象房地状况!G20</f>
        <v>估价对象所在区域基础设施水平</v>
      </c>
      <c r="C88" s="2044" t="s">
        <v>3426</v>
      </c>
      <c r="D88" s="1065">
        <f t="shared" si="22"/>
        <v>6.0000000000000001E-3</v>
      </c>
      <c r="E88" s="747"/>
      <c r="F88" s="1814"/>
      <c r="G88" s="1063">
        <f t="shared" si="27"/>
        <v>3.0000000000000001E-3</v>
      </c>
      <c r="H88" s="1066">
        <f t="shared" si="23"/>
        <v>3.0000000000000001E-3</v>
      </c>
      <c r="I88" s="3365">
        <v>0.12</v>
      </c>
      <c r="J88" s="1064">
        <f t="shared" si="24"/>
        <v>6.0000000000000001E-3</v>
      </c>
      <c r="K88" s="1064">
        <f t="shared" si="25"/>
        <v>3.0000000000000001E-3</v>
      </c>
      <c r="L88" s="1064">
        <v>0</v>
      </c>
      <c r="M88" s="1064">
        <f t="shared" si="26"/>
        <v>-3.0000000000000001E-3</v>
      </c>
      <c r="N88" s="1064">
        <f t="shared" si="26"/>
        <v>-6.0000000000000001E-3</v>
      </c>
    </row>
    <row r="89" spans="1:37" ht="24">
      <c r="A89" s="2130" t="s">
        <v>2055</v>
      </c>
      <c r="B89" s="2136" t="s">
        <v>2069</v>
      </c>
      <c r="C89" s="2044" t="s">
        <v>3424</v>
      </c>
      <c r="D89" s="1065">
        <f t="shared" si="22"/>
        <v>1.5E-3</v>
      </c>
      <c r="E89" s="747"/>
      <c r="F89" s="1814"/>
      <c r="G89" s="1063">
        <f t="shared" si="27"/>
        <v>1.5E-3</v>
      </c>
      <c r="H89" s="1066">
        <f t="shared" si="23"/>
        <v>1.5E-3</v>
      </c>
      <c r="I89" s="3365">
        <v>0.06</v>
      </c>
      <c r="J89" s="1064">
        <f t="shared" si="24"/>
        <v>3.0000000000000001E-3</v>
      </c>
      <c r="K89" s="1064">
        <f t="shared" si="25"/>
        <v>1.5E-3</v>
      </c>
      <c r="L89" s="1064">
        <v>0</v>
      </c>
      <c r="M89" s="1064">
        <f t="shared" si="26"/>
        <v>-1.5E-3</v>
      </c>
      <c r="N89" s="1064">
        <f t="shared" si="26"/>
        <v>-3.0000000000000001E-3</v>
      </c>
    </row>
    <row r="90" spans="1:37" ht="39" thickBot="1">
      <c r="A90" s="2138" t="s">
        <v>2070</v>
      </c>
      <c r="B90" s="2143" t="str">
        <f>估价对象房地状况!G18</f>
        <v>该园区内是否有污染型企业，绿化情况，卫生条件，整体环境状况判断</v>
      </c>
      <c r="C90" s="2044" t="s">
        <v>3424</v>
      </c>
      <c r="D90" s="1065">
        <f t="shared" si="22"/>
        <v>1.1999999999999999E-3</v>
      </c>
      <c r="E90" s="748"/>
      <c r="F90" s="1814"/>
      <c r="G90" s="1063">
        <f t="shared" si="27"/>
        <v>1.1999999999999999E-3</v>
      </c>
      <c r="H90" s="1066">
        <f t="shared" si="23"/>
        <v>1.1999999999999999E-3</v>
      </c>
      <c r="I90" s="3366">
        <v>0.05</v>
      </c>
      <c r="J90" s="1064">
        <f t="shared" si="24"/>
        <v>2.3999999999999998E-3</v>
      </c>
      <c r="K90" s="1064">
        <f t="shared" si="25"/>
        <v>1.1999999999999999E-3</v>
      </c>
      <c r="L90" s="1064">
        <v>0</v>
      </c>
      <c r="M90" s="1064">
        <f t="shared" si="26"/>
        <v>-1.1999999999999999E-3</v>
      </c>
      <c r="N90" s="1064">
        <f t="shared" si="26"/>
        <v>-2.3999999999999998E-3</v>
      </c>
    </row>
    <row r="91" spans="1:37" ht="15">
      <c r="A91" s="3375" t="s">
        <v>2613</v>
      </c>
      <c r="B91" s="3376">
        <f>1+E93</f>
        <v>1</v>
      </c>
      <c r="C91" s="3369"/>
      <c r="D91" s="3370"/>
      <c r="E91" s="1814"/>
      <c r="F91" s="1814"/>
      <c r="G91" s="3371"/>
      <c r="H91" s="3372"/>
      <c r="I91" s="3373"/>
      <c r="J91" s="3374"/>
      <c r="K91" s="3374"/>
      <c r="L91" s="3374"/>
      <c r="M91" s="3374"/>
      <c r="N91" s="3374"/>
    </row>
    <row r="92" spans="1:37" ht="24.75">
      <c r="A92" s="3377" t="s">
        <v>3274</v>
      </c>
      <c r="B92" s="3364"/>
      <c r="C92" s="3364" t="s">
        <v>3283</v>
      </c>
      <c r="D92" s="3364" t="s">
        <v>3284</v>
      </c>
      <c r="E92" s="3346" t="s">
        <v>3285</v>
      </c>
      <c r="F92" s="3379" t="s">
        <v>3286</v>
      </c>
      <c r="G92" s="3364" t="s">
        <v>3287</v>
      </c>
      <c r="H92" s="3386" t="s">
        <v>3290</v>
      </c>
      <c r="I92" s="3364" t="s">
        <v>3291</v>
      </c>
      <c r="J92" s="3387" t="s">
        <v>3292</v>
      </c>
      <c r="K92" s="3387" t="s">
        <v>3293</v>
      </c>
      <c r="L92" s="3387" t="s">
        <v>3294</v>
      </c>
      <c r="M92" s="3387" t="s">
        <v>3295</v>
      </c>
      <c r="N92" s="3387" t="s">
        <v>3296</v>
      </c>
    </row>
    <row r="93" spans="1:37" ht="24">
      <c r="A93" s="3367" t="s">
        <v>3275</v>
      </c>
      <c r="B93" s="1306"/>
      <c r="C93" s="2044"/>
      <c r="D93" s="3364">
        <f>SUMIF($J$92:$N$92,C93,J93:N93)</f>
        <v>0</v>
      </c>
      <c r="E93" s="3380">
        <f>ROUND(SUM(D93:D101),4)</f>
        <v>0</v>
      </c>
      <c r="F93" s="1814" t="str">
        <f>IF(E2="公共服务",SUMIF(L1:L12,G2,N1:N12),"——")</f>
        <v>——</v>
      </c>
      <c r="G93" s="3371"/>
      <c r="H93" s="3419" t="str">
        <f>IFERROR(ROUNDDOWN($F$93*I93/2,4),"——")</f>
        <v>——</v>
      </c>
      <c r="I93" s="3365">
        <v>0.25</v>
      </c>
      <c r="J93" s="3343">
        <f t="shared" ref="J93:J101" si="28">K93+$G93</f>
        <v>0</v>
      </c>
      <c r="K93" s="3343">
        <f t="shared" ref="K93:K101" si="29">$L93+$G93</f>
        <v>0</v>
      </c>
      <c r="L93" s="3343">
        <v>0</v>
      </c>
      <c r="M93" s="3343">
        <f t="shared" ref="M93:N101" si="30">L93-$G93</f>
        <v>0</v>
      </c>
      <c r="N93" s="3343">
        <f t="shared" si="30"/>
        <v>0</v>
      </c>
    </row>
    <row r="94" spans="1:37" ht="38.25">
      <c r="A94" s="3377" t="s">
        <v>3276</v>
      </c>
      <c r="B94" s="3368" t="str">
        <f>估价对象房地状况!C18</f>
        <v>估价对象周边道路状况、公共交通通达情况、停车便捷程度，综合评价交通便捷度较好</v>
      </c>
      <c r="C94" s="2044"/>
      <c r="D94" s="3364">
        <f t="shared" ref="D94:D101" si="31">SUMIF($J$60:$N$60,C94,J94:N94)</f>
        <v>0</v>
      </c>
      <c r="E94" s="3381"/>
      <c r="F94" s="1814"/>
      <c r="G94" s="3371"/>
      <c r="H94" s="3419" t="str">
        <f>IFERROR(ROUNDDOWN($F$93*I94/2,4),"——")</f>
        <v>——</v>
      </c>
      <c r="I94" s="3365">
        <v>0.26</v>
      </c>
      <c r="J94" s="3343">
        <f t="shared" si="28"/>
        <v>0</v>
      </c>
      <c r="K94" s="3343">
        <f t="shared" si="29"/>
        <v>0</v>
      </c>
      <c r="L94" s="3343">
        <v>0</v>
      </c>
      <c r="M94" s="3343">
        <f t="shared" si="30"/>
        <v>0</v>
      </c>
      <c r="N94" s="3343">
        <f t="shared" si="30"/>
        <v>0</v>
      </c>
    </row>
    <row r="95" spans="1:37" ht="36">
      <c r="A95" s="3367" t="s">
        <v>3272</v>
      </c>
      <c r="B95" s="3368">
        <f>估价对象房地状况!C19</f>
        <v>0</v>
      </c>
      <c r="C95" s="2044"/>
      <c r="D95" s="3364">
        <f t="shared" si="31"/>
        <v>0</v>
      </c>
      <c r="E95" s="3381"/>
      <c r="F95" s="1814"/>
      <c r="G95" s="3371"/>
      <c r="H95" s="3419" t="str">
        <f t="shared" ref="H95:H101" si="32">IFERROR(ROUNDDOWN($F$93*I95/2,4),"——")</f>
        <v>——</v>
      </c>
      <c r="I95" s="3365">
        <v>0.11</v>
      </c>
      <c r="J95" s="3343">
        <f t="shared" si="28"/>
        <v>0</v>
      </c>
      <c r="K95" s="3343">
        <f t="shared" si="29"/>
        <v>0</v>
      </c>
      <c r="L95" s="3343">
        <v>0</v>
      </c>
      <c r="M95" s="3343">
        <f t="shared" si="30"/>
        <v>0</v>
      </c>
      <c r="N95" s="3343">
        <f t="shared" si="30"/>
        <v>0</v>
      </c>
    </row>
    <row r="96" spans="1:37" ht="36.75">
      <c r="A96" s="3377" t="s">
        <v>3277</v>
      </c>
      <c r="B96" s="3383" t="s">
        <v>3288</v>
      </c>
      <c r="C96" s="2044"/>
      <c r="D96" s="3364">
        <f t="shared" si="31"/>
        <v>0</v>
      </c>
      <c r="E96" s="3381"/>
      <c r="F96" s="1814"/>
      <c r="G96" s="3371"/>
      <c r="H96" s="3419" t="str">
        <f t="shared" si="32"/>
        <v>——</v>
      </c>
      <c r="I96" s="3365">
        <v>0.05</v>
      </c>
      <c r="J96" s="3343">
        <f t="shared" si="28"/>
        <v>0</v>
      </c>
      <c r="K96" s="3343">
        <f t="shared" si="29"/>
        <v>0</v>
      </c>
      <c r="L96" s="3343">
        <v>0</v>
      </c>
      <c r="M96" s="3343">
        <f t="shared" si="30"/>
        <v>0</v>
      </c>
      <c r="N96" s="3343">
        <f t="shared" si="30"/>
        <v>0</v>
      </c>
    </row>
    <row r="97" spans="1:14" ht="24">
      <c r="A97" s="3377" t="s">
        <v>3278</v>
      </c>
      <c r="B97" s="3368">
        <f>估价对象房地状况!C24</f>
        <v>0</v>
      </c>
      <c r="C97" s="2044"/>
      <c r="D97" s="3364">
        <f t="shared" si="31"/>
        <v>0</v>
      </c>
      <c r="E97" s="3381"/>
      <c r="F97" s="1814"/>
      <c r="G97" s="3371"/>
      <c r="H97" s="3419" t="str">
        <f t="shared" si="32"/>
        <v>——</v>
      </c>
      <c r="I97" s="3365">
        <v>0.05</v>
      </c>
      <c r="J97" s="3343">
        <f t="shared" si="28"/>
        <v>0</v>
      </c>
      <c r="K97" s="3343">
        <f t="shared" si="29"/>
        <v>0</v>
      </c>
      <c r="L97" s="3343">
        <v>0</v>
      </c>
      <c r="M97" s="3343">
        <f t="shared" si="30"/>
        <v>0</v>
      </c>
      <c r="N97" s="3343">
        <f t="shared" si="30"/>
        <v>0</v>
      </c>
    </row>
    <row r="98" spans="1:14" ht="24">
      <c r="A98" s="3377" t="s">
        <v>3279</v>
      </c>
      <c r="B98" s="3384" t="s">
        <v>3289</v>
      </c>
      <c r="C98" s="2044"/>
      <c r="D98" s="3364">
        <f t="shared" si="31"/>
        <v>0</v>
      </c>
      <c r="E98" s="3381"/>
      <c r="F98" s="1814"/>
      <c r="G98" s="3371"/>
      <c r="H98" s="3419" t="str">
        <f t="shared" si="32"/>
        <v>——</v>
      </c>
      <c r="I98" s="3365">
        <v>0.06</v>
      </c>
      <c r="J98" s="3343">
        <f t="shared" si="28"/>
        <v>0</v>
      </c>
      <c r="K98" s="3343">
        <f t="shared" si="29"/>
        <v>0</v>
      </c>
      <c r="L98" s="3343">
        <v>0</v>
      </c>
      <c r="M98" s="3343">
        <f t="shared" si="30"/>
        <v>0</v>
      </c>
      <c r="N98" s="3343">
        <f t="shared" si="30"/>
        <v>0</v>
      </c>
    </row>
    <row r="99" spans="1:14" ht="25.5">
      <c r="A99" s="3377" t="s">
        <v>3280</v>
      </c>
      <c r="B99" s="3368" t="str">
        <f>估价对象房地状况!C21</f>
        <v>估价对象所在区域公共配套设施齐备情况</v>
      </c>
      <c r="C99" s="2044"/>
      <c r="D99" s="3364">
        <f t="shared" si="31"/>
        <v>0</v>
      </c>
      <c r="E99" s="3381"/>
      <c r="F99" s="1814"/>
      <c r="G99" s="3371"/>
      <c r="H99" s="3419" t="str">
        <f t="shared" si="32"/>
        <v>——</v>
      </c>
      <c r="I99" s="3365">
        <v>0.06</v>
      </c>
      <c r="J99" s="3343">
        <f t="shared" si="28"/>
        <v>0</v>
      </c>
      <c r="K99" s="3343">
        <f t="shared" si="29"/>
        <v>0</v>
      </c>
      <c r="L99" s="3343">
        <v>0</v>
      </c>
      <c r="M99" s="3343">
        <f t="shared" si="30"/>
        <v>0</v>
      </c>
      <c r="N99" s="3343">
        <f t="shared" si="30"/>
        <v>0</v>
      </c>
    </row>
    <row r="100" spans="1:14" ht="25.5">
      <c r="A100" s="3377" t="s">
        <v>3281</v>
      </c>
      <c r="B100" s="3368" t="str">
        <f>估价对象房地状况!C22</f>
        <v>估价对象所在区域基础设施水平</v>
      </c>
      <c r="C100" s="2044"/>
      <c r="D100" s="3364">
        <f t="shared" si="31"/>
        <v>0</v>
      </c>
      <c r="E100" s="3381"/>
      <c r="F100" s="1814"/>
      <c r="G100" s="3371"/>
      <c r="H100" s="3419" t="str">
        <f t="shared" si="32"/>
        <v>——</v>
      </c>
      <c r="I100" s="3365">
        <v>0.09</v>
      </c>
      <c r="J100" s="3343">
        <f t="shared" si="28"/>
        <v>0</v>
      </c>
      <c r="K100" s="3343">
        <f t="shared" si="29"/>
        <v>0</v>
      </c>
      <c r="L100" s="3343">
        <v>0</v>
      </c>
      <c r="M100" s="3343">
        <f t="shared" si="30"/>
        <v>0</v>
      </c>
      <c r="N100" s="3343">
        <f t="shared" si="30"/>
        <v>0</v>
      </c>
    </row>
    <row r="101" spans="1:14" ht="26.25" thickBot="1">
      <c r="A101" s="3378" t="s">
        <v>3282</v>
      </c>
      <c r="B101" s="3385" t="str">
        <f>估价对象房地状况!C20</f>
        <v>区域自然环境：；人文环境；综合评价环境状况一般</v>
      </c>
      <c r="C101" s="2044"/>
      <c r="D101" s="3364">
        <f t="shared" si="31"/>
        <v>0</v>
      </c>
      <c r="E101" s="3382"/>
      <c r="F101" s="1814"/>
      <c r="G101" s="3371"/>
      <c r="H101" s="3419" t="str">
        <f t="shared" si="32"/>
        <v>——</v>
      </c>
      <c r="I101" s="3366">
        <v>7.0000000000000007E-2</v>
      </c>
      <c r="J101" s="3343">
        <f t="shared" si="28"/>
        <v>0</v>
      </c>
      <c r="K101" s="3343">
        <f t="shared" si="29"/>
        <v>0</v>
      </c>
      <c r="L101" s="3343">
        <v>0</v>
      </c>
      <c r="M101" s="3343">
        <f t="shared" si="30"/>
        <v>0</v>
      </c>
      <c r="N101" s="3343">
        <f t="shared" si="30"/>
        <v>0</v>
      </c>
    </row>
    <row r="103" spans="1:14">
      <c r="A103" s="3762" t="s">
        <v>3297</v>
      </c>
      <c r="B103" s="3762"/>
      <c r="C103" s="3762"/>
      <c r="D103" s="3762"/>
      <c r="E103" s="3762"/>
      <c r="F103" s="3762"/>
      <c r="G103" s="3762"/>
      <c r="H103" s="3762"/>
      <c r="I103" s="3762"/>
      <c r="J103" s="3762"/>
      <c r="K103" s="3388"/>
      <c r="L103" s="3388"/>
      <c r="M103" s="3388"/>
      <c r="N103" s="3388"/>
    </row>
    <row r="104" spans="1:14">
      <c r="A104" s="3763" t="s">
        <v>3298</v>
      </c>
      <c r="B104" s="3763" t="s">
        <v>3299</v>
      </c>
      <c r="C104" s="3389" t="s">
        <v>3300</v>
      </c>
      <c r="D104" s="3390"/>
      <c r="E104" s="3390"/>
      <c r="F104" s="3390"/>
      <c r="G104" s="3390"/>
      <c r="H104" s="3390"/>
      <c r="I104" s="3390"/>
      <c r="J104" s="3391"/>
      <c r="K104" s="3392"/>
      <c r="L104" s="3392"/>
      <c r="M104" s="3392"/>
      <c r="N104" s="3392"/>
    </row>
    <row r="105" spans="1:14">
      <c r="A105" s="3763"/>
      <c r="B105" s="3763"/>
      <c r="C105" s="3393" t="s">
        <v>3301</v>
      </c>
      <c r="D105" s="3393" t="s">
        <v>3302</v>
      </c>
      <c r="E105" s="3393" t="s">
        <v>3303</v>
      </c>
      <c r="F105" s="3393" t="s">
        <v>3304</v>
      </c>
      <c r="G105" s="3393" t="s">
        <v>3305</v>
      </c>
      <c r="H105" s="3393" t="s">
        <v>3306</v>
      </c>
      <c r="I105" s="3393" t="s">
        <v>3307</v>
      </c>
      <c r="J105" s="3393" t="s">
        <v>3308</v>
      </c>
      <c r="K105" s="3393" t="s">
        <v>3309</v>
      </c>
      <c r="L105" s="3393" t="s">
        <v>3310</v>
      </c>
      <c r="M105" s="3393" t="s">
        <v>3311</v>
      </c>
      <c r="N105" s="3393" t="s">
        <v>3312</v>
      </c>
    </row>
    <row r="106" spans="1:14">
      <c r="A106" s="3749" t="s">
        <v>3313</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50"/>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50"/>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50"/>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50"/>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50"/>
      <c r="B111" s="3393" t="s">
        <v>3271</v>
      </c>
      <c r="C111" s="3394">
        <f>$I$3</f>
        <v>0</v>
      </c>
      <c r="D111" s="3394">
        <f t="shared" ref="D111:M111" si="33">$I$3</f>
        <v>0</v>
      </c>
      <c r="E111" s="3394">
        <f t="shared" si="33"/>
        <v>0</v>
      </c>
      <c r="F111" s="3394">
        <f t="shared" si="33"/>
        <v>0</v>
      </c>
      <c r="G111" s="3394">
        <f t="shared" si="33"/>
        <v>0</v>
      </c>
      <c r="H111" s="3394">
        <f t="shared" si="33"/>
        <v>0</v>
      </c>
      <c r="I111" s="3394">
        <f t="shared" si="33"/>
        <v>0</v>
      </c>
      <c r="J111" s="3394">
        <f t="shared" si="33"/>
        <v>0</v>
      </c>
      <c r="K111" s="3394">
        <f t="shared" si="33"/>
        <v>0</v>
      </c>
      <c r="L111" s="3394">
        <f t="shared" si="33"/>
        <v>0</v>
      </c>
      <c r="M111" s="3394">
        <f t="shared" si="33"/>
        <v>0</v>
      </c>
      <c r="N111" s="3394">
        <f>$I$3</f>
        <v>0</v>
      </c>
    </row>
    <row r="112" spans="1:14">
      <c r="A112" s="3751"/>
      <c r="B112" s="3393">
        <v>6</v>
      </c>
      <c r="C112" s="3386">
        <f>(-0.5556*(C111^2)-0.2719*C111+8944)*(10^(-4))</f>
        <v>0.89440000000000008</v>
      </c>
      <c r="D112" s="3386">
        <f>(-0.5556*(D111^2)-0.2719*D111+8944)*(10^(-4))</f>
        <v>0.89440000000000008</v>
      </c>
      <c r="E112" s="3386">
        <f>(-0.7912*(E111^2)-11.3794*E111+8482)*(10^(-4))</f>
        <v>0.84820000000000007</v>
      </c>
      <c r="F112" s="3386">
        <f t="shared" ref="F112:I112" si="34">(-0.7912*(F111^2)-11.3794*F111+8482)*(10^(-4))</f>
        <v>0.84820000000000007</v>
      </c>
      <c r="G112" s="3386">
        <f t="shared" si="34"/>
        <v>0.84820000000000007</v>
      </c>
      <c r="H112" s="3386">
        <f t="shared" si="34"/>
        <v>0.84820000000000007</v>
      </c>
      <c r="I112" s="3386">
        <f t="shared" si="34"/>
        <v>0.84820000000000007</v>
      </c>
      <c r="J112" s="3386">
        <f>(-0.989*(J111^2)-63.78*J111+7771)*(10^(-4))</f>
        <v>0.77710000000000001</v>
      </c>
      <c r="K112" s="3386">
        <f t="shared" ref="K112:N112" si="35">(-0.989*(K111^2)-63.78*K111+7771)*(10^(-4))</f>
        <v>0.77710000000000001</v>
      </c>
      <c r="L112" s="3386">
        <f t="shared" si="35"/>
        <v>0.77710000000000001</v>
      </c>
      <c r="M112" s="3386">
        <f t="shared" si="35"/>
        <v>0.77710000000000001</v>
      </c>
      <c r="N112" s="3386">
        <f t="shared" si="35"/>
        <v>0.77710000000000001</v>
      </c>
    </row>
    <row r="113" spans="1:14">
      <c r="A113" s="3752" t="s">
        <v>3314</v>
      </c>
      <c r="B113" s="3752"/>
      <c r="C113" s="3752"/>
      <c r="D113" s="3752"/>
      <c r="E113" s="3752"/>
      <c r="F113" s="3752"/>
      <c r="G113" s="3752"/>
      <c r="H113" s="3752"/>
      <c r="I113" s="3752"/>
      <c r="J113" s="3752"/>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3315</v>
      </c>
      <c r="B116" s="3414">
        <f>G3</f>
        <v>1</v>
      </c>
      <c r="C116" s="3398" t="s">
        <v>3316</v>
      </c>
      <c r="D116" s="3399">
        <f>SUMPRODUCT((A118:A122=F116)*(B117:M117=H116)*B118:M122)</f>
        <v>0.57150000000000001</v>
      </c>
      <c r="E116" s="2000" t="s">
        <v>3317</v>
      </c>
      <c r="F116" s="3400" t="str">
        <f>E2</f>
        <v>工业</v>
      </c>
      <c r="G116" s="2000" t="s">
        <v>3318</v>
      </c>
      <c r="H116" s="3400" t="str">
        <f>G2</f>
        <v>八级</v>
      </c>
      <c r="I116" s="2000"/>
      <c r="J116" s="3401"/>
      <c r="K116" s="3401"/>
      <c r="L116" s="3401"/>
      <c r="M116" s="3401"/>
      <c r="N116" s="3396"/>
    </row>
    <row r="117" spans="1:14">
      <c r="A117" s="3402"/>
      <c r="B117" s="3403" t="s">
        <v>3319</v>
      </c>
      <c r="C117" s="3403" t="s">
        <v>3320</v>
      </c>
      <c r="D117" s="3403" t="s">
        <v>3321</v>
      </c>
      <c r="E117" s="3404" t="s">
        <v>3322</v>
      </c>
      <c r="F117" s="3404" t="s">
        <v>3323</v>
      </c>
      <c r="G117" s="3404" t="s">
        <v>3324</v>
      </c>
      <c r="H117" s="3405" t="s">
        <v>3325</v>
      </c>
      <c r="I117" s="3405" t="s">
        <v>3326</v>
      </c>
      <c r="J117" s="3406" t="s">
        <v>3327</v>
      </c>
      <c r="K117" s="3406" t="s">
        <v>3328</v>
      </c>
      <c r="L117" s="3406" t="s">
        <v>3329</v>
      </c>
      <c r="M117" s="3407" t="s">
        <v>3330</v>
      </c>
      <c r="N117" s="3396"/>
    </row>
    <row r="118" spans="1:14">
      <c r="A118" s="3408" t="s">
        <v>3331</v>
      </c>
      <c r="B118" s="3386">
        <f>ROUND(0.9968-0.011*B116,4)</f>
        <v>0.98580000000000001</v>
      </c>
      <c r="C118" s="3386">
        <f>B118</f>
        <v>0.98580000000000001</v>
      </c>
      <c r="D118" s="3386">
        <f>ROUND(0.949-0.014*B116,4)</f>
        <v>0.93500000000000005</v>
      </c>
      <c r="E118" s="3386">
        <f>D118</f>
        <v>0.93500000000000005</v>
      </c>
      <c r="F118" s="3386">
        <f>E118</f>
        <v>0.93500000000000005</v>
      </c>
      <c r="G118" s="3386">
        <f>F118</f>
        <v>0.93500000000000005</v>
      </c>
      <c r="H118" s="3386">
        <f>G118</f>
        <v>0.93500000000000005</v>
      </c>
      <c r="I118" s="3386">
        <f>ROUND(0.8486-0.018*B116,4)</f>
        <v>0.8306</v>
      </c>
      <c r="J118" s="3386">
        <f t="shared" ref="J118:M122" si="36">I118</f>
        <v>0.8306</v>
      </c>
      <c r="K118" s="3386">
        <f t="shared" si="36"/>
        <v>0.8306</v>
      </c>
      <c r="L118" s="3386">
        <f t="shared" si="36"/>
        <v>0.8306</v>
      </c>
      <c r="M118" s="3409">
        <f t="shared" si="36"/>
        <v>0.8306</v>
      </c>
      <c r="N118" s="3396"/>
    </row>
    <row r="119" spans="1:14">
      <c r="A119" s="3408" t="s">
        <v>3332</v>
      </c>
      <c r="B119" s="3386">
        <f>ROUND(0.993-0.0112*B116,4)</f>
        <v>0.98180000000000001</v>
      </c>
      <c r="C119" s="3386">
        <f>B119</f>
        <v>0.98180000000000001</v>
      </c>
      <c r="D119" s="3386">
        <f>ROUND(0.9415-0.0142*B116,4)</f>
        <v>0.92730000000000001</v>
      </c>
      <c r="E119" s="3386">
        <f t="shared" ref="E119:H120" si="37">D119</f>
        <v>0.92730000000000001</v>
      </c>
      <c r="F119" s="3386">
        <f t="shared" si="37"/>
        <v>0.92730000000000001</v>
      </c>
      <c r="G119" s="3386">
        <f t="shared" si="37"/>
        <v>0.92730000000000001</v>
      </c>
      <c r="H119" s="3386">
        <f t="shared" si="37"/>
        <v>0.92730000000000001</v>
      </c>
      <c r="I119" s="3386">
        <f>ROUND(0.838-0.0182*B116,4)</f>
        <v>0.81979999999999997</v>
      </c>
      <c r="J119" s="3386">
        <f t="shared" si="36"/>
        <v>0.81979999999999997</v>
      </c>
      <c r="K119" s="3386">
        <f t="shared" si="36"/>
        <v>0.81979999999999997</v>
      </c>
      <c r="L119" s="3386">
        <f t="shared" si="36"/>
        <v>0.81979999999999997</v>
      </c>
      <c r="M119" s="3409">
        <f t="shared" si="36"/>
        <v>0.81979999999999997</v>
      </c>
      <c r="N119" s="3396"/>
    </row>
    <row r="120" spans="1:14">
      <c r="A120" s="3408" t="s">
        <v>3333</v>
      </c>
      <c r="B120" s="3386">
        <f>ROUND(0.9448-0.0115*B116,4)</f>
        <v>0.93330000000000002</v>
      </c>
      <c r="C120" s="3386">
        <f>B120</f>
        <v>0.93330000000000002</v>
      </c>
      <c r="D120" s="3386">
        <f>ROUND(0.937-0.0145*B116,4)</f>
        <v>0.92249999999999999</v>
      </c>
      <c r="E120" s="3386">
        <f t="shared" si="37"/>
        <v>0.92249999999999999</v>
      </c>
      <c r="F120" s="3386">
        <f t="shared" si="37"/>
        <v>0.92249999999999999</v>
      </c>
      <c r="G120" s="3386">
        <f t="shared" si="37"/>
        <v>0.92249999999999999</v>
      </c>
      <c r="H120" s="3386">
        <f t="shared" si="37"/>
        <v>0.92249999999999999</v>
      </c>
      <c r="I120" s="3386">
        <f>ROUND(0.7965-0.0185*B116,4)</f>
        <v>0.77800000000000002</v>
      </c>
      <c r="J120" s="3386">
        <f t="shared" si="36"/>
        <v>0.77800000000000002</v>
      </c>
      <c r="K120" s="3386">
        <f t="shared" si="36"/>
        <v>0.77800000000000002</v>
      </c>
      <c r="L120" s="3386">
        <f t="shared" si="36"/>
        <v>0.77800000000000002</v>
      </c>
      <c r="M120" s="3409">
        <f t="shared" si="36"/>
        <v>0.77800000000000002</v>
      </c>
      <c r="N120" s="3396"/>
    </row>
    <row r="121" spans="1:14" ht="13.5" thickBot="1">
      <c r="A121" s="3410" t="s">
        <v>3334</v>
      </c>
      <c r="B121" s="3411">
        <f>ROUND(0.7836-0.012*B116,4)</f>
        <v>0.77159999999999995</v>
      </c>
      <c r="C121" s="3411">
        <f>B121</f>
        <v>0.77159999999999995</v>
      </c>
      <c r="D121" s="3411">
        <f>ROUND(0.753-0.015*B116,4)</f>
        <v>0.73799999999999999</v>
      </c>
      <c r="E121" s="3411">
        <f>D121</f>
        <v>0.73799999999999999</v>
      </c>
      <c r="F121" s="3411">
        <f>E121</f>
        <v>0.73799999999999999</v>
      </c>
      <c r="G121" s="3411">
        <f>ROUND(0.6612-0.018*B116,4)</f>
        <v>0.64319999999999999</v>
      </c>
      <c r="H121" s="3411">
        <f>G121</f>
        <v>0.64319999999999999</v>
      </c>
      <c r="I121" s="3411">
        <f>ROUND(0.5905-0.019*B116,4)</f>
        <v>0.57150000000000001</v>
      </c>
      <c r="J121" s="3411">
        <f t="shared" si="36"/>
        <v>0.57150000000000001</v>
      </c>
      <c r="K121" s="3411">
        <f t="shared" si="36"/>
        <v>0.57150000000000001</v>
      </c>
      <c r="L121" s="3411">
        <f t="shared" si="36"/>
        <v>0.57150000000000001</v>
      </c>
      <c r="M121" s="3412">
        <f t="shared" si="36"/>
        <v>0.57150000000000001</v>
      </c>
      <c r="N121" s="3396"/>
    </row>
    <row r="122" spans="1:14">
      <c r="A122" s="3413" t="s">
        <v>2613</v>
      </c>
      <c r="B122" s="3386">
        <f>ROUND(0.9404-0.0106*B116,4)</f>
        <v>0.92979999999999996</v>
      </c>
      <c r="C122" s="3386">
        <f>B122</f>
        <v>0.92979999999999996</v>
      </c>
      <c r="D122" s="3386">
        <f>ROUND(0.8955-0.0135*B116,4)</f>
        <v>0.88200000000000001</v>
      </c>
      <c r="E122" s="3386">
        <f t="shared" ref="E122:H122" si="38">D122</f>
        <v>0.88200000000000001</v>
      </c>
      <c r="F122" s="3386">
        <f t="shared" si="38"/>
        <v>0.88200000000000001</v>
      </c>
      <c r="G122" s="3386">
        <f t="shared" si="38"/>
        <v>0.88200000000000001</v>
      </c>
      <c r="H122" s="3386">
        <f t="shared" si="38"/>
        <v>0.88200000000000001</v>
      </c>
      <c r="I122" s="3386">
        <f>ROUND(0.7632-0.0166*B116,4)</f>
        <v>0.74660000000000004</v>
      </c>
      <c r="J122" s="3386">
        <f t="shared" si="36"/>
        <v>0.74660000000000004</v>
      </c>
      <c r="K122" s="3386">
        <f t="shared" si="36"/>
        <v>0.74660000000000004</v>
      </c>
      <c r="L122" s="3386">
        <f t="shared" si="36"/>
        <v>0.74660000000000004</v>
      </c>
      <c r="M122" s="3409">
        <f t="shared" si="36"/>
        <v>0.74660000000000004</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2595</v>
      </c>
      <c r="B1" s="3070" t="s">
        <v>2596</v>
      </c>
      <c r="C1" s="3070" t="s">
        <v>2597</v>
      </c>
      <c r="D1" s="3070" t="s">
        <v>2598</v>
      </c>
      <c r="E1" s="3070" t="s">
        <v>2599</v>
      </c>
      <c r="F1" s="3070" t="s">
        <v>2600</v>
      </c>
      <c r="G1" s="3070" t="s">
        <v>2601</v>
      </c>
      <c r="H1" s="3070" t="s">
        <v>2602</v>
      </c>
      <c r="I1" s="3070" t="s">
        <v>2603</v>
      </c>
      <c r="J1" s="3070" t="s">
        <v>2604</v>
      </c>
      <c r="K1" s="3070" t="s">
        <v>2605</v>
      </c>
      <c r="L1" s="3070" t="s">
        <v>2606</v>
      </c>
      <c r="M1" s="3071" t="s">
        <v>2607</v>
      </c>
    </row>
    <row r="2" spans="1:13" ht="19.5" customHeight="1">
      <c r="A2" s="3073" t="s">
        <v>2608</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2609</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2610</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2611</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2612</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2613</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2614</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2615</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2616</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2617</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2618</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2619</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2620</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2621</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2622</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2623</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2624</v>
      </c>
      <c r="B18" s="3095"/>
      <c r="C18" s="3096"/>
      <c r="D18" s="3096"/>
      <c r="E18" s="3095"/>
      <c r="F18" s="3096"/>
      <c r="G18" s="3096"/>
    </row>
    <row r="19" spans="1:13" ht="19.5" customHeight="1" thickBot="1">
      <c r="A19" s="3093" t="s">
        <v>2625</v>
      </c>
      <c r="B19" s="3098" t="s">
        <v>2626</v>
      </c>
      <c r="C19" s="3098" t="s">
        <v>2627</v>
      </c>
      <c r="D19" s="3099"/>
      <c r="E19" s="3093" t="s">
        <v>2628</v>
      </c>
      <c r="F19" s="3100"/>
      <c r="G19" s="3100"/>
    </row>
    <row r="20" spans="1:13" ht="19.5" customHeight="1">
      <c r="A20" s="3777" t="s">
        <v>2608</v>
      </c>
      <c r="B20" s="3772" t="s">
        <v>2629</v>
      </c>
      <c r="C20" s="3101" t="s">
        <v>2440</v>
      </c>
      <c r="D20" s="3102"/>
      <c r="E20" s="3103">
        <v>1</v>
      </c>
      <c r="F20" s="3104" t="s">
        <v>2441</v>
      </c>
      <c r="G20" s="3104"/>
    </row>
    <row r="21" spans="1:13" ht="19.5" customHeight="1">
      <c r="A21" s="3778"/>
      <c r="B21" s="3771"/>
      <c r="C21" s="3105" t="s">
        <v>2442</v>
      </c>
      <c r="D21" s="3106"/>
      <c r="E21" s="3107">
        <v>1</v>
      </c>
      <c r="F21" s="3104" t="s">
        <v>2443</v>
      </c>
      <c r="G21" s="3104"/>
    </row>
    <row r="22" spans="1:13" ht="19.5" customHeight="1">
      <c r="A22" s="3778"/>
      <c r="B22" s="3771"/>
      <c r="C22" s="3105" t="s">
        <v>2444</v>
      </c>
      <c r="D22" s="3106"/>
      <c r="E22" s="3107">
        <v>0.9</v>
      </c>
      <c r="F22" s="3104" t="s">
        <v>2445</v>
      </c>
      <c r="G22" s="3104"/>
    </row>
    <row r="23" spans="1:13" ht="19.5" customHeight="1">
      <c r="A23" s="3778"/>
      <c r="B23" s="3771"/>
      <c r="C23" s="3105" t="s">
        <v>2446</v>
      </c>
      <c r="D23" s="3106"/>
      <c r="E23" s="3107">
        <v>0.9</v>
      </c>
      <c r="F23" s="3104" t="s">
        <v>2447</v>
      </c>
      <c r="G23" s="3104"/>
    </row>
    <row r="24" spans="1:13" ht="19.5" customHeight="1">
      <c r="A24" s="3778"/>
      <c r="B24" s="3771"/>
      <c r="C24" s="3105" t="s">
        <v>2448</v>
      </c>
      <c r="D24" s="3106"/>
      <c r="E24" s="3107">
        <v>0.8</v>
      </c>
      <c r="F24" s="3104" t="s">
        <v>2449</v>
      </c>
      <c r="G24" s="3104"/>
    </row>
    <row r="25" spans="1:13" ht="19.5" customHeight="1" thickBot="1">
      <c r="A25" s="3779"/>
      <c r="B25" s="3773"/>
      <c r="C25" s="3108" t="s">
        <v>2450</v>
      </c>
      <c r="D25" s="3109"/>
      <c r="E25" s="3110">
        <v>0.8</v>
      </c>
      <c r="F25" s="3104" t="s">
        <v>2451</v>
      </c>
      <c r="G25" s="3104"/>
    </row>
    <row r="26" spans="1:13" ht="19.5" customHeight="1" thickBot="1">
      <c r="A26" s="3111" t="s">
        <v>2630</v>
      </c>
      <c r="B26" s="3112" t="s">
        <v>2629</v>
      </c>
      <c r="C26" s="3113" t="s">
        <v>2631</v>
      </c>
      <c r="D26" s="3114"/>
      <c r="E26" s="3115">
        <v>1</v>
      </c>
      <c r="F26" s="3104" t="s">
        <v>2452</v>
      </c>
      <c r="G26" s="3104"/>
    </row>
    <row r="27" spans="1:13" ht="19.5" customHeight="1">
      <c r="A27" s="3774" t="s">
        <v>2632</v>
      </c>
      <c r="B27" s="3772" t="s">
        <v>2613</v>
      </c>
      <c r="C27" s="3101" t="s">
        <v>2453</v>
      </c>
      <c r="D27" s="3102"/>
      <c r="E27" s="3103">
        <v>1</v>
      </c>
      <c r="F27" s="3104" t="s">
        <v>2454</v>
      </c>
      <c r="G27" s="3104"/>
    </row>
    <row r="28" spans="1:13" ht="19.5" customHeight="1">
      <c r="A28" s="3775"/>
      <c r="B28" s="3771"/>
      <c r="C28" s="3105" t="s">
        <v>2455</v>
      </c>
      <c r="D28" s="3106"/>
      <c r="E28" s="3107">
        <v>1</v>
      </c>
      <c r="F28" s="3104" t="s">
        <v>2456</v>
      </c>
      <c r="G28" s="3104"/>
    </row>
    <row r="29" spans="1:13" ht="19.5" customHeight="1">
      <c r="A29" s="3775"/>
      <c r="B29" s="3771"/>
      <c r="C29" s="3105" t="s">
        <v>2457</v>
      </c>
      <c r="D29" s="3106"/>
      <c r="E29" s="3107">
        <v>0.8</v>
      </c>
      <c r="F29" s="3104" t="s">
        <v>2458</v>
      </c>
      <c r="G29" s="3104"/>
    </row>
    <row r="30" spans="1:13" ht="19.5" customHeight="1">
      <c r="A30" s="3775"/>
      <c r="B30" s="3771"/>
      <c r="C30" s="3105" t="s">
        <v>2459</v>
      </c>
      <c r="D30" s="3106"/>
      <c r="E30" s="3107">
        <v>0.8</v>
      </c>
      <c r="F30" s="3104" t="s">
        <v>2460</v>
      </c>
      <c r="G30" s="3104"/>
    </row>
    <row r="31" spans="1:13" ht="19.5" customHeight="1">
      <c r="A31" s="3775"/>
      <c r="B31" s="3771"/>
      <c r="C31" s="3105" t="s">
        <v>2461</v>
      </c>
      <c r="D31" s="3106"/>
      <c r="E31" s="3107">
        <v>0.8</v>
      </c>
      <c r="F31" s="3104" t="s">
        <v>2462</v>
      </c>
      <c r="G31" s="3104"/>
    </row>
    <row r="32" spans="1:13" ht="19.5" customHeight="1">
      <c r="A32" s="3775"/>
      <c r="B32" s="3771"/>
      <c r="C32" s="3105" t="s">
        <v>2463</v>
      </c>
      <c r="D32" s="3106"/>
      <c r="E32" s="3107">
        <v>0.7</v>
      </c>
      <c r="F32" s="3104" t="s">
        <v>2464</v>
      </c>
      <c r="G32" s="3104"/>
    </row>
    <row r="33" spans="1:7" ht="19.5" customHeight="1">
      <c r="A33" s="3775"/>
      <c r="B33" s="3771"/>
      <c r="C33" s="3105" t="s">
        <v>2465</v>
      </c>
      <c r="D33" s="3106"/>
      <c r="E33" s="3107">
        <v>0.8</v>
      </c>
      <c r="F33" s="3104" t="s">
        <v>2466</v>
      </c>
      <c r="G33" s="3104"/>
    </row>
    <row r="34" spans="1:7" ht="19.5" customHeight="1">
      <c r="A34" s="3775"/>
      <c r="B34" s="3771"/>
      <c r="C34" s="3105" t="s">
        <v>2467</v>
      </c>
      <c r="D34" s="3106"/>
      <c r="E34" s="3107">
        <v>0.6</v>
      </c>
      <c r="F34" s="3104" t="s">
        <v>2468</v>
      </c>
      <c r="G34" s="3104"/>
    </row>
    <row r="35" spans="1:7" ht="19.5" customHeight="1">
      <c r="A35" s="3775"/>
      <c r="B35" s="3771"/>
      <c r="C35" s="3105" t="s">
        <v>2469</v>
      </c>
      <c r="D35" s="3106"/>
      <c r="E35" s="3107">
        <v>0.2</v>
      </c>
      <c r="F35" s="3104" t="s">
        <v>2470</v>
      </c>
      <c r="G35" s="3104"/>
    </row>
    <row r="36" spans="1:7" ht="19.5" customHeight="1">
      <c r="A36" s="3775"/>
      <c r="B36" s="3771"/>
      <c r="C36" s="3105" t="s">
        <v>2471</v>
      </c>
      <c r="D36" s="3106"/>
      <c r="E36" s="3107">
        <v>0.2</v>
      </c>
      <c r="F36" s="3104" t="s">
        <v>2472</v>
      </c>
      <c r="G36" s="3104"/>
    </row>
    <row r="37" spans="1:7" ht="19.5" customHeight="1">
      <c r="A37" s="3775"/>
      <c r="B37" s="3769" t="s">
        <v>2633</v>
      </c>
      <c r="C37" s="3105" t="s">
        <v>2473</v>
      </c>
      <c r="D37" s="3106"/>
      <c r="E37" s="3107">
        <v>0.6</v>
      </c>
      <c r="F37" s="3104" t="s">
        <v>2474</v>
      </c>
      <c r="G37" s="3104"/>
    </row>
    <row r="38" spans="1:7" ht="19.5" customHeight="1">
      <c r="A38" s="3775"/>
      <c r="B38" s="3771"/>
      <c r="C38" s="3105" t="s">
        <v>2475</v>
      </c>
      <c r="D38" s="3106"/>
      <c r="E38" s="3107">
        <v>0.6</v>
      </c>
      <c r="F38" s="3104" t="s">
        <v>2476</v>
      </c>
      <c r="G38" s="3104"/>
    </row>
    <row r="39" spans="1:7" ht="19.5" customHeight="1" thickBot="1">
      <c r="A39" s="3776"/>
      <c r="B39" s="3773"/>
      <c r="C39" s="3108" t="s">
        <v>2477</v>
      </c>
      <c r="D39" s="3109"/>
      <c r="E39" s="3110">
        <v>0.6</v>
      </c>
      <c r="F39" s="3104" t="s">
        <v>2478</v>
      </c>
      <c r="G39" s="3104"/>
    </row>
    <row r="40" spans="1:7" ht="19.5" customHeight="1" thickBot="1">
      <c r="A40" s="3111" t="s">
        <v>2610</v>
      </c>
      <c r="B40" s="3112" t="s">
        <v>2610</v>
      </c>
      <c r="C40" s="3113" t="s">
        <v>2634</v>
      </c>
      <c r="D40" s="3114"/>
      <c r="E40" s="3115">
        <v>1</v>
      </c>
      <c r="F40" s="3104" t="s">
        <v>2479</v>
      </c>
      <c r="G40" s="3104"/>
    </row>
    <row r="41" spans="1:7" ht="19.5" customHeight="1">
      <c r="A41" s="3777" t="s">
        <v>2611</v>
      </c>
      <c r="B41" s="3772" t="s">
        <v>2635</v>
      </c>
      <c r="C41" s="3101" t="s">
        <v>2480</v>
      </c>
      <c r="D41" s="3102"/>
      <c r="E41" s="3103">
        <v>1</v>
      </c>
      <c r="F41" s="3104" t="s">
        <v>2481</v>
      </c>
      <c r="G41" s="3104"/>
    </row>
    <row r="42" spans="1:7" ht="19.5" customHeight="1">
      <c r="A42" s="3778"/>
      <c r="B42" s="3771"/>
      <c r="C42" s="3105" t="s">
        <v>2482</v>
      </c>
      <c r="D42" s="3106"/>
      <c r="E42" s="3107">
        <v>1</v>
      </c>
      <c r="F42" s="3104" t="s">
        <v>2483</v>
      </c>
      <c r="G42" s="3104"/>
    </row>
    <row r="43" spans="1:7" ht="19.5" customHeight="1">
      <c r="A43" s="3778"/>
      <c r="B43" s="3770"/>
      <c r="C43" s="3105" t="s">
        <v>2484</v>
      </c>
      <c r="D43" s="3106"/>
      <c r="E43" s="3107">
        <v>1.5</v>
      </c>
      <c r="F43" s="3104" t="s">
        <v>2485</v>
      </c>
      <c r="G43" s="3104"/>
    </row>
    <row r="44" spans="1:7" ht="19.5" customHeight="1">
      <c r="A44" s="3778"/>
      <c r="B44" s="3116" t="s">
        <v>2636</v>
      </c>
      <c r="C44" s="3105" t="s">
        <v>2637</v>
      </c>
      <c r="D44" s="3106"/>
      <c r="E44" s="3107">
        <v>2</v>
      </c>
      <c r="F44" s="3104" t="s">
        <v>2486</v>
      </c>
      <c r="G44" s="3104"/>
    </row>
    <row r="45" spans="1:7" ht="19.5" customHeight="1">
      <c r="A45" s="3778"/>
      <c r="B45" s="3769" t="s">
        <v>2638</v>
      </c>
      <c r="C45" s="3105" t="s">
        <v>2487</v>
      </c>
      <c r="D45" s="3106"/>
      <c r="E45" s="3107">
        <v>1</v>
      </c>
      <c r="F45" s="3104" t="s">
        <v>2488</v>
      </c>
      <c r="G45" s="3104"/>
    </row>
    <row r="46" spans="1:7" ht="19.5" customHeight="1">
      <c r="A46" s="3778"/>
      <c r="B46" s="3771"/>
      <c r="C46" s="3105" t="s">
        <v>2489</v>
      </c>
      <c r="D46" s="3106"/>
      <c r="E46" s="3107">
        <v>1</v>
      </c>
      <c r="F46" s="3104" t="s">
        <v>2490</v>
      </c>
      <c r="G46" s="3104"/>
    </row>
    <row r="47" spans="1:7" ht="19.5" customHeight="1">
      <c r="A47" s="3778"/>
      <c r="B47" s="3771"/>
      <c r="C47" s="3105" t="s">
        <v>2491</v>
      </c>
      <c r="D47" s="3106"/>
      <c r="E47" s="3107">
        <v>1</v>
      </c>
      <c r="F47" s="3104" t="s">
        <v>2492</v>
      </c>
      <c r="G47" s="3104"/>
    </row>
    <row r="48" spans="1:7" ht="19.5" customHeight="1">
      <c r="A48" s="3778"/>
      <c r="B48" s="3771"/>
      <c r="C48" s="3105" t="s">
        <v>2493</v>
      </c>
      <c r="D48" s="3106"/>
      <c r="E48" s="3107">
        <v>1</v>
      </c>
      <c r="F48" s="3104" t="s">
        <v>2494</v>
      </c>
      <c r="G48" s="3104"/>
    </row>
    <row r="49" spans="1:7" ht="19.5" customHeight="1">
      <c r="A49" s="3778"/>
      <c r="B49" s="3771"/>
      <c r="C49" s="3105" t="s">
        <v>2495</v>
      </c>
      <c r="D49" s="3106"/>
      <c r="E49" s="3107">
        <v>1</v>
      </c>
      <c r="F49" s="3104" t="s">
        <v>2496</v>
      </c>
      <c r="G49" s="3104"/>
    </row>
    <row r="50" spans="1:7" ht="19.5" customHeight="1">
      <c r="A50" s="3778"/>
      <c r="B50" s="3771"/>
      <c r="C50" s="3105" t="s">
        <v>2497</v>
      </c>
      <c r="D50" s="3106"/>
      <c r="E50" s="3107">
        <v>1</v>
      </c>
      <c r="F50" s="3104" t="s">
        <v>2498</v>
      </c>
      <c r="G50" s="3104"/>
    </row>
    <row r="51" spans="1:7" ht="19.5" customHeight="1" thickBot="1">
      <c r="A51" s="3779"/>
      <c r="B51" s="3773"/>
      <c r="C51" s="3108" t="s">
        <v>2499</v>
      </c>
      <c r="D51" s="3109"/>
      <c r="E51" s="3110">
        <v>1</v>
      </c>
      <c r="F51" s="3104" t="s">
        <v>2500</v>
      </c>
      <c r="G51" s="3104"/>
    </row>
    <row r="52" spans="1:7" ht="19.5" customHeight="1">
      <c r="A52" s="3117"/>
      <c r="B52" s="3117"/>
      <c r="C52" s="3117"/>
      <c r="D52" s="3117"/>
      <c r="E52" s="3117"/>
      <c r="F52" s="3117"/>
      <c r="G52" s="3117"/>
    </row>
    <row r="54" spans="1:7" ht="19.5" customHeight="1">
      <c r="A54" s="3118"/>
      <c r="B54" s="3090" t="s">
        <v>2639</v>
      </c>
      <c r="C54" s="3090" t="s">
        <v>2639</v>
      </c>
      <c r="D54" s="3090" t="s">
        <v>2639</v>
      </c>
      <c r="E54" s="3093" t="s">
        <v>2639</v>
      </c>
      <c r="F54" s="3093" t="s">
        <v>2640</v>
      </c>
      <c r="G54" s="3093" t="s">
        <v>2641</v>
      </c>
    </row>
    <row r="55" spans="1:7" ht="19.5" customHeight="1">
      <c r="A55" s="3119"/>
      <c r="B55" s="3093" t="s">
        <v>2608</v>
      </c>
      <c r="C55" s="3093" t="s">
        <v>2608</v>
      </c>
      <c r="D55" s="3093" t="s">
        <v>2608</v>
      </c>
      <c r="E55" s="3090" t="s">
        <v>2609</v>
      </c>
      <c r="F55" s="3090" t="s">
        <v>2611</v>
      </c>
      <c r="G55" s="3090" t="s">
        <v>2642</v>
      </c>
    </row>
    <row r="56" spans="1:7" ht="19.5" customHeight="1">
      <c r="A56" s="3120"/>
      <c r="B56" s="3090">
        <v>1</v>
      </c>
      <c r="C56" s="3090">
        <v>2</v>
      </c>
      <c r="D56" s="3090">
        <v>3</v>
      </c>
      <c r="E56" s="3121" t="s">
        <v>2643</v>
      </c>
      <c r="F56" s="3121" t="s">
        <v>2643</v>
      </c>
      <c r="G56" s="3121" t="s">
        <v>2643</v>
      </c>
    </row>
    <row r="57" spans="1:7" ht="19.5" customHeight="1">
      <c r="A57" s="3122" t="s">
        <v>2596</v>
      </c>
      <c r="B57" s="3090">
        <v>0.7</v>
      </c>
      <c r="C57" s="3090">
        <v>0.4</v>
      </c>
      <c r="D57" s="3090">
        <v>0.3</v>
      </c>
      <c r="E57" s="3121">
        <v>0.3</v>
      </c>
      <c r="F57" s="3090">
        <v>0.3</v>
      </c>
      <c r="G57" s="3090">
        <v>0.2</v>
      </c>
    </row>
    <row r="58" spans="1:7" ht="19.5" customHeight="1">
      <c r="A58" s="3122" t="s">
        <v>2597</v>
      </c>
      <c r="B58" s="3090">
        <v>0.7</v>
      </c>
      <c r="C58" s="3090">
        <v>0.4</v>
      </c>
      <c r="D58" s="3090">
        <v>0.3</v>
      </c>
      <c r="E58" s="3090">
        <v>0.3</v>
      </c>
      <c r="F58" s="3090">
        <v>0.3</v>
      </c>
      <c r="G58" s="3090">
        <v>0.2</v>
      </c>
    </row>
    <row r="59" spans="1:7" ht="19.5" customHeight="1">
      <c r="A59" s="3122" t="s">
        <v>2598</v>
      </c>
      <c r="B59" s="3090">
        <v>0.6</v>
      </c>
      <c r="C59" s="3090">
        <v>0.3</v>
      </c>
      <c r="D59" s="3090">
        <v>0.25</v>
      </c>
      <c r="E59" s="3090">
        <v>0.25</v>
      </c>
      <c r="F59" s="3090">
        <v>0.25</v>
      </c>
      <c r="G59" s="3090">
        <v>0.15</v>
      </c>
    </row>
    <row r="60" spans="1:7" ht="19.5" customHeight="1">
      <c r="A60" s="3122" t="s">
        <v>2599</v>
      </c>
      <c r="B60" s="3090">
        <v>0.6</v>
      </c>
      <c r="C60" s="3090">
        <v>0.3</v>
      </c>
      <c r="D60" s="3090">
        <v>0.25</v>
      </c>
      <c r="E60" s="3090">
        <v>0.25</v>
      </c>
      <c r="F60" s="3090">
        <v>0.25</v>
      </c>
      <c r="G60" s="3090">
        <v>0.15</v>
      </c>
    </row>
    <row r="61" spans="1:7" ht="19.5" customHeight="1">
      <c r="A61" s="3122" t="s">
        <v>2600</v>
      </c>
      <c r="B61" s="3090">
        <v>0.6</v>
      </c>
      <c r="C61" s="3090">
        <v>0.3</v>
      </c>
      <c r="D61" s="3090">
        <v>0.25</v>
      </c>
      <c r="E61" s="3090">
        <v>0.25</v>
      </c>
      <c r="F61" s="3090">
        <v>0.25</v>
      </c>
      <c r="G61" s="3090">
        <v>0.15</v>
      </c>
    </row>
    <row r="62" spans="1:7" ht="19.5" customHeight="1">
      <c r="A62" s="3122" t="s">
        <v>2601</v>
      </c>
      <c r="B62" s="3090">
        <v>0.6</v>
      </c>
      <c r="C62" s="3090">
        <v>0.3</v>
      </c>
      <c r="D62" s="3090">
        <v>0.25</v>
      </c>
      <c r="E62" s="3090">
        <v>0.25</v>
      </c>
      <c r="F62" s="3090">
        <v>0.25</v>
      </c>
      <c r="G62" s="3090">
        <v>0.15</v>
      </c>
    </row>
    <row r="63" spans="1:7" ht="19.5" customHeight="1">
      <c r="A63" s="3122" t="s">
        <v>2602</v>
      </c>
      <c r="B63" s="3090">
        <v>0.6</v>
      </c>
      <c r="C63" s="3090">
        <v>0.3</v>
      </c>
      <c r="D63" s="3090">
        <v>0.25</v>
      </c>
      <c r="E63" s="3090">
        <v>0.25</v>
      </c>
      <c r="F63" s="3090">
        <v>0.25</v>
      </c>
      <c r="G63" s="3090">
        <v>0.15</v>
      </c>
    </row>
    <row r="64" spans="1:7" ht="19.5" customHeight="1">
      <c r="A64" s="3122" t="s">
        <v>2603</v>
      </c>
      <c r="B64" s="3090">
        <v>0.5</v>
      </c>
      <c r="C64" s="3090">
        <v>0.2</v>
      </c>
      <c r="D64" s="3090">
        <v>0.2</v>
      </c>
      <c r="E64" s="3090">
        <v>0.2</v>
      </c>
      <c r="F64" s="3090">
        <v>0.2</v>
      </c>
      <c r="G64" s="3090">
        <v>0.1</v>
      </c>
    </row>
    <row r="65" spans="1:7" ht="19.5" customHeight="1">
      <c r="A65" s="3122" t="s">
        <v>2604</v>
      </c>
      <c r="B65" s="3090">
        <v>0.5</v>
      </c>
      <c r="C65" s="3090">
        <v>0.2</v>
      </c>
      <c r="D65" s="3090">
        <v>0.2</v>
      </c>
      <c r="E65" s="3090">
        <v>0.2</v>
      </c>
      <c r="F65" s="3090">
        <v>0.2</v>
      </c>
      <c r="G65" s="3090">
        <v>0.1</v>
      </c>
    </row>
    <row r="66" spans="1:7" ht="19.5" customHeight="1">
      <c r="A66" s="3122" t="s">
        <v>2605</v>
      </c>
      <c r="B66" s="3090">
        <v>0.5</v>
      </c>
      <c r="C66" s="3090">
        <v>0.2</v>
      </c>
      <c r="D66" s="3090">
        <v>0.2</v>
      </c>
      <c r="E66" s="3090">
        <v>0.2</v>
      </c>
      <c r="F66" s="3090">
        <v>0.2</v>
      </c>
      <c r="G66" s="3090">
        <v>0.1</v>
      </c>
    </row>
    <row r="67" spans="1:7" ht="19.5" customHeight="1">
      <c r="A67" s="3122" t="s">
        <v>2606</v>
      </c>
      <c r="B67" s="3090">
        <v>0.5</v>
      </c>
      <c r="C67" s="3090">
        <v>0.2</v>
      </c>
      <c r="D67" s="3090">
        <v>0.2</v>
      </c>
      <c r="E67" s="3090">
        <v>0.2</v>
      </c>
      <c r="F67" s="3090">
        <v>0.2</v>
      </c>
      <c r="G67" s="3090">
        <v>0.1</v>
      </c>
    </row>
    <row r="68" spans="1:7" ht="19.5" customHeight="1">
      <c r="A68" s="3122" t="s">
        <v>2607</v>
      </c>
      <c r="B68" s="3090">
        <v>0.5</v>
      </c>
      <c r="C68" s="3090">
        <v>0.2</v>
      </c>
      <c r="D68" s="3090">
        <v>0.2</v>
      </c>
      <c r="E68" s="3090">
        <v>0.2</v>
      </c>
      <c r="F68" s="3090">
        <v>0.2</v>
      </c>
      <c r="G68" s="3090">
        <v>0.1</v>
      </c>
    </row>
    <row r="70" spans="1:7" ht="19.5" customHeight="1">
      <c r="A70" s="3123"/>
      <c r="B70" s="3124"/>
      <c r="C70" s="3124"/>
      <c r="D70" s="3124" t="s">
        <v>2644</v>
      </c>
      <c r="E70" s="3124"/>
      <c r="F70" s="3124"/>
    </row>
    <row r="71" spans="1:7" ht="19.5" customHeight="1">
      <c r="A71" s="3116" t="s">
        <v>2645</v>
      </c>
      <c r="B71" s="3116" t="s">
        <v>2646</v>
      </c>
      <c r="C71" s="3116" t="s">
        <v>2647</v>
      </c>
      <c r="D71" s="3116" t="s">
        <v>2648</v>
      </c>
      <c r="E71" s="3116" t="s">
        <v>2649</v>
      </c>
      <c r="F71" s="3116" t="s">
        <v>2650</v>
      </c>
    </row>
    <row r="72" spans="1:7" ht="13.5">
      <c r="A72" s="3116"/>
      <c r="B72" s="3116"/>
      <c r="C72" s="3116" t="s">
        <v>2651</v>
      </c>
      <c r="D72" s="3116"/>
      <c r="E72" s="3116" t="s">
        <v>2622</v>
      </c>
      <c r="F72" s="3116" t="s">
        <v>2622</v>
      </c>
    </row>
    <row r="73" spans="1:7" ht="13.5">
      <c r="A73" s="3116">
        <v>1</v>
      </c>
      <c r="B73" s="3769" t="s">
        <v>2652</v>
      </c>
      <c r="C73" s="3090" t="s">
        <v>2653</v>
      </c>
      <c r="D73" s="3090" t="s">
        <v>2654</v>
      </c>
      <c r="E73" s="3116">
        <v>0.2</v>
      </c>
      <c r="F73" s="3116">
        <v>25</v>
      </c>
    </row>
    <row r="74" spans="1:7" ht="24">
      <c r="A74" s="3116">
        <v>2</v>
      </c>
      <c r="B74" s="3771"/>
      <c r="C74" s="3090" t="s">
        <v>2655</v>
      </c>
      <c r="D74" s="3090" t="s">
        <v>2656</v>
      </c>
      <c r="E74" s="3116">
        <v>0.2</v>
      </c>
      <c r="F74" s="3116">
        <v>25</v>
      </c>
    </row>
    <row r="75" spans="1:7" ht="24">
      <c r="A75" s="3116">
        <v>3</v>
      </c>
      <c r="B75" s="3771"/>
      <c r="C75" s="3090" t="s">
        <v>2657</v>
      </c>
      <c r="D75" s="3090" t="s">
        <v>2658</v>
      </c>
      <c r="E75" s="3116">
        <v>0.2</v>
      </c>
      <c r="F75" s="3116">
        <v>25</v>
      </c>
    </row>
    <row r="76" spans="1:7" ht="13.5">
      <c r="A76" s="3116">
        <v>4</v>
      </c>
      <c r="B76" s="3771"/>
      <c r="C76" s="3090" t="s">
        <v>2659</v>
      </c>
      <c r="D76" s="3090" t="s">
        <v>2660</v>
      </c>
      <c r="E76" s="3116">
        <v>0.15</v>
      </c>
      <c r="F76" s="3116">
        <v>20</v>
      </c>
    </row>
    <row r="77" spans="1:7" ht="24">
      <c r="A77" s="3116">
        <v>5</v>
      </c>
      <c r="B77" s="3771"/>
      <c r="C77" s="3090" t="s">
        <v>2661</v>
      </c>
      <c r="D77" s="3090" t="s">
        <v>2662</v>
      </c>
      <c r="E77" s="3116">
        <v>0.15</v>
      </c>
      <c r="F77" s="3116">
        <v>20</v>
      </c>
    </row>
    <row r="78" spans="1:7" ht="24">
      <c r="A78" s="3116">
        <v>6</v>
      </c>
      <c r="B78" s="3771"/>
      <c r="C78" s="3090" t="s">
        <v>2663</v>
      </c>
      <c r="D78" s="3090" t="s">
        <v>2664</v>
      </c>
      <c r="E78" s="3116">
        <v>0.15</v>
      </c>
      <c r="F78" s="3116">
        <v>20</v>
      </c>
    </row>
    <row r="79" spans="1:7" ht="24">
      <c r="A79" s="3116">
        <v>7</v>
      </c>
      <c r="B79" s="3771"/>
      <c r="C79" s="3090" t="s">
        <v>2665</v>
      </c>
      <c r="D79" s="3090" t="s">
        <v>2666</v>
      </c>
      <c r="E79" s="3116">
        <v>0.15</v>
      </c>
      <c r="F79" s="3116">
        <v>20</v>
      </c>
    </row>
    <row r="80" spans="1:7" ht="24">
      <c r="A80" s="3116">
        <v>8</v>
      </c>
      <c r="B80" s="3771"/>
      <c r="C80" s="3090" t="s">
        <v>2667</v>
      </c>
      <c r="D80" s="3090" t="s">
        <v>2668</v>
      </c>
      <c r="E80" s="3116">
        <v>0.1</v>
      </c>
      <c r="F80" s="3116">
        <v>15</v>
      </c>
    </row>
    <row r="81" spans="1:6" ht="24">
      <c r="A81" s="3116">
        <v>9</v>
      </c>
      <c r="B81" s="3771"/>
      <c r="C81" s="3090" t="s">
        <v>2669</v>
      </c>
      <c r="D81" s="3090" t="s">
        <v>2670</v>
      </c>
      <c r="E81" s="3116">
        <v>0.1</v>
      </c>
      <c r="F81" s="3116">
        <v>15</v>
      </c>
    </row>
    <row r="82" spans="1:6" ht="24">
      <c r="A82" s="3116">
        <v>10</v>
      </c>
      <c r="B82" s="3771"/>
      <c r="C82" s="3090" t="s">
        <v>2671</v>
      </c>
      <c r="D82" s="3090" t="s">
        <v>2672</v>
      </c>
      <c r="E82" s="3116">
        <v>0.1</v>
      </c>
      <c r="F82" s="3116">
        <v>15</v>
      </c>
    </row>
    <row r="83" spans="1:6" ht="24">
      <c r="A83" s="3116">
        <v>11</v>
      </c>
      <c r="B83" s="3771"/>
      <c r="C83" s="3090" t="s">
        <v>2673</v>
      </c>
      <c r="D83" s="3090" t="s">
        <v>2674</v>
      </c>
      <c r="E83" s="3116">
        <v>0.1</v>
      </c>
      <c r="F83" s="3116">
        <v>15</v>
      </c>
    </row>
    <row r="84" spans="1:6" ht="24">
      <c r="A84" s="3116">
        <v>12</v>
      </c>
      <c r="B84" s="3771"/>
      <c r="C84" s="3090" t="s">
        <v>2675</v>
      </c>
      <c r="D84" s="3090" t="s">
        <v>2676</v>
      </c>
      <c r="E84" s="3116">
        <v>0.1</v>
      </c>
      <c r="F84" s="3116">
        <v>15</v>
      </c>
    </row>
    <row r="85" spans="1:6" ht="13.5">
      <c r="A85" s="3116">
        <v>13</v>
      </c>
      <c r="B85" s="3771"/>
      <c r="C85" s="3090" t="s">
        <v>2677</v>
      </c>
      <c r="D85" s="3090" t="s">
        <v>2678</v>
      </c>
      <c r="E85" s="3116">
        <v>0.1</v>
      </c>
      <c r="F85" s="3116">
        <v>15</v>
      </c>
    </row>
    <row r="86" spans="1:6" ht="13.5">
      <c r="A86" s="3116">
        <v>14</v>
      </c>
      <c r="B86" s="3771"/>
      <c r="C86" s="3090" t="s">
        <v>2679</v>
      </c>
      <c r="D86" s="3090" t="s">
        <v>2680</v>
      </c>
      <c r="E86" s="3116">
        <v>0.1</v>
      </c>
      <c r="F86" s="3116">
        <v>15</v>
      </c>
    </row>
    <row r="87" spans="1:6" ht="13.5">
      <c r="A87" s="3116">
        <v>15</v>
      </c>
      <c r="B87" s="3771"/>
      <c r="C87" s="3090" t="s">
        <v>2681</v>
      </c>
      <c r="D87" s="3090" t="s">
        <v>2682</v>
      </c>
      <c r="E87" s="3116">
        <v>0.1</v>
      </c>
      <c r="F87" s="3116">
        <v>15</v>
      </c>
    </row>
    <row r="88" spans="1:6" ht="24">
      <c r="A88" s="3116">
        <v>16</v>
      </c>
      <c r="B88" s="3771"/>
      <c r="C88" s="3090" t="s">
        <v>2683</v>
      </c>
      <c r="D88" s="3090" t="s">
        <v>2684</v>
      </c>
      <c r="E88" s="3116">
        <v>0.1</v>
      </c>
      <c r="F88" s="3116">
        <v>15</v>
      </c>
    </row>
    <row r="89" spans="1:6" ht="24">
      <c r="A89" s="3116">
        <v>17</v>
      </c>
      <c r="B89" s="3770"/>
      <c r="C89" s="3090" t="s">
        <v>2685</v>
      </c>
      <c r="D89" s="3090" t="s">
        <v>2686</v>
      </c>
      <c r="E89" s="3116">
        <v>0.1</v>
      </c>
      <c r="F89" s="3116">
        <v>15</v>
      </c>
    </row>
    <row r="90" spans="1:6" ht="13.5">
      <c r="A90" s="3116">
        <v>18</v>
      </c>
      <c r="B90" s="3769" t="s">
        <v>2687</v>
      </c>
      <c r="C90" s="3090" t="s">
        <v>2688</v>
      </c>
      <c r="D90" s="3090" t="s">
        <v>2689</v>
      </c>
      <c r="E90" s="3116">
        <v>0.2</v>
      </c>
      <c r="F90" s="3116">
        <v>25</v>
      </c>
    </row>
    <row r="91" spans="1:6" ht="24">
      <c r="A91" s="3116">
        <v>19</v>
      </c>
      <c r="B91" s="3771"/>
      <c r="C91" s="3090" t="s">
        <v>2690</v>
      </c>
      <c r="D91" s="3090" t="s">
        <v>2691</v>
      </c>
      <c r="E91" s="3116">
        <v>0.2</v>
      </c>
      <c r="F91" s="3116">
        <v>25</v>
      </c>
    </row>
    <row r="92" spans="1:6" ht="13.5">
      <c r="A92" s="3116">
        <v>20</v>
      </c>
      <c r="B92" s="3771"/>
      <c r="C92" s="3090" t="s">
        <v>2692</v>
      </c>
      <c r="D92" s="3090" t="s">
        <v>2693</v>
      </c>
      <c r="E92" s="3116">
        <v>0.15</v>
      </c>
      <c r="F92" s="3116">
        <v>20</v>
      </c>
    </row>
    <row r="93" spans="1:6" ht="13.5">
      <c r="A93" s="3116">
        <v>21</v>
      </c>
      <c r="B93" s="3771"/>
      <c r="C93" s="3090" t="s">
        <v>2694</v>
      </c>
      <c r="D93" s="3090" t="s">
        <v>2695</v>
      </c>
      <c r="E93" s="3116">
        <v>0.15</v>
      </c>
      <c r="F93" s="3116">
        <v>20</v>
      </c>
    </row>
    <row r="94" spans="1:6" ht="13.5">
      <c r="A94" s="3116">
        <v>22</v>
      </c>
      <c r="B94" s="3771"/>
      <c r="C94" s="3090" t="s">
        <v>2696</v>
      </c>
      <c r="D94" s="3090" t="s">
        <v>2697</v>
      </c>
      <c r="E94" s="3116">
        <v>0.15</v>
      </c>
      <c r="F94" s="3116">
        <v>20</v>
      </c>
    </row>
    <row r="95" spans="1:6" ht="36">
      <c r="A95" s="3116">
        <v>23</v>
      </c>
      <c r="B95" s="3771"/>
      <c r="C95" s="3090" t="s">
        <v>2698</v>
      </c>
      <c r="D95" s="3090" t="s">
        <v>2699</v>
      </c>
      <c r="E95" s="3116">
        <v>0.15</v>
      </c>
      <c r="F95" s="3116">
        <v>20</v>
      </c>
    </row>
    <row r="96" spans="1:6" ht="13.5">
      <c r="A96" s="3116">
        <v>24</v>
      </c>
      <c r="B96" s="3771"/>
      <c r="C96" s="3090" t="s">
        <v>2700</v>
      </c>
      <c r="D96" s="3090" t="s">
        <v>2701</v>
      </c>
      <c r="E96" s="3116">
        <v>0.1</v>
      </c>
      <c r="F96" s="3116">
        <v>15</v>
      </c>
    </row>
    <row r="97" spans="1:6" ht="13.5">
      <c r="A97" s="3116">
        <v>25</v>
      </c>
      <c r="B97" s="3771"/>
      <c r="C97" s="3090" t="s">
        <v>2702</v>
      </c>
      <c r="D97" s="3090" t="s">
        <v>2703</v>
      </c>
      <c r="E97" s="3116">
        <v>0.1</v>
      </c>
      <c r="F97" s="3116">
        <v>15</v>
      </c>
    </row>
    <row r="98" spans="1:6" ht="24">
      <c r="A98" s="3116">
        <v>26</v>
      </c>
      <c r="B98" s="3771"/>
      <c r="C98" s="3090" t="s">
        <v>2704</v>
      </c>
      <c r="D98" s="3090" t="s">
        <v>2705</v>
      </c>
      <c r="E98" s="3116">
        <v>0.1</v>
      </c>
      <c r="F98" s="3116">
        <v>15</v>
      </c>
    </row>
    <row r="99" spans="1:6" ht="24">
      <c r="A99" s="3116">
        <v>27</v>
      </c>
      <c r="B99" s="3771"/>
      <c r="C99" s="3090" t="s">
        <v>2706</v>
      </c>
      <c r="D99" s="3090" t="s">
        <v>2707</v>
      </c>
      <c r="E99" s="3116">
        <v>0.1</v>
      </c>
      <c r="F99" s="3116">
        <v>15</v>
      </c>
    </row>
    <row r="100" spans="1:6" ht="13.5">
      <c r="A100" s="3116">
        <v>28</v>
      </c>
      <c r="B100" s="3771"/>
      <c r="C100" s="3090" t="s">
        <v>2708</v>
      </c>
      <c r="D100" s="3090" t="s">
        <v>2709</v>
      </c>
      <c r="E100" s="3116">
        <v>0.1</v>
      </c>
      <c r="F100" s="3116">
        <v>15</v>
      </c>
    </row>
    <row r="101" spans="1:6" ht="13.5">
      <c r="A101" s="3116">
        <v>29</v>
      </c>
      <c r="B101" s="3771"/>
      <c r="C101" s="3090" t="s">
        <v>2710</v>
      </c>
      <c r="D101" s="3090" t="s">
        <v>2711</v>
      </c>
      <c r="E101" s="3116">
        <v>0.1</v>
      </c>
      <c r="F101" s="3116">
        <v>15</v>
      </c>
    </row>
    <row r="102" spans="1:6" ht="13.5">
      <c r="A102" s="3116">
        <v>30</v>
      </c>
      <c r="B102" s="3771"/>
      <c r="C102" s="3090" t="s">
        <v>2712</v>
      </c>
      <c r="D102" s="3090" t="s">
        <v>2713</v>
      </c>
      <c r="E102" s="3116">
        <v>0.1</v>
      </c>
      <c r="F102" s="3116">
        <v>15</v>
      </c>
    </row>
    <row r="103" spans="1:6" ht="24">
      <c r="A103" s="3116">
        <v>31</v>
      </c>
      <c r="B103" s="3771"/>
      <c r="C103" s="3090" t="s">
        <v>2714</v>
      </c>
      <c r="D103" s="3090" t="s">
        <v>2715</v>
      </c>
      <c r="E103" s="3116">
        <v>0.1</v>
      </c>
      <c r="F103" s="3116">
        <v>15</v>
      </c>
    </row>
    <row r="104" spans="1:6" ht="24">
      <c r="A104" s="3116">
        <v>32</v>
      </c>
      <c r="B104" s="3771"/>
      <c r="C104" s="3090" t="s">
        <v>2716</v>
      </c>
      <c r="D104" s="3090" t="s">
        <v>2717</v>
      </c>
      <c r="E104" s="3116">
        <v>0.1</v>
      </c>
      <c r="F104" s="3116">
        <v>15</v>
      </c>
    </row>
    <row r="105" spans="1:6" ht="24">
      <c r="A105" s="3116">
        <v>33</v>
      </c>
      <c r="B105" s="3771"/>
      <c r="C105" s="3090" t="s">
        <v>2718</v>
      </c>
      <c r="D105" s="3090" t="s">
        <v>2719</v>
      </c>
      <c r="E105" s="3116">
        <v>0.1</v>
      </c>
      <c r="F105" s="3116">
        <v>15</v>
      </c>
    </row>
    <row r="106" spans="1:6" ht="24">
      <c r="A106" s="3116">
        <v>34</v>
      </c>
      <c r="B106" s="3770"/>
      <c r="C106" s="3090" t="s">
        <v>2720</v>
      </c>
      <c r="D106" s="3090" t="s">
        <v>2721</v>
      </c>
      <c r="E106" s="3116">
        <v>0.1</v>
      </c>
      <c r="F106" s="3116">
        <v>15</v>
      </c>
    </row>
    <row r="107" spans="1:6" ht="24">
      <c r="A107" s="3116">
        <v>35</v>
      </c>
      <c r="B107" s="3769" t="s">
        <v>2722</v>
      </c>
      <c r="C107" s="3116" t="s">
        <v>2723</v>
      </c>
      <c r="D107" s="3090" t="s">
        <v>2724</v>
      </c>
      <c r="E107" s="3116">
        <v>0.15</v>
      </c>
      <c r="F107" s="3116">
        <v>20</v>
      </c>
    </row>
    <row r="108" spans="1:6" ht="13.5">
      <c r="A108" s="3116">
        <v>36</v>
      </c>
      <c r="B108" s="3771"/>
      <c r="C108" s="3116" t="s">
        <v>2725</v>
      </c>
      <c r="D108" s="3090" t="s">
        <v>2726</v>
      </c>
      <c r="E108" s="3116">
        <v>0.15</v>
      </c>
      <c r="F108" s="3116">
        <v>20</v>
      </c>
    </row>
    <row r="109" spans="1:6" ht="13.5">
      <c r="A109" s="3116">
        <v>37</v>
      </c>
      <c r="B109" s="3771"/>
      <c r="C109" s="3116" t="s">
        <v>2727</v>
      </c>
      <c r="D109" s="3090" t="s">
        <v>2728</v>
      </c>
      <c r="E109" s="3116">
        <v>0.15</v>
      </c>
      <c r="F109" s="3116">
        <v>20</v>
      </c>
    </row>
    <row r="110" spans="1:6" ht="13.5">
      <c r="A110" s="3116">
        <v>38</v>
      </c>
      <c r="B110" s="3771"/>
      <c r="C110" s="3116" t="s">
        <v>2729</v>
      </c>
      <c r="D110" s="3090" t="s">
        <v>2730</v>
      </c>
      <c r="E110" s="3116">
        <v>0.1</v>
      </c>
      <c r="F110" s="3116">
        <v>15</v>
      </c>
    </row>
    <row r="111" spans="1:6" ht="24">
      <c r="A111" s="3116">
        <v>39</v>
      </c>
      <c r="B111" s="3771"/>
      <c r="C111" s="3116" t="s">
        <v>2731</v>
      </c>
      <c r="D111" s="3090" t="s">
        <v>2732</v>
      </c>
      <c r="E111" s="3116">
        <v>0.1</v>
      </c>
      <c r="F111" s="3116">
        <v>15</v>
      </c>
    </row>
    <row r="112" spans="1:6" ht="24">
      <c r="A112" s="3116">
        <v>40</v>
      </c>
      <c r="B112" s="3770"/>
      <c r="C112" s="3116" t="s">
        <v>2733</v>
      </c>
      <c r="D112" s="3090" t="s">
        <v>2734</v>
      </c>
      <c r="E112" s="3116">
        <v>0.1</v>
      </c>
      <c r="F112" s="3116">
        <v>15</v>
      </c>
    </row>
    <row r="113" spans="1:6" ht="13.5">
      <c r="A113" s="3116">
        <v>41</v>
      </c>
      <c r="B113" s="3768" t="s">
        <v>2735</v>
      </c>
      <c r="C113" s="3116" t="s">
        <v>2736</v>
      </c>
      <c r="D113" s="3090" t="s">
        <v>2737</v>
      </c>
      <c r="E113" s="3116">
        <v>0.1</v>
      </c>
      <c r="F113" s="3116">
        <v>15</v>
      </c>
    </row>
    <row r="114" spans="1:6" ht="13.5">
      <c r="A114" s="3116">
        <v>42</v>
      </c>
      <c r="B114" s="3768"/>
      <c r="C114" s="3116" t="s">
        <v>2738</v>
      </c>
      <c r="D114" s="3090" t="s">
        <v>2739</v>
      </c>
      <c r="E114" s="3116">
        <v>0.1</v>
      </c>
      <c r="F114" s="3116">
        <v>15</v>
      </c>
    </row>
    <row r="115" spans="1:6" ht="24">
      <c r="A115" s="3116">
        <v>43</v>
      </c>
      <c r="B115" s="3768"/>
      <c r="C115" s="3116" t="s">
        <v>2740</v>
      </c>
      <c r="D115" s="3090" t="s">
        <v>2741</v>
      </c>
      <c r="E115" s="3116">
        <v>0.1</v>
      </c>
      <c r="F115" s="3116">
        <v>15</v>
      </c>
    </row>
    <row r="116" spans="1:6" ht="13.5">
      <c r="A116" s="3116">
        <v>44</v>
      </c>
      <c r="B116" s="3769" t="s">
        <v>2742</v>
      </c>
      <c r="C116" s="3116" t="s">
        <v>2743</v>
      </c>
      <c r="D116" s="3090" t="s">
        <v>2744</v>
      </c>
      <c r="E116" s="3116">
        <v>0.1</v>
      </c>
      <c r="F116" s="3116">
        <v>15</v>
      </c>
    </row>
    <row r="117" spans="1:6" ht="24">
      <c r="A117" s="3116">
        <v>45</v>
      </c>
      <c r="B117" s="3770"/>
      <c r="C117" s="3090" t="s">
        <v>2745</v>
      </c>
      <c r="D117" s="3090" t="s">
        <v>2746</v>
      </c>
      <c r="E117" s="3116">
        <v>0.1</v>
      </c>
      <c r="F117" s="3116">
        <v>15</v>
      </c>
    </row>
    <row r="118" spans="1:6" ht="24">
      <c r="A118" s="3116">
        <v>46</v>
      </c>
      <c r="B118" s="3769" t="s">
        <v>2747</v>
      </c>
      <c r="C118" s="3116" t="s">
        <v>2748</v>
      </c>
      <c r="D118" s="3090" t="s">
        <v>2749</v>
      </c>
      <c r="E118" s="3116">
        <v>0.1</v>
      </c>
      <c r="F118" s="3116">
        <v>15</v>
      </c>
    </row>
    <row r="119" spans="1:6" ht="24">
      <c r="A119" s="3116">
        <v>47</v>
      </c>
      <c r="B119" s="3770"/>
      <c r="C119" s="3116" t="s">
        <v>2750</v>
      </c>
      <c r="D119" s="3090" t="s">
        <v>2751</v>
      </c>
      <c r="E119" s="3116">
        <v>0.1</v>
      </c>
      <c r="F119" s="3116">
        <v>15</v>
      </c>
    </row>
    <row r="120" spans="1:6" ht="13.5">
      <c r="A120" s="3116">
        <v>48</v>
      </c>
      <c r="B120" s="3769" t="s">
        <v>2752</v>
      </c>
      <c r="C120" s="3116" t="s">
        <v>2753</v>
      </c>
      <c r="D120" s="3090" t="s">
        <v>2754</v>
      </c>
      <c r="E120" s="3116">
        <v>0.1</v>
      </c>
      <c r="F120" s="3116">
        <v>15</v>
      </c>
    </row>
    <row r="121" spans="1:6" ht="13.5">
      <c r="A121" s="3116">
        <v>49</v>
      </c>
      <c r="B121" s="3770"/>
      <c r="C121" s="3116" t="s">
        <v>2755</v>
      </c>
      <c r="D121" s="3090" t="s">
        <v>2756</v>
      </c>
      <c r="E121" s="3116">
        <v>0.1</v>
      </c>
      <c r="F121" s="3116">
        <v>15</v>
      </c>
    </row>
    <row r="122" spans="1:6" ht="24">
      <c r="A122" s="3116">
        <v>50</v>
      </c>
      <c r="B122" s="3768" t="s">
        <v>2757</v>
      </c>
      <c r="C122" s="3116" t="s">
        <v>2758</v>
      </c>
      <c r="D122" s="3090" t="s">
        <v>2759</v>
      </c>
      <c r="E122" s="3116">
        <v>0.1</v>
      </c>
      <c r="F122" s="3116">
        <v>15</v>
      </c>
    </row>
    <row r="123" spans="1:6" ht="24">
      <c r="A123" s="3116">
        <v>51</v>
      </c>
      <c r="B123" s="3768"/>
      <c r="C123" s="3116" t="s">
        <v>2760</v>
      </c>
      <c r="D123" s="3090" t="s">
        <v>2761</v>
      </c>
      <c r="E123" s="3116">
        <v>0.1</v>
      </c>
      <c r="F123" s="3116">
        <v>15</v>
      </c>
    </row>
    <row r="124" spans="1:6" ht="24">
      <c r="A124" s="3116">
        <v>52</v>
      </c>
      <c r="B124" s="3768" t="s">
        <v>2762</v>
      </c>
      <c r="C124" s="3116" t="s">
        <v>2763</v>
      </c>
      <c r="D124" s="3090" t="s">
        <v>2764</v>
      </c>
      <c r="E124" s="3116">
        <v>0.1</v>
      </c>
      <c r="F124" s="3116">
        <v>15</v>
      </c>
    </row>
    <row r="125" spans="1:6" ht="24">
      <c r="A125" s="3116">
        <v>53</v>
      </c>
      <c r="B125" s="3768"/>
      <c r="C125" s="3116" t="s">
        <v>2765</v>
      </c>
      <c r="D125" s="3090" t="s">
        <v>2766</v>
      </c>
      <c r="E125" s="3116">
        <v>0.1</v>
      </c>
      <c r="F125" s="3116">
        <v>15</v>
      </c>
    </row>
    <row r="126" spans="1:6" ht="13.5">
      <c r="A126" s="3116">
        <v>54</v>
      </c>
      <c r="B126" s="3116" t="s">
        <v>2767</v>
      </c>
      <c r="C126" s="3116" t="s">
        <v>2768</v>
      </c>
      <c r="D126" s="3090" t="s">
        <v>2769</v>
      </c>
      <c r="E126" s="3116">
        <v>0.1</v>
      </c>
      <c r="F126" s="3116">
        <v>15</v>
      </c>
    </row>
    <row r="127" spans="1:6" ht="13.5">
      <c r="A127" s="3116">
        <v>55</v>
      </c>
      <c r="B127" s="3768" t="s">
        <v>2770</v>
      </c>
      <c r="C127" s="3116" t="s">
        <v>2771</v>
      </c>
      <c r="D127" s="3090" t="s">
        <v>2772</v>
      </c>
      <c r="E127" s="3116">
        <v>0.1</v>
      </c>
      <c r="F127" s="3116">
        <v>15</v>
      </c>
    </row>
    <row r="128" spans="1:6" ht="13.5">
      <c r="A128" s="3116">
        <v>56</v>
      </c>
      <c r="B128" s="3768"/>
      <c r="C128" s="3116" t="s">
        <v>2773</v>
      </c>
      <c r="D128" s="3090" t="s">
        <v>2774</v>
      </c>
      <c r="E128" s="3116">
        <v>0.1</v>
      </c>
      <c r="F128" s="3116">
        <v>15</v>
      </c>
    </row>
    <row r="129" spans="1:6" ht="24">
      <c r="A129" s="3116">
        <v>57</v>
      </c>
      <c r="B129" s="3768"/>
      <c r="C129" s="3116" t="s">
        <v>2775</v>
      </c>
      <c r="D129" s="3090" t="s">
        <v>2776</v>
      </c>
      <c r="E129" s="3116">
        <v>0.1</v>
      </c>
      <c r="F129" s="3116">
        <v>15</v>
      </c>
    </row>
    <row r="130" spans="1:6" ht="24">
      <c r="A130" s="3116">
        <v>58</v>
      </c>
      <c r="B130" s="3768" t="s">
        <v>2777</v>
      </c>
      <c r="C130" s="3116" t="s">
        <v>2778</v>
      </c>
      <c r="D130" s="3090" t="s">
        <v>2779</v>
      </c>
      <c r="E130" s="3116">
        <v>0.1</v>
      </c>
      <c r="F130" s="3116">
        <v>15</v>
      </c>
    </row>
    <row r="131" spans="1:6" ht="13.5">
      <c r="A131" s="3116">
        <v>59</v>
      </c>
      <c r="B131" s="3768"/>
      <c r="C131" s="3116" t="s">
        <v>2780</v>
      </c>
      <c r="D131" s="3090" t="s">
        <v>2781</v>
      </c>
      <c r="E131" s="3116">
        <v>0.1</v>
      </c>
      <c r="F131" s="3116">
        <v>15</v>
      </c>
    </row>
    <row r="132" spans="1:6" ht="13.5">
      <c r="A132" s="3116">
        <v>60</v>
      </c>
      <c r="B132" s="3769" t="s">
        <v>2782</v>
      </c>
      <c r="C132" s="3116" t="s">
        <v>2783</v>
      </c>
      <c r="D132" s="3090" t="s">
        <v>2784</v>
      </c>
      <c r="E132" s="3116">
        <v>0.1</v>
      </c>
      <c r="F132" s="3116">
        <v>15</v>
      </c>
    </row>
    <row r="133" spans="1:6" ht="13.5">
      <c r="A133" s="3116">
        <v>61</v>
      </c>
      <c r="B133" s="3770"/>
      <c r="C133" s="3116" t="s">
        <v>2785</v>
      </c>
      <c r="D133" s="3090" t="s">
        <v>2786</v>
      </c>
      <c r="E133" s="3116">
        <v>0.1</v>
      </c>
      <c r="F133" s="3116">
        <v>15</v>
      </c>
    </row>
    <row r="134" spans="1:6" ht="24">
      <c r="A134" s="3116">
        <v>62</v>
      </c>
      <c r="B134" s="3116" t="s">
        <v>2787</v>
      </c>
      <c r="C134" s="3116" t="s">
        <v>2788</v>
      </c>
      <c r="D134" s="3090" t="s">
        <v>2789</v>
      </c>
      <c r="E134" s="3116">
        <v>0.1</v>
      </c>
      <c r="F134" s="3116">
        <v>15</v>
      </c>
    </row>
    <row r="135" spans="1:6" ht="13.5">
      <c r="A135" s="3116">
        <v>63</v>
      </c>
      <c r="B135" s="3768" t="s">
        <v>2790</v>
      </c>
      <c r="C135" s="3116" t="s">
        <v>2791</v>
      </c>
      <c r="D135" s="3090" t="s">
        <v>2792</v>
      </c>
      <c r="E135" s="3116">
        <v>0.1</v>
      </c>
      <c r="F135" s="3116">
        <v>15</v>
      </c>
    </row>
    <row r="136" spans="1:6" ht="13.5">
      <c r="A136" s="3116">
        <v>64</v>
      </c>
      <c r="B136" s="3768"/>
      <c r="C136" s="3116" t="s">
        <v>2793</v>
      </c>
      <c r="D136" s="3090" t="s">
        <v>2794</v>
      </c>
      <c r="E136" s="3116">
        <v>0.1</v>
      </c>
      <c r="F136" s="3116">
        <v>15</v>
      </c>
    </row>
    <row r="137" spans="1:6" ht="13.5">
      <c r="A137" s="3116">
        <v>65</v>
      </c>
      <c r="B137" s="3116" t="s">
        <v>2795</v>
      </c>
      <c r="C137" s="3116" t="s">
        <v>2796</v>
      </c>
      <c r="D137" s="3090" t="s">
        <v>2797</v>
      </c>
      <c r="E137" s="3116">
        <v>0.1</v>
      </c>
      <c r="F137" s="3116">
        <v>15</v>
      </c>
    </row>
    <row r="138" spans="1:6" ht="13.5">
      <c r="A138" s="3116"/>
      <c r="B138" s="3116"/>
      <c r="C138" s="3116"/>
      <c r="D138" s="3116"/>
      <c r="E138" s="3116" t="s">
        <v>2798</v>
      </c>
      <c r="F138" s="3116" t="s">
        <v>2798</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9"/>
    <col min="14" max="16384" width="9" style="750"/>
  </cols>
  <sheetData>
    <row r="1" spans="1:20" ht="15" thickBot="1">
      <c r="A1" s="3125" t="s">
        <v>2799</v>
      </c>
      <c r="B1" s="3125"/>
      <c r="C1" s="3125"/>
      <c r="D1" s="3125"/>
      <c r="E1" s="3125"/>
      <c r="F1" s="3125"/>
      <c r="G1" s="3125"/>
      <c r="H1" s="3125"/>
      <c r="I1" s="3125"/>
      <c r="J1" s="3125"/>
      <c r="K1" s="3125"/>
      <c r="L1" s="3125"/>
      <c r="M1" s="3125"/>
      <c r="N1" s="749"/>
    </row>
    <row r="2" spans="1:20">
      <c r="A2" s="3126" t="s">
        <v>2800</v>
      </c>
      <c r="B2" s="3127" t="s">
        <v>2596</v>
      </c>
      <c r="C2" s="3127" t="s">
        <v>2597</v>
      </c>
      <c r="D2" s="3127" t="s">
        <v>2598</v>
      </c>
      <c r="E2" s="3127" t="s">
        <v>2599</v>
      </c>
      <c r="F2" s="3127" t="s">
        <v>2600</v>
      </c>
      <c r="G2" s="3127" t="s">
        <v>2601</v>
      </c>
      <c r="H2" s="3128" t="s">
        <v>2602</v>
      </c>
      <c r="I2" s="3128" t="s">
        <v>2603</v>
      </c>
      <c r="J2" s="3129" t="s">
        <v>2604</v>
      </c>
      <c r="K2" s="3129" t="s">
        <v>2605</v>
      </c>
      <c r="L2" s="3129" t="s">
        <v>2606</v>
      </c>
      <c r="M2" s="3130" t="s">
        <v>2607</v>
      </c>
      <c r="Q2" s="3140" t="s">
        <v>2805</v>
      </c>
      <c r="R2" s="3140" t="s">
        <v>2806</v>
      </c>
      <c r="S2" s="3140" t="s">
        <v>2807</v>
      </c>
      <c r="T2" s="3140" t="s">
        <v>2808</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51"/>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51"/>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51"/>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2801</v>
      </c>
      <c r="B93" s="3125"/>
      <c r="C93" s="3125"/>
      <c r="D93" s="3125"/>
      <c r="E93" s="3125"/>
      <c r="F93" s="3125"/>
      <c r="G93" s="3125"/>
      <c r="H93" s="3125"/>
      <c r="I93" s="3125"/>
      <c r="J93" s="3125"/>
      <c r="K93" s="3125"/>
      <c r="L93" s="3125"/>
      <c r="M93" s="3125"/>
    </row>
    <row r="94" spans="1:20">
      <c r="A94" s="3126" t="s">
        <v>2800</v>
      </c>
      <c r="B94" s="3127" t="s">
        <v>2596</v>
      </c>
      <c r="C94" s="3127" t="s">
        <v>2597</v>
      </c>
      <c r="D94" s="3127" t="s">
        <v>2598</v>
      </c>
      <c r="E94" s="3127" t="s">
        <v>2599</v>
      </c>
      <c r="F94" s="3127" t="s">
        <v>2600</v>
      </c>
      <c r="G94" s="3127" t="s">
        <v>2601</v>
      </c>
      <c r="H94" s="3128" t="s">
        <v>2602</v>
      </c>
      <c r="I94" s="3128" t="s">
        <v>2603</v>
      </c>
      <c r="J94" s="3129" t="s">
        <v>2604</v>
      </c>
      <c r="K94" s="3129" t="s">
        <v>2605</v>
      </c>
      <c r="L94" s="3129" t="s">
        <v>2606</v>
      </c>
      <c r="M94" s="3130" t="s">
        <v>2607</v>
      </c>
      <c r="N94" s="750">
        <f>SUMPRODUCT((A95:A184=ROUNDDOWN(基准地价修正!G3,1))*(B94:M94=基准地价修正!G2)*(B95:M184))</f>
        <v>1.2302</v>
      </c>
      <c r="Q94" s="3140" t="s">
        <v>2805</v>
      </c>
      <c r="R94" s="3140" t="s">
        <v>2806</v>
      </c>
      <c r="S94" s="3140" t="s">
        <v>2807</v>
      </c>
      <c r="T94" s="3140" t="s">
        <v>2808</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9"/>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9"/>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2802</v>
      </c>
      <c r="B185" s="3125"/>
      <c r="C185" s="3125"/>
      <c r="D185" s="3125"/>
      <c r="E185" s="3125"/>
      <c r="F185" s="3125"/>
      <c r="G185" s="3125"/>
      <c r="H185" s="3125"/>
      <c r="I185" s="3125"/>
      <c r="J185" s="3125"/>
      <c r="K185" s="3125"/>
      <c r="L185" s="3125"/>
      <c r="M185" s="3125"/>
    </row>
    <row r="186" spans="1:20">
      <c r="A186" s="3126" t="s">
        <v>2800</v>
      </c>
      <c r="B186" s="3127" t="s">
        <v>2596</v>
      </c>
      <c r="C186" s="3127" t="s">
        <v>2597</v>
      </c>
      <c r="D186" s="3127" t="s">
        <v>2598</v>
      </c>
      <c r="E186" s="3127" t="s">
        <v>2599</v>
      </c>
      <c r="F186" s="3127" t="s">
        <v>2600</v>
      </c>
      <c r="G186" s="3127" t="s">
        <v>2601</v>
      </c>
      <c r="H186" s="3128" t="s">
        <v>2602</v>
      </c>
      <c r="I186" s="3128" t="s">
        <v>2603</v>
      </c>
      <c r="J186" s="3129" t="s">
        <v>2604</v>
      </c>
      <c r="K186" s="3129" t="s">
        <v>2605</v>
      </c>
      <c r="L186" s="3129" t="s">
        <v>2606</v>
      </c>
      <c r="M186" s="3130" t="s">
        <v>2607</v>
      </c>
      <c r="Q186" s="3140" t="s">
        <v>2805</v>
      </c>
      <c r="R186" s="3140" t="s">
        <v>2806</v>
      </c>
      <c r="S186" s="3140" t="s">
        <v>2807</v>
      </c>
      <c r="T186" s="3140" t="s">
        <v>2808</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2803</v>
      </c>
      <c r="B277" s="3125"/>
      <c r="C277" s="3125"/>
      <c r="D277" s="3125"/>
      <c r="E277" s="3125"/>
      <c r="F277" s="3125"/>
      <c r="G277" s="3125"/>
      <c r="H277" s="3125"/>
      <c r="I277" s="3125"/>
      <c r="J277" s="3125"/>
      <c r="K277" s="3125"/>
      <c r="L277" s="3125"/>
      <c r="M277" s="3125"/>
    </row>
    <row r="278" spans="1:21">
      <c r="A278" s="3126" t="s">
        <v>2800</v>
      </c>
      <c r="B278" s="3127" t="s">
        <v>2596</v>
      </c>
      <c r="C278" s="3127" t="s">
        <v>2597</v>
      </c>
      <c r="D278" s="3127" t="s">
        <v>2598</v>
      </c>
      <c r="E278" s="3127" t="s">
        <v>2599</v>
      </c>
      <c r="F278" s="3127" t="s">
        <v>2600</v>
      </c>
      <c r="G278" s="3127" t="s">
        <v>2601</v>
      </c>
      <c r="H278" s="3128" t="s">
        <v>2602</v>
      </c>
      <c r="I278" s="3128" t="s">
        <v>2603</v>
      </c>
      <c r="J278" s="3129" t="s">
        <v>2604</v>
      </c>
      <c r="K278" s="3129" t="s">
        <v>2605</v>
      </c>
      <c r="L278" s="3129" t="s">
        <v>2606</v>
      </c>
      <c r="M278" s="3130" t="s">
        <v>2607</v>
      </c>
      <c r="Q278" s="3140" t="s">
        <v>2805</v>
      </c>
      <c r="R278" s="3140" t="s">
        <v>2806</v>
      </c>
      <c r="S278" s="3140" t="s">
        <v>2809</v>
      </c>
      <c r="T278" s="3140" t="s">
        <v>2810</v>
      </c>
      <c r="U278" s="3140" t="s">
        <v>2808</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2804</v>
      </c>
      <c r="B369" s="3138"/>
      <c r="C369" s="3138"/>
      <c r="D369" s="3138"/>
      <c r="E369" s="3138"/>
      <c r="F369" s="3138"/>
      <c r="G369" s="3138"/>
      <c r="H369" s="3138"/>
      <c r="I369" s="3138"/>
      <c r="J369" s="3138"/>
      <c r="K369" s="3138"/>
      <c r="L369" s="3138"/>
      <c r="M369" s="3138"/>
    </row>
    <row r="370" spans="1:20">
      <c r="A370" s="3126" t="s">
        <v>2800</v>
      </c>
      <c r="B370" s="3127" t="s">
        <v>2596</v>
      </c>
      <c r="C370" s="3127" t="s">
        <v>2597</v>
      </c>
      <c r="D370" s="3127" t="s">
        <v>2598</v>
      </c>
      <c r="E370" s="3127" t="s">
        <v>2599</v>
      </c>
      <c r="F370" s="3127" t="s">
        <v>2600</v>
      </c>
      <c r="G370" s="3127" t="s">
        <v>2601</v>
      </c>
      <c r="H370" s="3128" t="s">
        <v>2602</v>
      </c>
      <c r="I370" s="3128" t="s">
        <v>2603</v>
      </c>
      <c r="J370" s="3129" t="s">
        <v>2604</v>
      </c>
      <c r="K370" s="3129" t="s">
        <v>2605</v>
      </c>
      <c r="L370" s="3129" t="s">
        <v>2606</v>
      </c>
      <c r="M370" s="3130" t="s">
        <v>2607</v>
      </c>
      <c r="N370" s="750">
        <f>SUMPRODUCT((A371:A460=ROUNDDOWN(基准地价修正!G3,1))*(B370:M370=基准地价修正!G2)*(B371:M460))</f>
        <v>1.1198999999999999</v>
      </c>
      <c r="Q370" s="3140" t="s">
        <v>2805</v>
      </c>
      <c r="R370" s="3140" t="s">
        <v>2806</v>
      </c>
      <c r="S370" s="3140" t="s">
        <v>2807</v>
      </c>
      <c r="T370" s="3140" t="s">
        <v>2808</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6"/>
      <c r="C2" s="3466"/>
      <c r="D2" s="3466"/>
      <c r="E2" s="3466"/>
    </row>
    <row r="3" spans="1:5" ht="18">
      <c r="A3" s="3467" t="str">
        <f>IF(项目基本情况!B9="房地产市场价值","估价结果一览表（市场价值不需“结果表-1”）","估价结果一览表")</f>
        <v>估价结果一览表</v>
      </c>
      <c r="B3" s="3467"/>
      <c r="C3" s="3467"/>
      <c r="D3" s="3467"/>
      <c r="E3" s="3467"/>
    </row>
    <row r="4" spans="1:5" ht="19.5" thickBot="1">
      <c r="A4" s="1493"/>
      <c r="B4" s="3465" t="s">
        <v>917</v>
      </c>
      <c r="C4" s="3465"/>
      <c r="D4" s="3465"/>
      <c r="E4" s="1493"/>
    </row>
    <row r="5" spans="1:5" ht="16.5" thickTop="1">
      <c r="A5" s="1491"/>
      <c r="B5" s="3463" t="s">
        <v>909</v>
      </c>
      <c r="C5" s="1494" t="s">
        <v>910</v>
      </c>
      <c r="D5" s="850">
        <f ca="1">结果表!H101</f>
        <v>13149</v>
      </c>
      <c r="E5" s="1491"/>
    </row>
    <row r="6" spans="1:5" ht="15.75">
      <c r="A6" s="1491"/>
      <c r="B6" s="3463"/>
      <c r="C6" s="1494" t="s">
        <v>911</v>
      </c>
      <c r="D6" s="850" t="str">
        <f ca="1">NUMBERSTRING(INT(D5*10000),2)&amp;"元整"</f>
        <v>壹亿叁仟壹佰肆拾玖万元整</v>
      </c>
      <c r="E6" s="1491"/>
    </row>
    <row r="7" spans="1:5" ht="15.75">
      <c r="A7" s="1491"/>
      <c r="B7" s="3468"/>
      <c r="C7" s="1495" t="s">
        <v>912</v>
      </c>
      <c r="D7" s="851">
        <f ca="1">结果表!H102</f>
        <v>3791</v>
      </c>
      <c r="E7" s="1491"/>
    </row>
    <row r="8" spans="1:5" ht="15.75">
      <c r="A8" s="1491"/>
      <c r="B8" s="3469" t="str">
        <f>结果表!E103</f>
        <v>2.估价师知悉的法定优先受偿款</v>
      </c>
      <c r="C8" s="1496" t="s">
        <v>913</v>
      </c>
      <c r="D8" s="851">
        <f>结果表!H103</f>
        <v>0</v>
      </c>
      <c r="E8" s="1491"/>
    </row>
    <row r="9" spans="1:5" ht="15.75">
      <c r="A9" s="1491"/>
      <c r="B9" s="3471"/>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62" t="str">
        <f>结果表!E107</f>
        <v>3.房地产抵押价值</v>
      </c>
      <c r="C13" s="1499" t="s">
        <v>910</v>
      </c>
      <c r="D13" s="853">
        <f ca="1">结果表!H107</f>
        <v>13149</v>
      </c>
      <c r="E13" s="1491"/>
    </row>
    <row r="14" spans="1:5" ht="15.75">
      <c r="A14" s="1491"/>
      <c r="B14" s="3463"/>
      <c r="C14" s="1494" t="s">
        <v>911</v>
      </c>
      <c r="D14" s="850" t="str">
        <f ca="1">NUMBERSTRING(INT(D13*10000),2)&amp;"元整"</f>
        <v>壹亿叁仟壹佰肆拾玖万元整</v>
      </c>
      <c r="E14" s="1491"/>
    </row>
    <row r="15" spans="1:5" ht="15">
      <c r="A15" s="1491"/>
      <c r="B15" s="3468"/>
      <c r="C15" s="1495" t="s">
        <v>921</v>
      </c>
      <c r="D15" s="859">
        <f ca="1">结果表!H108</f>
        <v>3791</v>
      </c>
      <c r="E15" s="1491"/>
    </row>
    <row r="16" spans="1:5" ht="15">
      <c r="A16" s="1491"/>
      <c r="B16" s="3469" t="str">
        <f>结果表!E109</f>
        <v>——</v>
      </c>
      <c r="C16" s="1499" t="s">
        <v>922</v>
      </c>
      <c r="D16" s="1500" t="str">
        <f>结果表!H109</f>
        <v>——</v>
      </c>
      <c r="E16" s="1491"/>
    </row>
    <row r="17" spans="1:5" ht="15.75">
      <c r="A17" s="1491"/>
      <c r="B17" s="3470"/>
      <c r="C17" s="1494" t="s">
        <v>923</v>
      </c>
      <c r="D17" s="850" t="e">
        <f>NUMBERSTRING(INT(D16*10000),2)&amp;"元整"</f>
        <v>#VALUE!</v>
      </c>
      <c r="E17" s="1491"/>
    </row>
    <row r="18" spans="1:5" ht="15">
      <c r="A18" s="1491"/>
      <c r="B18" s="3471"/>
      <c r="C18" s="1495" t="s">
        <v>912</v>
      </c>
      <c r="D18" s="859" t="str">
        <f>结果表!H110</f>
        <v>——</v>
      </c>
      <c r="E18" s="1491"/>
    </row>
    <row r="19" spans="1:5" ht="15.75">
      <c r="A19" s="1491"/>
      <c r="B19" s="3462" t="str">
        <f>结果表!E111</f>
        <v>——</v>
      </c>
      <c r="C19" s="1499" t="s">
        <v>910</v>
      </c>
      <c r="D19" s="851" t="str">
        <f>结果表!H111</f>
        <v>——</v>
      </c>
      <c r="E19" s="1491"/>
    </row>
    <row r="20" spans="1:5" ht="15.75">
      <c r="A20" s="1491"/>
      <c r="B20" s="3463"/>
      <c r="C20" s="1494" t="s">
        <v>923</v>
      </c>
      <c r="D20" s="850" t="e">
        <f>NUMBERSTRING(INT(D19*10000),2)&amp;"元整"</f>
        <v>#VALUE!</v>
      </c>
      <c r="E20" s="1491"/>
    </row>
    <row r="21" spans="1:5" ht="15.75" thickBot="1">
      <c r="A21" s="1491"/>
      <c r="B21" s="3464"/>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37300</v>
      </c>
      <c r="C2" s="2" t="s">
        <v>106</v>
      </c>
      <c r="D2" s="199"/>
      <c r="E2" s="199"/>
      <c r="F2" s="199"/>
      <c r="G2" s="199"/>
    </row>
    <row r="3" spans="1:7" s="200" customFormat="1" ht="18" customHeight="1" thickBot="1">
      <c r="A3" s="203" t="s">
        <v>58</v>
      </c>
      <c r="B3" s="204">
        <f ca="1">ROUND(B2*10000/'数据-汇总表'!E3,0)</f>
        <v>10753</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694</v>
      </c>
      <c r="D10" s="845">
        <f>'数据-汇总表'!E6</f>
        <v>34689.100000000006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694</v>
      </c>
      <c r="D19" s="849">
        <f>'数据-汇总表'!E3</f>
        <v>34689.100000000006</v>
      </c>
      <c r="E19" s="211">
        <f>'数据-取费表'!B31</f>
        <v>200</v>
      </c>
      <c r="F19" s="231"/>
      <c r="G19" s="1" t="s">
        <v>436</v>
      </c>
    </row>
    <row r="20" spans="1:7" s="214" customFormat="1" ht="13.5" customHeight="1">
      <c r="A20" s="777" t="s">
        <v>419</v>
      </c>
      <c r="B20" s="210" t="s">
        <v>77</v>
      </c>
      <c r="C20" s="232">
        <f>ROUND((C5+C19)*F20,0)</f>
        <v>426</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985</v>
      </c>
      <c r="D22" s="235">
        <f ca="1">C26</f>
        <v>5.0000000000000001E-4</v>
      </c>
      <c r="E22" s="236" t="s">
        <v>99</v>
      </c>
      <c r="F22" s="237">
        <f ca="1">'数据-取费表'!B40</f>
        <v>4.1499999999999995E-2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943</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32</v>
      </c>
      <c r="D24" s="238"/>
      <c r="E24" s="238"/>
      <c r="F24" s="239"/>
      <c r="G24" s="240" t="s">
        <v>82</v>
      </c>
    </row>
    <row r="25" spans="1:7" s="214" customFormat="1" ht="24">
      <c r="A25" s="780" t="s">
        <v>348</v>
      </c>
      <c r="B25" s="215" t="s">
        <v>420</v>
      </c>
      <c r="C25" s="1105">
        <f ca="1">ROUND(IF('数据-取费表'!B22&lt;=1,C20*F22*'数据-取费表'!B23/2,C20*(POWER((1+F22),'数据-取费表'!B23/2)-1)),0)</f>
        <v>10</v>
      </c>
      <c r="D25" s="238"/>
      <c r="E25" s="241"/>
      <c r="F25" s="239"/>
      <c r="G25" s="242" t="s">
        <v>83</v>
      </c>
    </row>
    <row r="26" spans="1:7" s="214" customFormat="1">
      <c r="A26" s="780" t="s">
        <v>350</v>
      </c>
      <c r="B26" s="215" t="s">
        <v>422</v>
      </c>
      <c r="C26" s="238">
        <f ca="1">ROUND(IF('数据-取费表'!B22&lt;=1,F21*F22*'数据-取费表'!B23/2,F21*(POWER((1+F22),'数据-取费表'!B23/2)-1)),4)</f>
        <v>5.0000000000000001E-4</v>
      </c>
      <c r="D26" s="238"/>
      <c r="E26" s="241"/>
      <c r="F26" s="239"/>
      <c r="G26" s="243"/>
    </row>
    <row r="27" spans="1:7" s="214" customFormat="1" ht="24.75">
      <c r="A27" s="777" t="s">
        <v>342</v>
      </c>
      <c r="B27" s="244" t="s">
        <v>85</v>
      </c>
      <c r="C27" s="245">
        <f>C28</f>
        <v>1793</v>
      </c>
      <c r="D27" s="235">
        <f>C29</f>
        <v>1.6999999999999999E-3</v>
      </c>
      <c r="E27" s="236" t="s">
        <v>99</v>
      </c>
      <c r="F27" s="246">
        <f>'数据-取费表'!Q16</f>
        <v>0.15</v>
      </c>
      <c r="G27" s="247" t="s">
        <v>431</v>
      </c>
    </row>
    <row r="28" spans="1:7" s="214" customFormat="1" ht="13.5" customHeight="1">
      <c r="A28" s="780" t="s">
        <v>349</v>
      </c>
      <c r="B28" s="248" t="s">
        <v>424</v>
      </c>
      <c r="C28" s="249">
        <f>ROUND((C5+C19+C20)*F27*'数据-取费表'!B21/'数据-取费表'!B20,0)</f>
        <v>1793</v>
      </c>
      <c r="D28" s="235"/>
      <c r="E28" s="236"/>
      <c r="F28" s="246"/>
      <c r="G28" s="247"/>
    </row>
    <row r="29" spans="1:7" s="214" customFormat="1" ht="13.5" customHeight="1">
      <c r="A29" s="780" t="s">
        <v>347</v>
      </c>
      <c r="B29" s="248" t="s">
        <v>425</v>
      </c>
      <c r="C29" s="238">
        <f>ROUND(C21*F27*'数据-取费表'!B21/'数据-取费表'!B20,4)</f>
        <v>1.6999999999999999E-3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26483</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8357</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7632</v>
      </c>
      <c r="D34" s="217"/>
      <c r="E34" s="220"/>
      <c r="F34" s="257">
        <f>IF('数据-取费表'!B24=0,1,'数据-取费表'!N16)</f>
        <v>0.55000000000000004</v>
      </c>
      <c r="G34" s="219" t="s">
        <v>89</v>
      </c>
    </row>
    <row r="35" spans="1:7" ht="13.5" customHeight="1">
      <c r="A35" s="780" t="s">
        <v>351</v>
      </c>
      <c r="B35" s="215" t="s">
        <v>33</v>
      </c>
      <c r="C35" s="220">
        <f>ROUND(C34*F35,0)</f>
        <v>229</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382</v>
      </c>
      <c r="D37" s="217">
        <f>'数据-汇总表'!E3</f>
        <v>34689.100000000006</v>
      </c>
      <c r="E37" s="249">
        <f>'数据-取费表'!B35</f>
        <v>200</v>
      </c>
      <c r="F37" s="259"/>
      <c r="G37" s="261" t="s">
        <v>92</v>
      </c>
    </row>
    <row r="38" spans="1:7" ht="13.5" customHeight="1">
      <c r="A38" s="780" t="s">
        <v>354</v>
      </c>
      <c r="B38" s="215" t="s">
        <v>36</v>
      </c>
      <c r="C38" s="220">
        <f>ROUND(C34*F38,0)</f>
        <v>114</v>
      </c>
      <c r="D38" s="220"/>
      <c r="E38" s="220"/>
      <c r="F38" s="259">
        <f>'数据-取费表'!B36</f>
        <v>1.4999999999999999E-2</v>
      </c>
      <c r="G38" s="219" t="s">
        <v>90</v>
      </c>
    </row>
    <row r="39" spans="1:7" s="214" customFormat="1" ht="13.5" customHeight="1">
      <c r="A39" s="777" t="s">
        <v>338</v>
      </c>
      <c r="B39" s="210" t="s">
        <v>77</v>
      </c>
      <c r="C39" s="232">
        <f>ROUND(C33*F20,0)</f>
        <v>167</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193</v>
      </c>
      <c r="D41" s="235">
        <f ca="1">C44</f>
        <v>5.0000000000000001E-4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189</v>
      </c>
      <c r="D42" s="238"/>
      <c r="E42" s="238"/>
      <c r="F42" s="239"/>
      <c r="G42" s="3644" t="s">
        <v>94</v>
      </c>
    </row>
    <row r="43" spans="1:7" ht="13.5" customHeight="1">
      <c r="A43" s="780" t="s">
        <v>347</v>
      </c>
      <c r="B43" s="215" t="s">
        <v>426</v>
      </c>
      <c r="C43" s="238">
        <f ca="1">ROUND(IF('数据-取费表'!B22&lt;=1,C39*F22*'数据-取费表'!B21/2,C39*(POWER((1+F22),'数据-取费表'!B21/2)-1)),0)</f>
        <v>4</v>
      </c>
      <c r="D43" s="238"/>
      <c r="E43" s="238"/>
      <c r="F43" s="239"/>
      <c r="G43" s="3645"/>
    </row>
    <row r="44" spans="1:7" ht="13.5" customHeight="1">
      <c r="A44" s="780" t="s">
        <v>348</v>
      </c>
      <c r="B44" s="215" t="s">
        <v>428</v>
      </c>
      <c r="C44" s="238">
        <f ca="1">ROUND(IF('数据-取费表'!B22&lt;=1,C40*F22*'数据-取费表'!B21/2,C40*(POWER((1+F22),'数据-取费表'!B21/2)-1)),4)</f>
        <v>5.0000000000000001E-4</v>
      </c>
      <c r="D44" s="238"/>
      <c r="E44" s="238"/>
      <c r="F44" s="239"/>
      <c r="G44" s="3646"/>
    </row>
    <row r="45" spans="1:7" s="214" customFormat="1" ht="13.5" customHeight="1">
      <c r="A45" s="777" t="s">
        <v>341</v>
      </c>
      <c r="B45" s="244" t="s">
        <v>85</v>
      </c>
      <c r="C45" s="245">
        <f>C46</f>
        <v>1279</v>
      </c>
      <c r="D45" s="235">
        <f>C47</f>
        <v>3.0000000000000001E-3</v>
      </c>
      <c r="E45" s="236" t="s">
        <v>102</v>
      </c>
      <c r="F45" s="246"/>
      <c r="G45" s="247" t="s">
        <v>434</v>
      </c>
    </row>
    <row r="46" spans="1:7" s="214" customFormat="1" ht="13.5" customHeight="1">
      <c r="A46" s="780" t="s">
        <v>349</v>
      </c>
      <c r="B46" s="248" t="s">
        <v>427</v>
      </c>
      <c r="C46" s="249">
        <f>ROUND((C33+C39)*F27,0)</f>
        <v>1279</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10817</v>
      </c>
      <c r="D49" s="232"/>
      <c r="E49" s="232"/>
      <c r="F49" s="264"/>
      <c r="G49" s="234" t="s">
        <v>435</v>
      </c>
    </row>
    <row r="50" spans="1:7" s="258" customFormat="1" ht="24">
      <c r="A50" s="777" t="s">
        <v>344</v>
      </c>
      <c r="B50" s="210" t="s">
        <v>97</v>
      </c>
      <c r="C50" s="232"/>
      <c r="D50" s="232"/>
      <c r="E50" s="232"/>
      <c r="F50" s="264">
        <f>IF('数据-取费表'!B24=0,'数据-取费表'!N16,1)</f>
        <v>1</v>
      </c>
      <c r="G50" s="247" t="s">
        <v>98</v>
      </c>
    </row>
    <row r="51" spans="1:7" ht="16.5" customHeight="1">
      <c r="A51" s="777" t="s">
        <v>345</v>
      </c>
      <c r="B51" s="210" t="s">
        <v>105</v>
      </c>
      <c r="C51" s="232">
        <f ca="1">ROUND(C49*F50,0)</f>
        <v>10817</v>
      </c>
      <c r="D51" s="232"/>
      <c r="E51" s="232"/>
      <c r="F51" s="264"/>
      <c r="G51" s="234" t="s">
        <v>37</v>
      </c>
    </row>
    <row r="52" spans="1:7" s="208" customFormat="1" ht="16.5" thickBot="1">
      <c r="A52" s="265" t="s">
        <v>38</v>
      </c>
      <c r="B52" s="266"/>
      <c r="C52" s="267">
        <f ca="1">C31+C51</f>
        <v>37300</v>
      </c>
      <c r="D52" s="266"/>
      <c r="E52" s="266"/>
      <c r="F52" s="266"/>
      <c r="G52" s="268"/>
    </row>
    <row r="55" spans="1:7" ht="15">
      <c r="B55" s="270" t="s">
        <v>39</v>
      </c>
      <c r="C55" s="271"/>
    </row>
    <row r="56" spans="1:7">
      <c r="B56" s="273" t="s">
        <v>40</v>
      </c>
      <c r="C56" s="274">
        <f ca="1">ROUND(C51/C52,3)</f>
        <v>0.28999999999999998</v>
      </c>
    </row>
    <row r="57" spans="1:7">
      <c r="B57" s="273" t="s">
        <v>41</v>
      </c>
      <c r="C57" s="275">
        <f ca="1">1-C56</f>
        <v>0.71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782" t="s">
        <v>2842</v>
      </c>
      <c r="B1" s="3782"/>
      <c r="C1" s="3782"/>
      <c r="D1" s="3782"/>
      <c r="E1" s="3782"/>
      <c r="F1" s="3782"/>
      <c r="G1" s="3783"/>
      <c r="I1" s="3221" t="s">
        <v>2843</v>
      </c>
      <c r="J1" s="3222" t="s">
        <v>2844</v>
      </c>
      <c r="K1" s="3222" t="s">
        <v>2845</v>
      </c>
      <c r="L1" s="3222" t="s">
        <v>2846</v>
      </c>
      <c r="M1" s="3222" t="s">
        <v>2847</v>
      </c>
      <c r="N1" s="3222" t="s">
        <v>2848</v>
      </c>
      <c r="O1" s="3222" t="s">
        <v>2849</v>
      </c>
      <c r="P1" s="3222" t="s">
        <v>2850</v>
      </c>
      <c r="Q1" s="3222" t="s">
        <v>2851</v>
      </c>
      <c r="R1" s="3222" t="s">
        <v>2852</v>
      </c>
      <c r="S1" s="3222" t="s">
        <v>2853</v>
      </c>
      <c r="T1" s="3223" t="s">
        <v>2854</v>
      </c>
    </row>
    <row r="2" spans="1:20" ht="12" thickBot="1">
      <c r="A2" s="3225" t="s">
        <v>2855</v>
      </c>
      <c r="B2" s="3225"/>
      <c r="C2" s="3225"/>
      <c r="D2" s="3225"/>
      <c r="E2" s="3225"/>
      <c r="F2" s="3225"/>
      <c r="G2" s="3226" t="s">
        <v>2856</v>
      </c>
      <c r="I2" s="3227" t="s">
        <v>2857</v>
      </c>
      <c r="J2" s="3227" t="s">
        <v>2858</v>
      </c>
      <c r="K2" s="3227" t="s">
        <v>2859</v>
      </c>
      <c r="L2" s="3227" t="s">
        <v>2860</v>
      </c>
      <c r="M2" s="3227" t="s">
        <v>2861</v>
      </c>
      <c r="N2" s="3227" t="s">
        <v>2862</v>
      </c>
      <c r="O2" s="3227" t="s">
        <v>2863</v>
      </c>
      <c r="P2" s="3227" t="s">
        <v>2864</v>
      </c>
      <c r="Q2" s="3227" t="s">
        <v>2865</v>
      </c>
      <c r="R2" s="3227" t="s">
        <v>2866</v>
      </c>
      <c r="S2" s="3227" t="s">
        <v>2867</v>
      </c>
      <c r="T2" s="3227" t="s">
        <v>2868</v>
      </c>
    </row>
    <row r="3" spans="1:20" s="3233" customFormat="1">
      <c r="A3" s="3780" t="s">
        <v>2869</v>
      </c>
      <c r="B3" s="3228"/>
      <c r="C3" s="3229" t="s">
        <v>2812</v>
      </c>
      <c r="D3" s="3229" t="s">
        <v>2870</v>
      </c>
      <c r="E3" s="3229" t="s">
        <v>2814</v>
      </c>
      <c r="F3" s="3229" t="s">
        <v>2871</v>
      </c>
      <c r="G3" s="3229" t="s">
        <v>2632</v>
      </c>
      <c r="H3" s="3230"/>
      <c r="I3" s="3231" t="s">
        <v>2872</v>
      </c>
      <c r="J3" s="3232" t="s">
        <v>128</v>
      </c>
      <c r="K3" s="3232" t="s">
        <v>129</v>
      </c>
      <c r="L3" s="3231" t="s">
        <v>130</v>
      </c>
      <c r="M3" s="3231" t="s">
        <v>131</v>
      </c>
      <c r="N3" s="3231" t="s">
        <v>132</v>
      </c>
      <c r="O3" s="3231" t="s">
        <v>133</v>
      </c>
      <c r="P3" s="3231" t="s">
        <v>134</v>
      </c>
      <c r="Q3" s="3231" t="s">
        <v>135</v>
      </c>
      <c r="R3" s="3231" t="s">
        <v>136</v>
      </c>
      <c r="S3" s="3231" t="s">
        <v>2873</v>
      </c>
      <c r="T3" s="3231" t="s">
        <v>2874</v>
      </c>
    </row>
    <row r="4" spans="1:20" s="3233" customFormat="1" ht="12" thickBot="1">
      <c r="A4" s="3781"/>
      <c r="B4" s="3234" t="s">
        <v>2875</v>
      </c>
      <c r="C4" s="3234" t="s">
        <v>2876</v>
      </c>
      <c r="D4" s="3234" t="s">
        <v>2876</v>
      </c>
      <c r="E4" s="3234" t="s">
        <v>2876</v>
      </c>
      <c r="F4" s="3235" t="s">
        <v>2876</v>
      </c>
      <c r="G4" s="3235" t="s">
        <v>2876</v>
      </c>
      <c r="H4" s="3230"/>
      <c r="I4" s="3232" t="s">
        <v>137</v>
      </c>
      <c r="J4" s="3232" t="s">
        <v>111</v>
      </c>
      <c r="K4" s="3232" t="s">
        <v>138</v>
      </c>
      <c r="L4" s="3231" t="s">
        <v>139</v>
      </c>
      <c r="M4" s="3231" t="s">
        <v>140</v>
      </c>
      <c r="N4" s="3231" t="s">
        <v>141</v>
      </c>
      <c r="O4" s="3231" t="s">
        <v>142</v>
      </c>
      <c r="P4" s="3231" t="s">
        <v>143</v>
      </c>
      <c r="Q4" s="3231" t="s">
        <v>2877</v>
      </c>
      <c r="R4" s="3231" t="s">
        <v>2878</v>
      </c>
      <c r="S4" s="3231" t="s">
        <v>2879</v>
      </c>
      <c r="T4" s="3231" t="s">
        <v>2880</v>
      </c>
    </row>
    <row r="5" spans="1:20">
      <c r="A5" s="3236" t="s">
        <v>2843</v>
      </c>
      <c r="B5" s="3227" t="s">
        <v>2857</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2881</v>
      </c>
      <c r="R5" s="3231" t="s">
        <v>2882</v>
      </c>
      <c r="S5" s="3231" t="s">
        <v>153</v>
      </c>
      <c r="T5" s="3231" t="s">
        <v>2883</v>
      </c>
    </row>
    <row r="6" spans="1:20" ht="12" thickBot="1">
      <c r="A6" s="3231" t="s">
        <v>144</v>
      </c>
      <c r="B6" s="3231" t="s">
        <v>2872</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2884</v>
      </c>
      <c r="Q6" s="3231" t="s">
        <v>2885</v>
      </c>
      <c r="R6" s="3231" t="s">
        <v>161</v>
      </c>
      <c r="S6" s="3231" t="s">
        <v>2886</v>
      </c>
      <c r="T6" s="3231" t="s">
        <v>2887</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2888</v>
      </c>
      <c r="Q7" s="3231" t="s">
        <v>2889</v>
      </c>
      <c r="R7" s="3231" t="s">
        <v>2890</v>
      </c>
      <c r="S7" s="3231" t="s">
        <v>2891</v>
      </c>
      <c r="T7" s="3231" t="s">
        <v>2892</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2893</v>
      </c>
      <c r="Q8" s="3231" t="s">
        <v>174</v>
      </c>
      <c r="R8" s="3231" t="s">
        <v>2894</v>
      </c>
      <c r="S8" s="3231" t="s">
        <v>2895</v>
      </c>
      <c r="T8" s="3238" t="s">
        <v>2896</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2897</v>
      </c>
      <c r="Q9" s="3231" t="s">
        <v>182</v>
      </c>
      <c r="R9" s="3231" t="s">
        <v>183</v>
      </c>
      <c r="S9" s="3231" t="s">
        <v>200</v>
      </c>
    </row>
    <row r="10" spans="1:20">
      <c r="A10" s="3236" t="s">
        <v>184</v>
      </c>
      <c r="B10" s="3227" t="s">
        <v>2858</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2898</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2899</v>
      </c>
      <c r="P11" s="3231" t="s">
        <v>191</v>
      </c>
      <c r="Q11" s="3231" t="s">
        <v>199</v>
      </c>
      <c r="R11" s="3231" t="s">
        <v>2900</v>
      </c>
      <c r="S11" s="3231" t="s">
        <v>2901</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2902</v>
      </c>
      <c r="P12" s="3231" t="s">
        <v>2903</v>
      </c>
      <c r="Q12" s="3231" t="s">
        <v>2904</v>
      </c>
      <c r="R12" s="3231" t="s">
        <v>2905</v>
      </c>
      <c r="S12" s="3231" t="s">
        <v>2906</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2907</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2908</v>
      </c>
      <c r="K14" s="3232" t="s">
        <v>215</v>
      </c>
      <c r="L14" s="3231" t="s">
        <v>216</v>
      </c>
      <c r="M14" s="3231" t="s">
        <v>217</v>
      </c>
      <c r="N14" s="3231" t="s">
        <v>218</v>
      </c>
      <c r="O14" s="3231" t="s">
        <v>240</v>
      </c>
      <c r="P14" s="3231" t="s">
        <v>213</v>
      </c>
      <c r="Q14" s="3231" t="s">
        <v>2909</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2910</v>
      </c>
      <c r="P15" s="3231" t="s">
        <v>2911</v>
      </c>
      <c r="Q15" s="3231" t="s">
        <v>242</v>
      </c>
      <c r="R15" s="3231" t="s">
        <v>2912</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2913</v>
      </c>
      <c r="P16" s="3231" t="s">
        <v>227</v>
      </c>
      <c r="Q16" s="3231" t="s">
        <v>250</v>
      </c>
      <c r="R16" s="3231" t="s">
        <v>207</v>
      </c>
      <c r="S16" s="3231" t="s">
        <v>2914</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2915</v>
      </c>
      <c r="P17" s="3231" t="s">
        <v>2916</v>
      </c>
      <c r="Q17" s="3231" t="s">
        <v>256</v>
      </c>
      <c r="R17" s="3231" t="s">
        <v>2917</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2918</v>
      </c>
      <c r="P18" s="3231" t="s">
        <v>241</v>
      </c>
      <c r="Q18" s="3231" t="s">
        <v>2919</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2920</v>
      </c>
      <c r="P19" s="3231" t="s">
        <v>249</v>
      </c>
      <c r="Q19" s="3231" t="s">
        <v>2921</v>
      </c>
      <c r="R19" s="3231" t="s">
        <v>265</v>
      </c>
      <c r="S19" s="3231" t="s">
        <v>2922</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2923</v>
      </c>
      <c r="P20" s="3231" t="s">
        <v>2924</v>
      </c>
      <c r="Q20" s="3231" t="s">
        <v>290</v>
      </c>
      <c r="R20" s="3231" t="s">
        <v>2925</v>
      </c>
      <c r="S20" s="3231" t="s">
        <v>277</v>
      </c>
    </row>
    <row r="21" spans="1:19" ht="14.25" customHeight="1" thickBot="1">
      <c r="A21" s="3231" t="s">
        <v>184</v>
      </c>
      <c r="B21" s="3232" t="s">
        <v>208</v>
      </c>
      <c r="C21" s="3231">
        <v>32370</v>
      </c>
      <c r="D21" s="3231">
        <v>26730</v>
      </c>
      <c r="E21" s="3231">
        <v>26640</v>
      </c>
      <c r="F21" s="3231"/>
      <c r="G21" s="3231">
        <v>19440</v>
      </c>
      <c r="J21" s="3238" t="s">
        <v>2926</v>
      </c>
      <c r="K21" s="3232" t="s">
        <v>267</v>
      </c>
      <c r="L21" s="3231" t="s">
        <v>268</v>
      </c>
      <c r="M21" s="3231" t="s">
        <v>269</v>
      </c>
      <c r="N21" s="3231" t="s">
        <v>270</v>
      </c>
      <c r="O21" s="3231" t="s">
        <v>264</v>
      </c>
      <c r="P21" s="3231" t="s">
        <v>283</v>
      </c>
      <c r="Q21" s="3231" t="s">
        <v>293</v>
      </c>
      <c r="R21" s="3231" t="s">
        <v>2927</v>
      </c>
      <c r="S21" s="3238" t="s">
        <v>2928</v>
      </c>
    </row>
    <row r="22" spans="1:19" ht="14.25" customHeight="1">
      <c r="A22" s="3231" t="s">
        <v>184</v>
      </c>
      <c r="B22" s="3232" t="s">
        <v>2908</v>
      </c>
      <c r="C22" s="3231">
        <v>29830</v>
      </c>
      <c r="D22" s="3231">
        <v>27600</v>
      </c>
      <c r="E22" s="3231">
        <v>28150</v>
      </c>
      <c r="F22" s="3231"/>
      <c r="G22" s="3231">
        <v>20080</v>
      </c>
      <c r="K22" s="3232" t="s">
        <v>2929</v>
      </c>
      <c r="L22" s="3231" t="s">
        <v>272</v>
      </c>
      <c r="M22" s="3231" t="s">
        <v>273</v>
      </c>
      <c r="N22" s="3231" t="s">
        <v>274</v>
      </c>
      <c r="O22" s="3231" t="s">
        <v>2930</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2931</v>
      </c>
      <c r="L23" s="3231" t="s">
        <v>278</v>
      </c>
      <c r="M23" s="3231" t="s">
        <v>279</v>
      </c>
      <c r="N23" s="3231" t="s">
        <v>2932</v>
      </c>
      <c r="O23" s="3231" t="s">
        <v>2933</v>
      </c>
      <c r="P23" s="3231" t="s">
        <v>289</v>
      </c>
      <c r="Q23" s="3231" t="s">
        <v>298</v>
      </c>
      <c r="R23" s="3231" t="s">
        <v>2934</v>
      </c>
    </row>
    <row r="24" spans="1:19" ht="14.25" customHeight="1">
      <c r="A24" s="3231" t="s">
        <v>184</v>
      </c>
      <c r="B24" s="3232" t="s">
        <v>230</v>
      </c>
      <c r="C24" s="3231">
        <v>27930</v>
      </c>
      <c r="D24" s="3231">
        <v>32260</v>
      </c>
      <c r="E24" s="3231">
        <v>32120</v>
      </c>
      <c r="F24" s="3231"/>
      <c r="G24" s="3231">
        <v>23470</v>
      </c>
      <c r="K24" s="3232" t="s">
        <v>2935</v>
      </c>
      <c r="L24" s="3231" t="s">
        <v>281</v>
      </c>
      <c r="M24" s="3231" t="s">
        <v>282</v>
      </c>
      <c r="N24" s="3231" t="s">
        <v>2936</v>
      </c>
      <c r="O24" s="3231" t="s">
        <v>285</v>
      </c>
      <c r="P24" s="3231" t="s">
        <v>2937</v>
      </c>
      <c r="Q24" s="3240" t="s">
        <v>2938</v>
      </c>
      <c r="R24" s="3231" t="s">
        <v>2939</v>
      </c>
    </row>
    <row r="25" spans="1:19" ht="14.25" customHeight="1">
      <c r="A25" s="3231" t="s">
        <v>184</v>
      </c>
      <c r="B25" s="3232" t="s">
        <v>235</v>
      </c>
      <c r="C25" s="3231">
        <v>32230</v>
      </c>
      <c r="D25" s="3231">
        <v>29640</v>
      </c>
      <c r="E25" s="3231">
        <v>29510</v>
      </c>
      <c r="F25" s="3231"/>
      <c r="G25" s="3231">
        <v>21560</v>
      </c>
      <c r="K25" s="3232" t="s">
        <v>2940</v>
      </c>
      <c r="L25" s="3231" t="s">
        <v>2941</v>
      </c>
      <c r="M25" s="3231" t="s">
        <v>284</v>
      </c>
      <c r="N25" s="3231" t="s">
        <v>292</v>
      </c>
      <c r="O25" s="3231" t="s">
        <v>288</v>
      </c>
      <c r="P25" s="3231" t="s">
        <v>275</v>
      </c>
      <c r="Q25" s="3240" t="s">
        <v>271</v>
      </c>
      <c r="R25" s="3231" t="s">
        <v>2942</v>
      </c>
    </row>
    <row r="26" spans="1:19" ht="14.25" customHeight="1" thickBot="1">
      <c r="A26" s="3231" t="s">
        <v>184</v>
      </c>
      <c r="B26" s="3232" t="s">
        <v>244</v>
      </c>
      <c r="C26" s="3231">
        <v>31690</v>
      </c>
      <c r="D26" s="3231">
        <v>27650</v>
      </c>
      <c r="E26" s="3231">
        <v>28200</v>
      </c>
      <c r="F26" s="3231"/>
      <c r="G26" s="3231">
        <v>20110</v>
      </c>
      <c r="K26" s="3237" t="s">
        <v>2943</v>
      </c>
      <c r="L26" s="3231" t="s">
        <v>2944</v>
      </c>
      <c r="M26" s="3231" t="s">
        <v>287</v>
      </c>
      <c r="N26" s="3231" t="s">
        <v>294</v>
      </c>
      <c r="O26" s="3231" t="s">
        <v>2945</v>
      </c>
      <c r="P26" s="3231" t="s">
        <v>2946</v>
      </c>
      <c r="Q26" s="3240" t="s">
        <v>276</v>
      </c>
      <c r="R26" s="3231" t="s">
        <v>2947</v>
      </c>
    </row>
    <row r="27" spans="1:19" ht="14.25" customHeight="1">
      <c r="A27" s="3231" t="s">
        <v>184</v>
      </c>
      <c r="B27" s="3232" t="s">
        <v>251</v>
      </c>
      <c r="C27" s="3231">
        <v>29610</v>
      </c>
      <c r="D27" s="3231">
        <v>27770</v>
      </c>
      <c r="E27" s="3231">
        <v>28300</v>
      </c>
      <c r="F27" s="3231"/>
      <c r="G27" s="3231">
        <v>20210</v>
      </c>
      <c r="L27" s="3231" t="s">
        <v>2948</v>
      </c>
      <c r="M27" s="3231" t="s">
        <v>291</v>
      </c>
      <c r="N27" s="3231" t="s">
        <v>297</v>
      </c>
      <c r="O27" s="3231" t="s">
        <v>2949</v>
      </c>
      <c r="P27" s="3231" t="s">
        <v>2950</v>
      </c>
      <c r="Q27" s="3231" t="s">
        <v>2951</v>
      </c>
      <c r="R27" s="3231" t="s">
        <v>2952</v>
      </c>
    </row>
    <row r="28" spans="1:19" ht="14.25" customHeight="1">
      <c r="A28" s="3231" t="s">
        <v>184</v>
      </c>
      <c r="B28" s="3232" t="s">
        <v>259</v>
      </c>
      <c r="C28" s="3231"/>
      <c r="D28" s="3231">
        <v>31520</v>
      </c>
      <c r="E28" s="3231">
        <v>31410</v>
      </c>
      <c r="F28" s="3231"/>
      <c r="G28" s="3231">
        <v>22940</v>
      </c>
      <c r="L28" s="3231" t="s">
        <v>2953</v>
      </c>
      <c r="M28" s="3231" t="s">
        <v>2954</v>
      </c>
      <c r="N28" s="3231" t="s">
        <v>2955</v>
      </c>
      <c r="O28" s="3231" t="s">
        <v>2956</v>
      </c>
      <c r="P28" s="3231" t="s">
        <v>2957</v>
      </c>
      <c r="Q28" s="3231" t="s">
        <v>2958</v>
      </c>
      <c r="R28" s="3231" t="s">
        <v>2959</v>
      </c>
    </row>
    <row r="29" spans="1:19" ht="14.25" customHeight="1" thickBot="1">
      <c r="A29" s="3239" t="s">
        <v>184</v>
      </c>
      <c r="B29" s="3241" t="s">
        <v>2926</v>
      </c>
      <c r="C29" s="3242"/>
      <c r="D29" s="3242">
        <v>29460</v>
      </c>
      <c r="E29" s="3242">
        <v>28640</v>
      </c>
      <c r="F29" s="3242"/>
      <c r="G29" s="3242">
        <v>21430</v>
      </c>
      <c r="L29" s="3231" t="s">
        <v>2960</v>
      </c>
      <c r="M29" s="3231" t="s">
        <v>2961</v>
      </c>
      <c r="N29" s="3231" t="s">
        <v>2962</v>
      </c>
      <c r="O29" s="3231" t="s">
        <v>2963</v>
      </c>
      <c r="P29" s="3231" t="s">
        <v>2964</v>
      </c>
      <c r="Q29" s="3231" t="s">
        <v>2965</v>
      </c>
      <c r="R29" s="3231" t="s">
        <v>280</v>
      </c>
    </row>
    <row r="30" spans="1:19" ht="14.25" customHeight="1">
      <c r="A30" s="3236" t="s">
        <v>296</v>
      </c>
      <c r="B30" s="3227" t="s">
        <v>2859</v>
      </c>
      <c r="C30" s="3227">
        <v>26890</v>
      </c>
      <c r="D30" s="3227">
        <v>26770</v>
      </c>
      <c r="E30" s="3227">
        <v>25700</v>
      </c>
      <c r="F30" s="3227">
        <v>8180</v>
      </c>
      <c r="G30" s="3243">
        <v>18740</v>
      </c>
      <c r="L30" s="3231" t="s">
        <v>2966</v>
      </c>
      <c r="M30" s="3231" t="s">
        <v>2967</v>
      </c>
      <c r="N30" s="3231" t="s">
        <v>2968</v>
      </c>
      <c r="O30" s="3231" t="s">
        <v>2969</v>
      </c>
      <c r="P30" s="3231" t="s">
        <v>2970</v>
      </c>
      <c r="Q30" s="3231" t="s">
        <v>2971</v>
      </c>
      <c r="R30" s="3231" t="s">
        <v>2972</v>
      </c>
    </row>
    <row r="31" spans="1:19" ht="14.25" customHeight="1">
      <c r="A31" s="3231" t="s">
        <v>296</v>
      </c>
      <c r="B31" s="3232" t="s">
        <v>129</v>
      </c>
      <c r="C31" s="3231">
        <v>24550</v>
      </c>
      <c r="D31" s="3231">
        <v>23990</v>
      </c>
      <c r="E31" s="3231">
        <v>22930</v>
      </c>
      <c r="F31" s="3231">
        <v>7470</v>
      </c>
      <c r="G31" s="3244">
        <v>16790</v>
      </c>
      <c r="L31" s="3231" t="s">
        <v>2973</v>
      </c>
      <c r="M31" s="3231" t="s">
        <v>2974</v>
      </c>
      <c r="N31" s="3231" t="s">
        <v>2975</v>
      </c>
      <c r="O31" s="3231" t="s">
        <v>2976</v>
      </c>
      <c r="P31" s="3231" t="s">
        <v>2977</v>
      </c>
      <c r="Q31" s="3231" t="s">
        <v>2978</v>
      </c>
      <c r="R31" s="3231" t="s">
        <v>2979</v>
      </c>
    </row>
    <row r="32" spans="1:19" ht="14.25" customHeight="1" thickBot="1">
      <c r="A32" s="3231" t="s">
        <v>296</v>
      </c>
      <c r="B32" s="3232" t="s">
        <v>138</v>
      </c>
      <c r="C32" s="3231">
        <v>27210</v>
      </c>
      <c r="D32" s="3231">
        <v>23240</v>
      </c>
      <c r="E32" s="3231">
        <v>23260</v>
      </c>
      <c r="F32" s="3231">
        <v>7130</v>
      </c>
      <c r="G32" s="3244">
        <v>16270</v>
      </c>
      <c r="L32" s="3231" t="s">
        <v>2980</v>
      </c>
      <c r="M32" s="3231" t="s">
        <v>2981</v>
      </c>
      <c r="N32" s="3231" t="s">
        <v>300</v>
      </c>
      <c r="O32" s="3231" t="s">
        <v>2982</v>
      </c>
      <c r="P32" s="3231" t="s">
        <v>299</v>
      </c>
      <c r="Q32" s="3231" t="s">
        <v>2983</v>
      </c>
      <c r="R32" s="3238" t="s">
        <v>2984</v>
      </c>
    </row>
    <row r="33" spans="1:17" ht="14.25" customHeight="1" thickBot="1">
      <c r="A33" s="3231" t="s">
        <v>296</v>
      </c>
      <c r="B33" s="3232" t="s">
        <v>147</v>
      </c>
      <c r="C33" s="3231">
        <v>27300</v>
      </c>
      <c r="D33" s="3231">
        <v>22980</v>
      </c>
      <c r="E33" s="3231">
        <v>24260</v>
      </c>
      <c r="F33" s="3231">
        <v>5860</v>
      </c>
      <c r="G33" s="3244">
        <v>16090</v>
      </c>
      <c r="L33" s="3238" t="s">
        <v>2985</v>
      </c>
      <c r="M33" s="3231" t="s">
        <v>2986</v>
      </c>
      <c r="N33" s="3231" t="s">
        <v>301</v>
      </c>
      <c r="O33" s="3231" t="s">
        <v>2987</v>
      </c>
      <c r="P33" s="3231" t="s">
        <v>2988</v>
      </c>
      <c r="Q33" s="3231" t="s">
        <v>2989</v>
      </c>
    </row>
    <row r="34" spans="1:17" ht="14.25" customHeight="1">
      <c r="A34" s="3231" t="s">
        <v>296</v>
      </c>
      <c r="B34" s="3232" t="s">
        <v>156</v>
      </c>
      <c r="C34" s="3231">
        <v>23090</v>
      </c>
      <c r="D34" s="3231">
        <v>23390</v>
      </c>
      <c r="E34" s="3231">
        <v>23510</v>
      </c>
      <c r="F34" s="3231">
        <v>6700</v>
      </c>
      <c r="G34" s="3244">
        <v>16370</v>
      </c>
      <c r="M34" s="3231" t="s">
        <v>2990</v>
      </c>
      <c r="N34" s="3231" t="s">
        <v>302</v>
      </c>
      <c r="O34" s="3231" t="s">
        <v>2991</v>
      </c>
      <c r="P34" s="3231" t="s">
        <v>2992</v>
      </c>
      <c r="Q34" s="3231" t="s">
        <v>2993</v>
      </c>
    </row>
    <row r="35" spans="1:17" ht="14.25" customHeight="1">
      <c r="A35" s="3231" t="s">
        <v>296</v>
      </c>
      <c r="B35" s="3232" t="s">
        <v>163</v>
      </c>
      <c r="C35" s="3231">
        <v>27270</v>
      </c>
      <c r="D35" s="3231">
        <v>24270</v>
      </c>
      <c r="E35" s="3231">
        <v>24950</v>
      </c>
      <c r="F35" s="3231">
        <v>6600</v>
      </c>
      <c r="G35" s="3244">
        <v>16990</v>
      </c>
      <c r="M35" s="3231" t="s">
        <v>2994</v>
      </c>
      <c r="N35" s="3231" t="s">
        <v>2995</v>
      </c>
      <c r="O35" s="3231" t="s">
        <v>2996</v>
      </c>
      <c r="P35" s="3231" t="s">
        <v>2997</v>
      </c>
      <c r="Q35" s="3231" t="s">
        <v>2998</v>
      </c>
    </row>
    <row r="36" spans="1:17" ht="14.25" customHeight="1">
      <c r="A36" s="3231" t="s">
        <v>296</v>
      </c>
      <c r="B36" s="3232" t="s">
        <v>169</v>
      </c>
      <c r="C36" s="3231">
        <v>23490</v>
      </c>
      <c r="D36" s="3231">
        <v>23020</v>
      </c>
      <c r="E36" s="3231">
        <v>25230</v>
      </c>
      <c r="F36" s="3231">
        <v>6780</v>
      </c>
      <c r="G36" s="3244">
        <v>16120</v>
      </c>
      <c r="M36" s="3231" t="s">
        <v>2999</v>
      </c>
      <c r="N36" s="3231" t="s">
        <v>3000</v>
      </c>
      <c r="O36" s="3231" t="s">
        <v>3001</v>
      </c>
      <c r="P36" s="3231" t="s">
        <v>3002</v>
      </c>
      <c r="Q36" s="3231" t="s">
        <v>3003</v>
      </c>
    </row>
    <row r="37" spans="1:17" ht="14.25" customHeight="1">
      <c r="A37" s="3231" t="s">
        <v>296</v>
      </c>
      <c r="B37" s="3232" t="s">
        <v>176</v>
      </c>
      <c r="C37" s="3231">
        <v>24380</v>
      </c>
      <c r="D37" s="3231">
        <v>22240</v>
      </c>
      <c r="E37" s="3231">
        <v>25980</v>
      </c>
      <c r="F37" s="3231">
        <v>8160</v>
      </c>
      <c r="G37" s="3244">
        <v>15570</v>
      </c>
      <c r="M37" s="3231" t="s">
        <v>3004</v>
      </c>
      <c r="N37" s="3231" t="s">
        <v>3005</v>
      </c>
      <c r="O37" s="3231" t="s">
        <v>3006</v>
      </c>
      <c r="P37" s="3231" t="s">
        <v>3007</v>
      </c>
      <c r="Q37" s="3231" t="s">
        <v>3008</v>
      </c>
    </row>
    <row r="38" spans="1:17" ht="14.25" customHeight="1">
      <c r="A38" s="3231" t="s">
        <v>296</v>
      </c>
      <c r="B38" s="3232" t="s">
        <v>186</v>
      </c>
      <c r="C38" s="3231">
        <v>23120</v>
      </c>
      <c r="D38" s="3231">
        <v>24630</v>
      </c>
      <c r="E38" s="3231">
        <v>25030</v>
      </c>
      <c r="F38" s="3231">
        <v>7710</v>
      </c>
      <c r="G38" s="3244">
        <v>17240</v>
      </c>
      <c r="M38" s="3231" t="s">
        <v>3009</v>
      </c>
      <c r="N38" s="3231" t="s">
        <v>3010</v>
      </c>
      <c r="O38" s="3231" t="s">
        <v>3011</v>
      </c>
      <c r="P38" s="3231" t="s">
        <v>3012</v>
      </c>
      <c r="Q38" s="3231" t="s">
        <v>3013</v>
      </c>
    </row>
    <row r="39" spans="1:17" ht="14.25" customHeight="1">
      <c r="A39" s="3231" t="s">
        <v>296</v>
      </c>
      <c r="B39" s="3232" t="s">
        <v>195</v>
      </c>
      <c r="C39" s="3231">
        <v>22330</v>
      </c>
      <c r="D39" s="3231">
        <v>21140</v>
      </c>
      <c r="E39" s="3231">
        <v>23970</v>
      </c>
      <c r="F39" s="3231">
        <v>7940</v>
      </c>
      <c r="G39" s="3244">
        <v>14790</v>
      </c>
      <c r="M39" s="3231" t="s">
        <v>3014</v>
      </c>
      <c r="N39" s="3231" t="s">
        <v>3015</v>
      </c>
      <c r="O39" s="3231" t="s">
        <v>3016</v>
      </c>
      <c r="P39" s="3231" t="s">
        <v>3017</v>
      </c>
      <c r="Q39" s="3231" t="s">
        <v>3018</v>
      </c>
    </row>
    <row r="40" spans="1:17" ht="14.25" customHeight="1">
      <c r="A40" s="3231" t="s">
        <v>296</v>
      </c>
      <c r="B40" s="3232" t="s">
        <v>202</v>
      </c>
      <c r="C40" s="3231">
        <v>24740</v>
      </c>
      <c r="D40" s="3231">
        <v>24690</v>
      </c>
      <c r="E40" s="3231">
        <v>22610</v>
      </c>
      <c r="F40" s="3231"/>
      <c r="G40" s="3244">
        <v>17280</v>
      </c>
      <c r="M40" s="3231" t="s">
        <v>3019</v>
      </c>
      <c r="N40" s="3231" t="s">
        <v>3020</v>
      </c>
      <c r="O40" s="3231" t="s">
        <v>3021</v>
      </c>
      <c r="P40" s="3231" t="s">
        <v>3022</v>
      </c>
      <c r="Q40" s="3231" t="s">
        <v>3023</v>
      </c>
    </row>
    <row r="41" spans="1:17" ht="14.25" customHeight="1" thickBot="1">
      <c r="A41" s="3231" t="s">
        <v>296</v>
      </c>
      <c r="B41" s="3232" t="s">
        <v>209</v>
      </c>
      <c r="C41" s="3231">
        <v>21220</v>
      </c>
      <c r="D41" s="3231">
        <v>21120</v>
      </c>
      <c r="E41" s="3231">
        <v>22590</v>
      </c>
      <c r="F41" s="3231"/>
      <c r="G41" s="3244">
        <v>14780</v>
      </c>
      <c r="M41" s="3238" t="s">
        <v>3024</v>
      </c>
      <c r="N41" s="3231" t="s">
        <v>3025</v>
      </c>
      <c r="O41" s="3231" t="s">
        <v>3026</v>
      </c>
      <c r="P41" s="3231" t="s">
        <v>3027</v>
      </c>
      <c r="Q41" s="3231" t="s">
        <v>3028</v>
      </c>
    </row>
    <row r="42" spans="1:17" ht="14.25" customHeight="1">
      <c r="A42" s="3231" t="s">
        <v>296</v>
      </c>
      <c r="B42" s="3232" t="s">
        <v>215</v>
      </c>
      <c r="C42" s="3231">
        <v>24800</v>
      </c>
      <c r="D42" s="3231">
        <v>22280</v>
      </c>
      <c r="E42" s="3231">
        <v>24350</v>
      </c>
      <c r="F42" s="3231"/>
      <c r="G42" s="3244">
        <v>15590</v>
      </c>
      <c r="N42" s="3231" t="s">
        <v>3029</v>
      </c>
      <c r="O42" s="3231" t="s">
        <v>3030</v>
      </c>
      <c r="P42" s="3231" t="s">
        <v>3031</v>
      </c>
      <c r="Q42" s="3231" t="s">
        <v>3032</v>
      </c>
    </row>
    <row r="43" spans="1:17" ht="14.25" customHeight="1">
      <c r="A43" s="3231" t="s">
        <v>3033</v>
      </c>
      <c r="B43" s="3232" t="s">
        <v>223</v>
      </c>
      <c r="C43" s="3231">
        <v>21210</v>
      </c>
      <c r="D43" s="3231">
        <v>21160</v>
      </c>
      <c r="E43" s="3231">
        <v>22650</v>
      </c>
      <c r="F43" s="3231"/>
      <c r="G43" s="3244">
        <v>14800</v>
      </c>
      <c r="N43" s="3231" t="s">
        <v>3034</v>
      </c>
      <c r="O43" s="3231" t="s">
        <v>3035</v>
      </c>
      <c r="P43" s="3231" t="s">
        <v>3036</v>
      </c>
      <c r="Q43" s="3231" t="s">
        <v>3037</v>
      </c>
    </row>
    <row r="44" spans="1:17" ht="14.25" customHeight="1" thickBot="1">
      <c r="A44" s="3231" t="s">
        <v>296</v>
      </c>
      <c r="B44" s="3232" t="s">
        <v>231</v>
      </c>
      <c r="C44" s="3231">
        <v>22370</v>
      </c>
      <c r="D44" s="3231">
        <v>23140</v>
      </c>
      <c r="E44" s="3231">
        <v>25090</v>
      </c>
      <c r="F44" s="3231"/>
      <c r="G44" s="3244">
        <v>16190</v>
      </c>
      <c r="N44" s="3231" t="s">
        <v>3038</v>
      </c>
      <c r="O44" s="3231" t="s">
        <v>3039</v>
      </c>
      <c r="P44" s="3238" t="s">
        <v>3040</v>
      </c>
      <c r="Q44" s="3231" t="s">
        <v>3041</v>
      </c>
    </row>
    <row r="45" spans="1:17" ht="14.25" customHeight="1" thickBot="1">
      <c r="A45" s="3231" t="s">
        <v>296</v>
      </c>
      <c r="B45" s="3232" t="s">
        <v>236</v>
      </c>
      <c r="C45" s="3231">
        <v>21240</v>
      </c>
      <c r="D45" s="3231">
        <v>27050</v>
      </c>
      <c r="E45" s="3231">
        <v>28000</v>
      </c>
      <c r="F45" s="3231"/>
      <c r="G45" s="3244">
        <v>18940</v>
      </c>
      <c r="N45" s="3231" t="s">
        <v>3042</v>
      </c>
      <c r="O45" s="3238" t="s">
        <v>3043</v>
      </c>
      <c r="Q45" s="3231" t="s">
        <v>3044</v>
      </c>
    </row>
    <row r="46" spans="1:17" ht="14.25" customHeight="1">
      <c r="A46" s="3231" t="s">
        <v>296</v>
      </c>
      <c r="B46" s="3232" t="s">
        <v>245</v>
      </c>
      <c r="C46" s="3231">
        <v>23240</v>
      </c>
      <c r="D46" s="3231">
        <v>23000</v>
      </c>
      <c r="E46" s="3231">
        <v>24980</v>
      </c>
      <c r="F46" s="3231"/>
      <c r="G46" s="3244">
        <v>16100</v>
      </c>
      <c r="N46" s="3231" t="s">
        <v>3045</v>
      </c>
      <c r="Q46" s="3231" t="s">
        <v>3046</v>
      </c>
    </row>
    <row r="47" spans="1:17" ht="14.25" customHeight="1">
      <c r="A47" s="3231" t="s">
        <v>296</v>
      </c>
      <c r="B47" s="3232" t="s">
        <v>252</v>
      </c>
      <c r="C47" s="3231">
        <v>27150</v>
      </c>
      <c r="D47" s="3231">
        <v>23310</v>
      </c>
      <c r="E47" s="3231">
        <v>25150</v>
      </c>
      <c r="F47" s="3231"/>
      <c r="G47" s="3244">
        <v>16310</v>
      </c>
      <c r="N47" s="3231" t="s">
        <v>3047</v>
      </c>
      <c r="Q47" s="3231" t="s">
        <v>3048</v>
      </c>
    </row>
    <row r="48" spans="1:17" ht="14.25" customHeight="1">
      <c r="A48" s="3231" t="s">
        <v>296</v>
      </c>
      <c r="B48" s="3232" t="s">
        <v>260</v>
      </c>
      <c r="C48" s="3231">
        <v>23100</v>
      </c>
      <c r="D48" s="3231">
        <v>21110</v>
      </c>
      <c r="E48" s="3231">
        <v>23080</v>
      </c>
      <c r="F48" s="3231"/>
      <c r="G48" s="3244">
        <v>14780</v>
      </c>
      <c r="N48" s="3231" t="s">
        <v>3049</v>
      </c>
      <c r="Q48" s="3231" t="s">
        <v>3050</v>
      </c>
    </row>
    <row r="49" spans="1:17" ht="14.25" customHeight="1">
      <c r="A49" s="3231" t="s">
        <v>296</v>
      </c>
      <c r="B49" s="3232" t="s">
        <v>267</v>
      </c>
      <c r="C49" s="3231">
        <v>23400</v>
      </c>
      <c r="D49" s="3231">
        <v>22920</v>
      </c>
      <c r="E49" s="3231">
        <v>24900</v>
      </c>
      <c r="F49" s="3231"/>
      <c r="G49" s="3244">
        <v>16040</v>
      </c>
      <c r="N49" s="3231" t="s">
        <v>3051</v>
      </c>
      <c r="Q49" s="3231" t="s">
        <v>3052</v>
      </c>
    </row>
    <row r="50" spans="1:17" ht="14.25" customHeight="1">
      <c r="A50" s="3231" t="s">
        <v>296</v>
      </c>
      <c r="B50" s="3232" t="s">
        <v>2929</v>
      </c>
      <c r="C50" s="3231">
        <v>21200</v>
      </c>
      <c r="D50" s="3231">
        <v>26540</v>
      </c>
      <c r="E50" s="3231">
        <v>23200</v>
      </c>
      <c r="F50" s="3231"/>
      <c r="G50" s="3244">
        <v>18580</v>
      </c>
      <c r="N50" s="3231" t="s">
        <v>3053</v>
      </c>
      <c r="Q50" s="3232" t="s">
        <v>3054</v>
      </c>
    </row>
    <row r="51" spans="1:17" ht="14.25" customHeight="1" thickBot="1">
      <c r="A51" s="3231" t="s">
        <v>296</v>
      </c>
      <c r="B51" s="3232" t="s">
        <v>2931</v>
      </c>
      <c r="C51" s="3231">
        <v>23000</v>
      </c>
      <c r="D51" s="3231">
        <v>23460</v>
      </c>
      <c r="E51" s="3231">
        <v>25290</v>
      </c>
      <c r="F51" s="3231"/>
      <c r="G51" s="3244">
        <v>16420</v>
      </c>
      <c r="N51" s="3231" t="s">
        <v>3055</v>
      </c>
      <c r="Q51" s="3238" t="s">
        <v>3056</v>
      </c>
    </row>
    <row r="52" spans="1:17" ht="14.25" customHeight="1">
      <c r="A52" s="3231" t="s">
        <v>296</v>
      </c>
      <c r="B52" s="3232" t="s">
        <v>2935</v>
      </c>
      <c r="C52" s="3231">
        <v>26660</v>
      </c>
      <c r="D52" s="3231">
        <v>22350</v>
      </c>
      <c r="E52" s="3231">
        <v>22920</v>
      </c>
      <c r="F52" s="3231"/>
      <c r="G52" s="3244">
        <v>15640</v>
      </c>
      <c r="N52" s="3231" t="s">
        <v>3057</v>
      </c>
    </row>
    <row r="53" spans="1:17" ht="14.25" customHeight="1">
      <c r="A53" s="3231" t="s">
        <v>296</v>
      </c>
      <c r="B53" s="3232" t="s">
        <v>2940</v>
      </c>
      <c r="C53" s="3231">
        <v>23580</v>
      </c>
      <c r="D53" s="3231"/>
      <c r="E53" s="3231">
        <v>24280</v>
      </c>
      <c r="F53" s="3231"/>
      <c r="G53" s="3244"/>
      <c r="N53" s="3231" t="s">
        <v>3058</v>
      </c>
    </row>
    <row r="54" spans="1:17" ht="14.25" customHeight="1" thickBot="1">
      <c r="A54" s="3245" t="s">
        <v>296</v>
      </c>
      <c r="B54" s="3237" t="s">
        <v>2943</v>
      </c>
      <c r="C54" s="3238">
        <v>22460</v>
      </c>
      <c r="D54" s="3238"/>
      <c r="E54" s="3238"/>
      <c r="F54" s="3238"/>
      <c r="G54" s="3246"/>
      <c r="N54" s="3231" t="s">
        <v>3059</v>
      </c>
    </row>
    <row r="55" spans="1:17" ht="14.25" customHeight="1">
      <c r="A55" s="3236" t="s">
        <v>110</v>
      </c>
      <c r="B55" s="3227" t="s">
        <v>3060</v>
      </c>
      <c r="C55" s="3231">
        <v>21970</v>
      </c>
      <c r="D55" s="3231">
        <v>20370</v>
      </c>
      <c r="E55" s="3231">
        <v>20180</v>
      </c>
      <c r="F55" s="3231">
        <v>5730</v>
      </c>
      <c r="G55" s="3231">
        <v>13820</v>
      </c>
      <c r="N55" s="3231" t="s">
        <v>3061</v>
      </c>
    </row>
    <row r="56" spans="1:17" ht="14.25" customHeight="1">
      <c r="A56" s="3231" t="s">
        <v>110</v>
      </c>
      <c r="B56" s="3231" t="s">
        <v>130</v>
      </c>
      <c r="C56" s="3231">
        <v>20470</v>
      </c>
      <c r="D56" s="3231">
        <v>20700</v>
      </c>
      <c r="E56" s="3231">
        <v>20380</v>
      </c>
      <c r="F56" s="3231">
        <v>4760</v>
      </c>
      <c r="G56" s="3231">
        <v>14050</v>
      </c>
      <c r="N56" s="3231" t="s">
        <v>3062</v>
      </c>
    </row>
    <row r="57" spans="1:17" ht="14.25" customHeight="1">
      <c r="A57" s="3231" t="s">
        <v>110</v>
      </c>
      <c r="B57" s="3231" t="s">
        <v>139</v>
      </c>
      <c r="C57" s="3231">
        <v>20790</v>
      </c>
      <c r="D57" s="3231">
        <v>21370</v>
      </c>
      <c r="E57" s="3231">
        <v>20890</v>
      </c>
      <c r="F57" s="3231">
        <v>4910</v>
      </c>
      <c r="G57" s="3231">
        <v>14510</v>
      </c>
      <c r="N57" s="3231" t="s">
        <v>3063</v>
      </c>
    </row>
    <row r="58" spans="1:17" ht="14.25" customHeight="1">
      <c r="A58" s="3231" t="s">
        <v>110</v>
      </c>
      <c r="B58" s="3231" t="s">
        <v>148</v>
      </c>
      <c r="C58" s="3231">
        <v>21460</v>
      </c>
      <c r="D58" s="3231">
        <v>20920</v>
      </c>
      <c r="E58" s="3231">
        <v>23410</v>
      </c>
      <c r="F58" s="3231">
        <v>5100</v>
      </c>
      <c r="G58" s="3231">
        <v>14200</v>
      </c>
      <c r="N58" s="3231" t="s">
        <v>3064</v>
      </c>
    </row>
    <row r="59" spans="1:17" ht="14.25" customHeight="1">
      <c r="A59" s="3231" t="s">
        <v>110</v>
      </c>
      <c r="B59" s="3231" t="s">
        <v>157</v>
      </c>
      <c r="C59" s="3231">
        <v>21000</v>
      </c>
      <c r="D59" s="3231">
        <v>21550</v>
      </c>
      <c r="E59" s="3231">
        <v>21150</v>
      </c>
      <c r="F59" s="3231">
        <v>5250</v>
      </c>
      <c r="G59" s="3231">
        <v>14630</v>
      </c>
      <c r="N59" s="3231" t="s">
        <v>3065</v>
      </c>
    </row>
    <row r="60" spans="1:17" ht="14.25" customHeight="1">
      <c r="A60" s="3231" t="s">
        <v>110</v>
      </c>
      <c r="B60" s="3231" t="s">
        <v>164</v>
      </c>
      <c r="C60" s="3231">
        <v>21640</v>
      </c>
      <c r="D60" s="3231">
        <v>21260</v>
      </c>
      <c r="E60" s="3231">
        <v>24040</v>
      </c>
      <c r="F60" s="3231">
        <v>4470</v>
      </c>
      <c r="G60" s="3231">
        <v>14430</v>
      </c>
      <c r="N60" s="3231" t="s">
        <v>3066</v>
      </c>
    </row>
    <row r="61" spans="1:17" ht="14.25" customHeight="1">
      <c r="A61" s="3231" t="s">
        <v>110</v>
      </c>
      <c r="B61" s="3231" t="s">
        <v>170</v>
      </c>
      <c r="C61" s="3231">
        <v>21330</v>
      </c>
      <c r="D61" s="3231">
        <v>18640</v>
      </c>
      <c r="E61" s="3231">
        <v>21190</v>
      </c>
      <c r="F61" s="3231">
        <v>4180</v>
      </c>
      <c r="G61" s="3231">
        <v>12650</v>
      </c>
      <c r="N61" s="3231" t="s">
        <v>3067</v>
      </c>
    </row>
    <row r="62" spans="1:17" ht="14.25" customHeight="1">
      <c r="A62" s="3231" t="s">
        <v>110</v>
      </c>
      <c r="B62" s="3231" t="s">
        <v>177</v>
      </c>
      <c r="C62" s="3231">
        <v>18710</v>
      </c>
      <c r="D62" s="3231">
        <v>19400</v>
      </c>
      <c r="E62" s="3231">
        <v>23750</v>
      </c>
      <c r="F62" s="3231">
        <v>4860</v>
      </c>
      <c r="G62" s="3231">
        <v>13170</v>
      </c>
      <c r="N62" s="3231" t="s">
        <v>3068</v>
      </c>
    </row>
    <row r="63" spans="1:17" ht="14.25" customHeight="1">
      <c r="A63" s="3231" t="s">
        <v>110</v>
      </c>
      <c r="B63" s="3231" t="s">
        <v>187</v>
      </c>
      <c r="C63" s="3231">
        <v>19480</v>
      </c>
      <c r="D63" s="3231">
        <v>16830</v>
      </c>
      <c r="E63" s="3231">
        <v>21590</v>
      </c>
      <c r="F63" s="3231">
        <v>4560</v>
      </c>
      <c r="G63" s="3231">
        <v>11420</v>
      </c>
      <c r="N63" s="3231" t="s">
        <v>3069</v>
      </c>
    </row>
    <row r="64" spans="1:17" ht="14.25" customHeight="1" thickBot="1">
      <c r="A64" s="3231" t="s">
        <v>110</v>
      </c>
      <c r="B64" s="3231" t="s">
        <v>196</v>
      </c>
      <c r="C64" s="3231">
        <v>16920</v>
      </c>
      <c r="D64" s="3231">
        <v>19190</v>
      </c>
      <c r="E64" s="3231">
        <v>22200</v>
      </c>
      <c r="F64" s="3231">
        <v>4390</v>
      </c>
      <c r="G64" s="3231">
        <v>13030</v>
      </c>
      <c r="N64" s="3238" t="s">
        <v>3070</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2941</v>
      </c>
      <c r="C78" s="3231">
        <v>19820</v>
      </c>
      <c r="D78" s="3231">
        <v>19780</v>
      </c>
      <c r="E78" s="3231">
        <v>18560</v>
      </c>
      <c r="F78" s="3231"/>
      <c r="G78" s="3231">
        <v>13430</v>
      </c>
    </row>
    <row r="79" spans="1:7" s="3220" customFormat="1" ht="14.25" customHeight="1">
      <c r="A79" s="3231" t="s">
        <v>110</v>
      </c>
      <c r="B79" s="3231" t="s">
        <v>2944</v>
      </c>
      <c r="C79" s="3231">
        <v>21660</v>
      </c>
      <c r="D79" s="3231">
        <v>18000</v>
      </c>
      <c r="E79" s="3231">
        <v>22570</v>
      </c>
      <c r="F79" s="3231"/>
      <c r="G79" s="3231">
        <v>12220</v>
      </c>
    </row>
    <row r="80" spans="1:7" s="3220" customFormat="1" ht="14.25" customHeight="1">
      <c r="A80" s="3231" t="s">
        <v>110</v>
      </c>
      <c r="B80" s="3231" t="s">
        <v>2948</v>
      </c>
      <c r="C80" s="3231">
        <v>19850</v>
      </c>
      <c r="D80" s="3231"/>
      <c r="E80" s="3231">
        <v>21700</v>
      </c>
      <c r="F80" s="3231"/>
      <c r="G80" s="3231"/>
    </row>
    <row r="81" spans="1:7" s="3220" customFormat="1" ht="14.25" customHeight="1">
      <c r="A81" s="3231" t="s">
        <v>110</v>
      </c>
      <c r="B81" s="3231" t="s">
        <v>2953</v>
      </c>
      <c r="C81" s="3231">
        <v>18080</v>
      </c>
      <c r="D81" s="3231"/>
      <c r="E81" s="3231">
        <v>20900</v>
      </c>
      <c r="F81" s="3231"/>
      <c r="G81" s="3231"/>
    </row>
    <row r="82" spans="1:7" s="3220" customFormat="1" ht="14.25" customHeight="1">
      <c r="A82" s="3231" t="s">
        <v>110</v>
      </c>
      <c r="B82" s="3231" t="s">
        <v>2960</v>
      </c>
      <c r="C82" s="3231"/>
      <c r="D82" s="3231"/>
      <c r="E82" s="3231">
        <v>20840</v>
      </c>
      <c r="F82" s="3231"/>
      <c r="G82" s="3231"/>
    </row>
    <row r="83" spans="1:7" s="3220" customFormat="1" ht="14.25" customHeight="1">
      <c r="A83" s="3231" t="s">
        <v>110</v>
      </c>
      <c r="B83" s="3231" t="s">
        <v>3071</v>
      </c>
      <c r="C83" s="3231"/>
      <c r="D83" s="3231"/>
      <c r="E83" s="3231"/>
      <c r="F83" s="3231">
        <v>4770</v>
      </c>
      <c r="G83" s="3231"/>
    </row>
    <row r="84" spans="1:7" s="3220" customFormat="1" ht="14.25" customHeight="1">
      <c r="A84" s="3231" t="s">
        <v>110</v>
      </c>
      <c r="B84" s="3231" t="s">
        <v>3072</v>
      </c>
      <c r="C84" s="3231"/>
      <c r="D84" s="3231"/>
      <c r="E84" s="3231"/>
      <c r="F84" s="3231">
        <v>4600</v>
      </c>
      <c r="G84" s="3231"/>
    </row>
    <row r="85" spans="1:7" s="3220" customFormat="1" ht="14.25" customHeight="1">
      <c r="A85" s="3231" t="s">
        <v>110</v>
      </c>
      <c r="B85" s="3231" t="s">
        <v>3073</v>
      </c>
      <c r="C85" s="3231"/>
      <c r="D85" s="3231"/>
      <c r="E85" s="3231"/>
      <c r="F85" s="3231">
        <v>4680</v>
      </c>
      <c r="G85" s="3231"/>
    </row>
    <row r="86" spans="1:7" s="3220" customFormat="1" ht="14.25" customHeight="1" thickBot="1">
      <c r="A86" s="3239" t="s">
        <v>110</v>
      </c>
      <c r="B86" s="3241" t="s">
        <v>3074</v>
      </c>
      <c r="C86" s="3242">
        <v>16610</v>
      </c>
      <c r="D86" s="3242">
        <v>16540</v>
      </c>
      <c r="E86" s="3242">
        <v>18850</v>
      </c>
      <c r="F86" s="3242"/>
      <c r="G86" s="3242">
        <v>11220</v>
      </c>
    </row>
    <row r="87" spans="1:7" s="3220" customFormat="1" ht="14.25" customHeight="1">
      <c r="A87" s="3236" t="s">
        <v>303</v>
      </c>
      <c r="B87" s="3227" t="s">
        <v>3075</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2954</v>
      </c>
      <c r="C113" s="3231">
        <v>15520</v>
      </c>
      <c r="D113" s="3231">
        <v>15450</v>
      </c>
      <c r="E113" s="3231"/>
      <c r="F113" s="3231"/>
      <c r="G113" s="3244">
        <v>10210</v>
      </c>
    </row>
    <row r="114" spans="1:7" s="3220" customFormat="1" ht="14.25" customHeight="1">
      <c r="A114" s="3231" t="s">
        <v>303</v>
      </c>
      <c r="B114" s="3231" t="s">
        <v>2961</v>
      </c>
      <c r="C114" s="3231">
        <v>13110</v>
      </c>
      <c r="D114" s="3231">
        <v>13050</v>
      </c>
      <c r="E114" s="3231"/>
      <c r="F114" s="3231"/>
      <c r="G114" s="3244">
        <v>8620</v>
      </c>
    </row>
    <row r="115" spans="1:7" s="3220" customFormat="1" ht="14.25" customHeight="1">
      <c r="A115" s="3231" t="s">
        <v>303</v>
      </c>
      <c r="B115" s="3231" t="s">
        <v>2967</v>
      </c>
      <c r="C115" s="3231">
        <v>12460</v>
      </c>
      <c r="D115" s="3231">
        <v>12390</v>
      </c>
      <c r="E115" s="3231"/>
      <c r="F115" s="3231"/>
      <c r="G115" s="3244">
        <v>8190</v>
      </c>
    </row>
    <row r="116" spans="1:7" s="3220" customFormat="1" ht="14.25" customHeight="1">
      <c r="A116" s="3231" t="s">
        <v>303</v>
      </c>
      <c r="B116" s="3231" t="s">
        <v>2974</v>
      </c>
      <c r="C116" s="3231">
        <v>13580</v>
      </c>
      <c r="D116" s="3231">
        <v>13520</v>
      </c>
      <c r="E116" s="3231"/>
      <c r="F116" s="3231"/>
      <c r="G116" s="3244">
        <v>8930</v>
      </c>
    </row>
    <row r="117" spans="1:7" s="3220" customFormat="1" ht="14.25" customHeight="1">
      <c r="A117" s="3231" t="s">
        <v>303</v>
      </c>
      <c r="B117" s="3231" t="s">
        <v>2981</v>
      </c>
      <c r="C117" s="3231">
        <v>17120</v>
      </c>
      <c r="D117" s="3231">
        <v>17040</v>
      </c>
      <c r="E117" s="3231"/>
      <c r="F117" s="3231"/>
      <c r="G117" s="3244">
        <v>11260</v>
      </c>
    </row>
    <row r="118" spans="1:7" s="3220" customFormat="1" ht="14.25" customHeight="1">
      <c r="A118" s="3231" t="s">
        <v>303</v>
      </c>
      <c r="B118" s="3231" t="s">
        <v>2986</v>
      </c>
      <c r="C118" s="3231">
        <v>14860</v>
      </c>
      <c r="D118" s="3231">
        <v>14790</v>
      </c>
      <c r="E118" s="3231"/>
      <c r="F118" s="3231"/>
      <c r="G118" s="3244">
        <v>9780</v>
      </c>
    </row>
    <row r="119" spans="1:7" s="3220" customFormat="1" ht="14.25" customHeight="1">
      <c r="A119" s="3231" t="s">
        <v>303</v>
      </c>
      <c r="B119" s="3231" t="s">
        <v>2990</v>
      </c>
      <c r="C119" s="3231">
        <v>16470</v>
      </c>
      <c r="D119" s="3231">
        <v>16400</v>
      </c>
      <c r="E119" s="3231"/>
      <c r="F119" s="3231"/>
      <c r="G119" s="3244">
        <v>10840</v>
      </c>
    </row>
    <row r="120" spans="1:7" s="3220" customFormat="1" ht="14.25" customHeight="1">
      <c r="A120" s="3231" t="s">
        <v>303</v>
      </c>
      <c r="B120" s="3231" t="s">
        <v>3076</v>
      </c>
      <c r="C120" s="3231"/>
      <c r="D120" s="3231"/>
      <c r="E120" s="3231"/>
      <c r="F120" s="3231">
        <v>4160</v>
      </c>
      <c r="G120" s="3244"/>
    </row>
    <row r="121" spans="1:7" s="3220" customFormat="1" ht="14.25" customHeight="1">
      <c r="A121" s="3231" t="s">
        <v>303</v>
      </c>
      <c r="B121" s="3231" t="s">
        <v>3077</v>
      </c>
      <c r="C121" s="3231"/>
      <c r="D121" s="3231"/>
      <c r="E121" s="3231"/>
      <c r="F121" s="3231">
        <v>3880</v>
      </c>
      <c r="G121" s="3244"/>
    </row>
    <row r="122" spans="1:7" s="3220" customFormat="1" ht="14.25" customHeight="1">
      <c r="A122" s="3231" t="s">
        <v>303</v>
      </c>
      <c r="B122" s="3231" t="s">
        <v>3078</v>
      </c>
      <c r="C122" s="3231">
        <v>13750</v>
      </c>
      <c r="D122" s="3231">
        <v>13680</v>
      </c>
      <c r="E122" s="3231">
        <v>16460</v>
      </c>
      <c r="F122" s="3231">
        <v>2880</v>
      </c>
      <c r="G122" s="3244">
        <v>9040</v>
      </c>
    </row>
    <row r="123" spans="1:7" s="3220" customFormat="1" ht="14.25" customHeight="1">
      <c r="A123" s="3231" t="s">
        <v>303</v>
      </c>
      <c r="B123" s="3231" t="s">
        <v>3009</v>
      </c>
      <c r="C123" s="3231">
        <v>13590</v>
      </c>
      <c r="D123" s="3231">
        <v>13520</v>
      </c>
      <c r="E123" s="3231">
        <v>16290</v>
      </c>
      <c r="F123" s="3231">
        <v>2790</v>
      </c>
      <c r="G123" s="3244">
        <v>8930</v>
      </c>
    </row>
    <row r="124" spans="1:7" s="3220" customFormat="1" ht="14.25" customHeight="1">
      <c r="A124" s="3231" t="s">
        <v>303</v>
      </c>
      <c r="B124" s="3231" t="s">
        <v>3014</v>
      </c>
      <c r="C124" s="3231">
        <v>13400</v>
      </c>
      <c r="D124" s="3231">
        <v>13320</v>
      </c>
      <c r="E124" s="3231">
        <v>16100</v>
      </c>
      <c r="F124" s="3231">
        <v>2320</v>
      </c>
      <c r="G124" s="3244">
        <v>8800</v>
      </c>
    </row>
    <row r="125" spans="1:7" s="3220" customFormat="1" ht="14.25" customHeight="1">
      <c r="A125" s="3231" t="s">
        <v>303</v>
      </c>
      <c r="B125" s="3231" t="s">
        <v>3019</v>
      </c>
      <c r="C125" s="3231">
        <v>12860</v>
      </c>
      <c r="D125" s="3231">
        <v>12790</v>
      </c>
      <c r="E125" s="3231">
        <v>15370</v>
      </c>
      <c r="F125" s="3231">
        <v>2280</v>
      </c>
      <c r="G125" s="3244">
        <v>8450</v>
      </c>
    </row>
    <row r="126" spans="1:7" s="3220" customFormat="1" ht="14.25" customHeight="1" thickBot="1">
      <c r="A126" s="3245" t="s">
        <v>303</v>
      </c>
      <c r="B126" s="3238" t="s">
        <v>3024</v>
      </c>
      <c r="C126" s="3238">
        <v>12960</v>
      </c>
      <c r="D126" s="3238">
        <v>12890</v>
      </c>
      <c r="E126" s="3238">
        <v>15530</v>
      </c>
      <c r="F126" s="3238">
        <v>2910</v>
      </c>
      <c r="G126" s="3246">
        <v>8520</v>
      </c>
    </row>
    <row r="127" spans="1:7" s="3220" customFormat="1" ht="14.25" customHeight="1">
      <c r="A127" s="3236" t="s">
        <v>29</v>
      </c>
      <c r="B127" s="3227" t="s">
        <v>3079</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3080</v>
      </c>
      <c r="C148" s="3231">
        <v>10370</v>
      </c>
      <c r="D148" s="3231">
        <v>10310</v>
      </c>
      <c r="E148" s="3231">
        <v>12970</v>
      </c>
      <c r="F148" s="3231"/>
      <c r="G148" s="3231">
        <v>6630</v>
      </c>
    </row>
    <row r="149" spans="1:7" s="3220" customFormat="1" ht="14.25" customHeight="1">
      <c r="A149" s="3231" t="s">
        <v>29</v>
      </c>
      <c r="B149" s="3231" t="s">
        <v>3081</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2955</v>
      </c>
      <c r="C153" s="3231">
        <v>10880</v>
      </c>
      <c r="D153" s="3231">
        <v>10820</v>
      </c>
      <c r="E153" s="3231">
        <v>13660</v>
      </c>
      <c r="F153" s="3231">
        <v>2260</v>
      </c>
      <c r="G153" s="3231">
        <v>6970</v>
      </c>
    </row>
    <row r="154" spans="1:7" s="3220" customFormat="1" ht="14.25" customHeight="1">
      <c r="A154" s="3231" t="s">
        <v>29</v>
      </c>
      <c r="B154" s="3231" t="s">
        <v>3082</v>
      </c>
      <c r="C154" s="3231">
        <v>11220</v>
      </c>
      <c r="D154" s="3231">
        <v>11160</v>
      </c>
      <c r="E154" s="3231">
        <v>14130</v>
      </c>
      <c r="F154" s="3231">
        <v>2230</v>
      </c>
      <c r="G154" s="3231">
        <v>7180</v>
      </c>
    </row>
    <row r="155" spans="1:7" s="3220" customFormat="1" ht="14.25" customHeight="1">
      <c r="A155" s="3231" t="s">
        <v>29</v>
      </c>
      <c r="B155" s="3231" t="s">
        <v>2968</v>
      </c>
      <c r="C155" s="3231">
        <v>10430</v>
      </c>
      <c r="D155" s="3231">
        <v>10380</v>
      </c>
      <c r="E155" s="3231">
        <v>13140</v>
      </c>
      <c r="F155" s="3231">
        <v>2080</v>
      </c>
      <c r="G155" s="3231">
        <v>6650</v>
      </c>
    </row>
    <row r="156" spans="1:7" s="3220" customFormat="1" ht="14.25" customHeight="1">
      <c r="A156" s="3231" t="s">
        <v>29</v>
      </c>
      <c r="B156" s="3231" t="s">
        <v>3083</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3084</v>
      </c>
      <c r="C160" s="3231">
        <v>11180</v>
      </c>
      <c r="D160" s="3231">
        <v>11140</v>
      </c>
      <c r="E160" s="3231">
        <v>14050</v>
      </c>
      <c r="F160" s="3231">
        <v>2270</v>
      </c>
      <c r="G160" s="3231">
        <v>7170</v>
      </c>
    </row>
    <row r="161" spans="1:7" s="3220" customFormat="1" ht="14.25" customHeight="1">
      <c r="A161" s="3231" t="s">
        <v>29</v>
      </c>
      <c r="B161" s="3231" t="s">
        <v>3000</v>
      </c>
      <c r="C161" s="3231">
        <v>11160</v>
      </c>
      <c r="D161" s="3231">
        <v>11120</v>
      </c>
      <c r="E161" s="3231">
        <v>14020</v>
      </c>
      <c r="F161" s="3231">
        <v>2150</v>
      </c>
      <c r="G161" s="3231">
        <v>7160</v>
      </c>
    </row>
    <row r="162" spans="1:7" s="3220" customFormat="1" ht="14.25" customHeight="1">
      <c r="A162" s="3231" t="s">
        <v>29</v>
      </c>
      <c r="B162" s="3231" t="s">
        <v>3005</v>
      </c>
      <c r="C162" s="3231">
        <v>9620</v>
      </c>
      <c r="D162" s="3231">
        <v>9570</v>
      </c>
      <c r="E162" s="3231">
        <v>12320</v>
      </c>
      <c r="F162" s="3231">
        <v>2010</v>
      </c>
      <c r="G162" s="3231">
        <v>6160</v>
      </c>
    </row>
    <row r="163" spans="1:7" s="3220" customFormat="1" ht="14.25" customHeight="1">
      <c r="A163" s="3231" t="s">
        <v>29</v>
      </c>
      <c r="B163" s="3231" t="s">
        <v>3010</v>
      </c>
      <c r="C163" s="3231">
        <v>9320</v>
      </c>
      <c r="D163" s="3231">
        <v>9270</v>
      </c>
      <c r="E163" s="3231">
        <v>11790</v>
      </c>
      <c r="F163" s="3231">
        <v>1920</v>
      </c>
      <c r="G163" s="3231">
        <v>5960</v>
      </c>
    </row>
    <row r="164" spans="1:7" s="3220" customFormat="1" ht="14.25" customHeight="1">
      <c r="A164" s="3231" t="s">
        <v>29</v>
      </c>
      <c r="B164" s="3231" t="s">
        <v>3015</v>
      </c>
      <c r="C164" s="3231"/>
      <c r="D164" s="3231"/>
      <c r="E164" s="3231"/>
      <c r="F164" s="3231">
        <v>1980</v>
      </c>
      <c r="G164" s="3231"/>
    </row>
    <row r="165" spans="1:7" s="3220" customFormat="1" ht="14.25" customHeight="1">
      <c r="A165" s="3231" t="s">
        <v>29</v>
      </c>
      <c r="B165" s="3231" t="s">
        <v>3085</v>
      </c>
      <c r="C165" s="3231">
        <v>11060</v>
      </c>
      <c r="D165" s="3231">
        <v>11030</v>
      </c>
      <c r="E165" s="3231">
        <v>13850</v>
      </c>
      <c r="F165" s="3231">
        <v>2170</v>
      </c>
      <c r="G165" s="3231">
        <v>7090</v>
      </c>
    </row>
    <row r="166" spans="1:7" s="3220" customFormat="1" ht="14.25" customHeight="1">
      <c r="A166" s="3231" t="s">
        <v>29</v>
      </c>
      <c r="B166" s="3231" t="s">
        <v>3025</v>
      </c>
      <c r="C166" s="3231">
        <v>11050</v>
      </c>
      <c r="D166" s="3231">
        <v>11010</v>
      </c>
      <c r="E166" s="3231">
        <v>13920</v>
      </c>
      <c r="F166" s="3231">
        <v>2140</v>
      </c>
      <c r="G166" s="3231">
        <v>7080</v>
      </c>
    </row>
    <row r="167" spans="1:7" s="3220" customFormat="1" ht="14.25" customHeight="1">
      <c r="A167" s="3231" t="s">
        <v>29</v>
      </c>
      <c r="B167" s="3231" t="s">
        <v>3029</v>
      </c>
      <c r="C167" s="3231">
        <v>10930</v>
      </c>
      <c r="D167" s="3231">
        <v>10890</v>
      </c>
      <c r="E167" s="3231">
        <v>13790</v>
      </c>
      <c r="F167" s="3231">
        <v>2010</v>
      </c>
      <c r="G167" s="3231">
        <v>7000</v>
      </c>
    </row>
    <row r="168" spans="1:7" s="3220" customFormat="1" ht="14.25" customHeight="1">
      <c r="A168" s="3231" t="s">
        <v>29</v>
      </c>
      <c r="B168" s="3231" t="s">
        <v>3034</v>
      </c>
      <c r="C168" s="3231">
        <v>9420</v>
      </c>
      <c r="D168" s="3231">
        <v>9380</v>
      </c>
      <c r="E168" s="3231">
        <v>11970</v>
      </c>
      <c r="F168" s="3231"/>
      <c r="G168" s="3231">
        <v>6040</v>
      </c>
    </row>
    <row r="169" spans="1:7" s="3220" customFormat="1" ht="14.25" customHeight="1">
      <c r="A169" s="3231" t="s">
        <v>29</v>
      </c>
      <c r="B169" s="3231" t="s">
        <v>3086</v>
      </c>
      <c r="C169" s="3231"/>
      <c r="D169" s="3231"/>
      <c r="E169" s="3231"/>
      <c r="F169" s="3231">
        <v>2880</v>
      </c>
      <c r="G169" s="3231"/>
    </row>
    <row r="170" spans="1:7" s="3220" customFormat="1" ht="14.25" customHeight="1">
      <c r="A170" s="3231" t="s">
        <v>29</v>
      </c>
      <c r="B170" s="3231" t="s">
        <v>3042</v>
      </c>
      <c r="C170" s="3231"/>
      <c r="D170" s="3231"/>
      <c r="E170" s="3231"/>
      <c r="F170" s="3231">
        <v>2880</v>
      </c>
      <c r="G170" s="3231"/>
    </row>
    <row r="171" spans="1:7" s="3220" customFormat="1" ht="14.25" customHeight="1">
      <c r="A171" s="3231" t="s">
        <v>29</v>
      </c>
      <c r="B171" s="3231" t="s">
        <v>3045</v>
      </c>
      <c r="C171" s="3231"/>
      <c r="D171" s="3231"/>
      <c r="E171" s="3231"/>
      <c r="F171" s="3231">
        <v>2880</v>
      </c>
      <c r="G171" s="3231"/>
    </row>
    <row r="172" spans="1:7" s="3220" customFormat="1" ht="14.25" customHeight="1">
      <c r="A172" s="3231" t="s">
        <v>29</v>
      </c>
      <c r="B172" s="3231" t="s">
        <v>3047</v>
      </c>
      <c r="C172" s="3231"/>
      <c r="D172" s="3231"/>
      <c r="E172" s="3231"/>
      <c r="F172" s="3231">
        <v>2880</v>
      </c>
      <c r="G172" s="3231"/>
    </row>
    <row r="173" spans="1:7" s="3220" customFormat="1" ht="14.25" customHeight="1">
      <c r="A173" s="3231" t="s">
        <v>29</v>
      </c>
      <c r="B173" s="3231" t="s">
        <v>3049</v>
      </c>
      <c r="C173" s="3231"/>
      <c r="D173" s="3231"/>
      <c r="E173" s="3231"/>
      <c r="F173" s="3231">
        <v>2150</v>
      </c>
      <c r="G173" s="3231"/>
    </row>
    <row r="174" spans="1:7" s="3220" customFormat="1" ht="14.25" customHeight="1">
      <c r="A174" s="3231" t="s">
        <v>29</v>
      </c>
      <c r="B174" s="3231" t="s">
        <v>3051</v>
      </c>
      <c r="C174" s="3231"/>
      <c r="D174" s="3231"/>
      <c r="E174" s="3231"/>
      <c r="F174" s="3231">
        <v>2030</v>
      </c>
      <c r="G174" s="3231"/>
    </row>
    <row r="175" spans="1:7" s="3220" customFormat="1" ht="14.25" customHeight="1">
      <c r="A175" s="3231" t="s">
        <v>29</v>
      </c>
      <c r="B175" s="3231" t="s">
        <v>3053</v>
      </c>
      <c r="C175" s="3231"/>
      <c r="D175" s="3231"/>
      <c r="E175" s="3231"/>
      <c r="F175" s="3231">
        <v>2780</v>
      </c>
      <c r="G175" s="3231"/>
    </row>
    <row r="176" spans="1:7" s="3220" customFormat="1" ht="14.25" customHeight="1">
      <c r="A176" s="3231" t="s">
        <v>29</v>
      </c>
      <c r="B176" s="3231" t="s">
        <v>3055</v>
      </c>
      <c r="C176" s="3231"/>
      <c r="D176" s="3231"/>
      <c r="E176" s="3231"/>
      <c r="F176" s="3231">
        <v>2780</v>
      </c>
      <c r="G176" s="3231"/>
    </row>
    <row r="177" spans="1:7" s="3220" customFormat="1" ht="14.25" customHeight="1">
      <c r="A177" s="3231" t="s">
        <v>29</v>
      </c>
      <c r="B177" s="3231" t="s">
        <v>3087</v>
      </c>
      <c r="C177" s="3231"/>
      <c r="D177" s="3231"/>
      <c r="E177" s="3231"/>
      <c r="F177" s="3231">
        <v>2780</v>
      </c>
      <c r="G177" s="3231"/>
    </row>
    <row r="178" spans="1:7" s="3220" customFormat="1" ht="14.25" customHeight="1">
      <c r="A178" s="3231" t="s">
        <v>29</v>
      </c>
      <c r="B178" s="3231" t="s">
        <v>3088</v>
      </c>
      <c r="C178" s="3231"/>
      <c r="D178" s="3231"/>
      <c r="E178" s="3231"/>
      <c r="F178" s="3231">
        <v>2060</v>
      </c>
      <c r="G178" s="3231"/>
    </row>
    <row r="179" spans="1:7" s="3220" customFormat="1" ht="14.25" customHeight="1">
      <c r="A179" s="3231" t="s">
        <v>29</v>
      </c>
      <c r="B179" s="3231" t="s">
        <v>3089</v>
      </c>
      <c r="C179" s="3231"/>
      <c r="D179" s="3231"/>
      <c r="E179" s="3231"/>
      <c r="F179" s="3231">
        <v>2120</v>
      </c>
      <c r="G179" s="3231"/>
    </row>
    <row r="180" spans="1:7" s="3220" customFormat="1" ht="14.25" customHeight="1">
      <c r="A180" s="3231" t="s">
        <v>29</v>
      </c>
      <c r="B180" s="3231" t="s">
        <v>3061</v>
      </c>
      <c r="C180" s="3231"/>
      <c r="D180" s="3231"/>
      <c r="E180" s="3231"/>
      <c r="F180" s="3231">
        <v>2340</v>
      </c>
      <c r="G180" s="3231"/>
    </row>
    <row r="181" spans="1:7" s="3220" customFormat="1" ht="14.25" customHeight="1">
      <c r="A181" s="3231" t="s">
        <v>29</v>
      </c>
      <c r="B181" s="3231" t="s">
        <v>3062</v>
      </c>
      <c r="C181" s="3231"/>
      <c r="D181" s="3231"/>
      <c r="E181" s="3231"/>
      <c r="F181" s="3231">
        <v>2340</v>
      </c>
      <c r="G181" s="3231"/>
    </row>
    <row r="182" spans="1:7" s="3220" customFormat="1" ht="14.25" customHeight="1">
      <c r="A182" s="3231" t="s">
        <v>29</v>
      </c>
      <c r="B182" s="3231" t="s">
        <v>3063</v>
      </c>
      <c r="C182" s="3231"/>
      <c r="D182" s="3231"/>
      <c r="E182" s="3231"/>
      <c r="F182" s="3231">
        <v>2340</v>
      </c>
      <c r="G182" s="3231"/>
    </row>
    <row r="183" spans="1:7" s="3220" customFormat="1" ht="14.25" customHeight="1">
      <c r="A183" s="3231" t="s">
        <v>29</v>
      </c>
      <c r="B183" s="3231" t="s">
        <v>3064</v>
      </c>
      <c r="C183" s="3231"/>
      <c r="D183" s="3231"/>
      <c r="E183" s="3231"/>
      <c r="F183" s="3231">
        <v>2340</v>
      </c>
      <c r="G183" s="3231"/>
    </row>
    <row r="184" spans="1:7" s="3220" customFormat="1" ht="14.25" customHeight="1">
      <c r="A184" s="3231" t="s">
        <v>29</v>
      </c>
      <c r="B184" s="3231" t="s">
        <v>3065</v>
      </c>
      <c r="C184" s="3231"/>
      <c r="D184" s="3231"/>
      <c r="E184" s="3231"/>
      <c r="F184" s="3231">
        <v>2340</v>
      </c>
      <c r="G184" s="3231"/>
    </row>
    <row r="185" spans="1:7" s="3220" customFormat="1" ht="14.25" customHeight="1">
      <c r="A185" s="3231" t="s">
        <v>29</v>
      </c>
      <c r="B185" s="3231" t="s">
        <v>3066</v>
      </c>
      <c r="C185" s="3231"/>
      <c r="D185" s="3231"/>
      <c r="E185" s="3231"/>
      <c r="F185" s="3231">
        <v>2530</v>
      </c>
      <c r="G185" s="3231"/>
    </row>
    <row r="186" spans="1:7" s="3220" customFormat="1" ht="14.25" customHeight="1">
      <c r="A186" s="3231" t="s">
        <v>29</v>
      </c>
      <c r="B186" s="3231" t="s">
        <v>3067</v>
      </c>
      <c r="C186" s="3231"/>
      <c r="D186" s="3231"/>
      <c r="E186" s="3231"/>
      <c r="F186" s="3231">
        <v>2550</v>
      </c>
      <c r="G186" s="3231"/>
    </row>
    <row r="187" spans="1:7" s="3220" customFormat="1" ht="14.25" customHeight="1">
      <c r="A187" s="3231" t="s">
        <v>29</v>
      </c>
      <c r="B187" s="3231" t="s">
        <v>3068</v>
      </c>
      <c r="C187" s="3231"/>
      <c r="D187" s="3231"/>
      <c r="E187" s="3231"/>
      <c r="F187" s="3231">
        <v>2070</v>
      </c>
      <c r="G187" s="3231"/>
    </row>
    <row r="188" spans="1:7" s="3220" customFormat="1" ht="14.25" customHeight="1">
      <c r="A188" s="3231" t="s">
        <v>29</v>
      </c>
      <c r="B188" s="3231" t="s">
        <v>3069</v>
      </c>
      <c r="C188" s="3231"/>
      <c r="D188" s="3231"/>
      <c r="E188" s="3231"/>
      <c r="F188" s="3231">
        <v>2340</v>
      </c>
      <c r="G188" s="3231"/>
    </row>
    <row r="189" spans="1:7" s="3220" customFormat="1" ht="14.25" customHeight="1" thickBot="1">
      <c r="A189" s="3239" t="s">
        <v>29</v>
      </c>
      <c r="B189" s="3242" t="s">
        <v>3070</v>
      </c>
      <c r="C189" s="3242"/>
      <c r="D189" s="3242"/>
      <c r="E189" s="3242"/>
      <c r="F189" s="3242">
        <v>2050</v>
      </c>
      <c r="G189" s="3242"/>
    </row>
    <row r="190" spans="1:7" s="3220" customFormat="1" ht="14.25" customHeight="1">
      <c r="A190" s="3236" t="s">
        <v>304</v>
      </c>
      <c r="B190" s="3227" t="s">
        <v>3090</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3091</v>
      </c>
      <c r="C199" s="3231">
        <v>8690</v>
      </c>
      <c r="D199" s="3231">
        <v>8630</v>
      </c>
      <c r="E199" s="3231">
        <v>11350</v>
      </c>
      <c r="F199" s="3231">
        <v>1600</v>
      </c>
      <c r="G199" s="3244">
        <v>5450</v>
      </c>
    </row>
    <row r="200" spans="1:7" s="3220" customFormat="1" ht="14.25" customHeight="1">
      <c r="A200" s="3231" t="s">
        <v>304</v>
      </c>
      <c r="B200" s="3231" t="s">
        <v>2902</v>
      </c>
      <c r="C200" s="3231"/>
      <c r="D200" s="3231"/>
      <c r="E200" s="3231"/>
      <c r="F200" s="3231">
        <v>1510</v>
      </c>
      <c r="G200" s="3244"/>
    </row>
    <row r="201" spans="1:7" s="3220" customFormat="1" ht="14.25" customHeight="1">
      <c r="A201" s="3231" t="s">
        <v>304</v>
      </c>
      <c r="B201" s="3231" t="s">
        <v>3092</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3093</v>
      </c>
      <c r="C203" s="3231">
        <v>8130</v>
      </c>
      <c r="D203" s="3231">
        <v>8070</v>
      </c>
      <c r="E203" s="3231">
        <v>10820</v>
      </c>
      <c r="F203" s="3231">
        <v>1690</v>
      </c>
      <c r="G203" s="3244">
        <v>5100</v>
      </c>
    </row>
    <row r="204" spans="1:7" s="3220" customFormat="1" ht="14.25" customHeight="1">
      <c r="A204" s="3231" t="s">
        <v>304</v>
      </c>
      <c r="B204" s="3231" t="s">
        <v>2913</v>
      </c>
      <c r="C204" s="3231">
        <v>8350</v>
      </c>
      <c r="D204" s="3231">
        <v>8290</v>
      </c>
      <c r="E204" s="3231">
        <v>11080</v>
      </c>
      <c r="F204" s="3231">
        <v>1450</v>
      </c>
      <c r="G204" s="3244">
        <v>5240</v>
      </c>
    </row>
    <row r="205" spans="1:7" s="3220" customFormat="1" ht="14.25" customHeight="1">
      <c r="A205" s="3231" t="s">
        <v>304</v>
      </c>
      <c r="B205" s="3231" t="s">
        <v>2915</v>
      </c>
      <c r="C205" s="3231">
        <v>7190</v>
      </c>
      <c r="D205" s="3231">
        <v>7130</v>
      </c>
      <c r="E205" s="3231">
        <v>9490</v>
      </c>
      <c r="F205" s="3231">
        <v>1470</v>
      </c>
      <c r="G205" s="3244">
        <v>4510</v>
      </c>
    </row>
    <row r="206" spans="1:7" s="3220" customFormat="1" ht="14.25" customHeight="1">
      <c r="A206" s="3231" t="s">
        <v>304</v>
      </c>
      <c r="B206" s="3231" t="s">
        <v>2918</v>
      </c>
      <c r="C206" s="3231">
        <v>7000</v>
      </c>
      <c r="D206" s="3231">
        <v>6950</v>
      </c>
      <c r="E206" s="3231">
        <v>9170</v>
      </c>
      <c r="F206" s="3231">
        <v>1400</v>
      </c>
      <c r="G206" s="3244">
        <v>4380</v>
      </c>
    </row>
    <row r="207" spans="1:7" s="3220" customFormat="1" ht="14.25" customHeight="1">
      <c r="A207" s="3231" t="s">
        <v>304</v>
      </c>
      <c r="B207" s="3231" t="s">
        <v>2920</v>
      </c>
      <c r="C207" s="3231">
        <v>6950</v>
      </c>
      <c r="D207" s="3231">
        <v>6900</v>
      </c>
      <c r="E207" s="3231">
        <v>9110</v>
      </c>
      <c r="F207" s="3231">
        <v>1790</v>
      </c>
      <c r="G207" s="3244">
        <v>4360</v>
      </c>
    </row>
    <row r="208" spans="1:7" s="3220" customFormat="1" ht="14.25" customHeight="1">
      <c r="A208" s="3231" t="s">
        <v>304</v>
      </c>
      <c r="B208" s="3231" t="s">
        <v>3094</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2930</v>
      </c>
      <c r="C210" s="3231">
        <v>8710</v>
      </c>
      <c r="D210" s="3231">
        <v>8660</v>
      </c>
      <c r="E210" s="3231">
        <v>11440</v>
      </c>
      <c r="F210" s="3231">
        <v>1740</v>
      </c>
      <c r="G210" s="3244">
        <v>5470</v>
      </c>
    </row>
    <row r="211" spans="1:7" s="3220" customFormat="1" ht="14.25" customHeight="1">
      <c r="A211" s="3231" t="s">
        <v>304</v>
      </c>
      <c r="B211" s="3231" t="s">
        <v>3095</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3096</v>
      </c>
      <c r="C214" s="3231">
        <v>8090</v>
      </c>
      <c r="D214" s="3231">
        <v>8030</v>
      </c>
      <c r="E214" s="3231">
        <v>10780</v>
      </c>
      <c r="F214" s="3231">
        <v>1570</v>
      </c>
      <c r="G214" s="3244">
        <v>5070</v>
      </c>
    </row>
    <row r="215" spans="1:7" s="3220" customFormat="1" ht="14.25" customHeight="1">
      <c r="A215" s="3231" t="s">
        <v>304</v>
      </c>
      <c r="B215" s="3231" t="s">
        <v>3097</v>
      </c>
      <c r="C215" s="3231">
        <v>7950</v>
      </c>
      <c r="D215" s="3231">
        <v>7900</v>
      </c>
      <c r="E215" s="3231">
        <v>10560</v>
      </c>
      <c r="F215" s="3231">
        <v>1630</v>
      </c>
      <c r="G215" s="3244">
        <v>4990</v>
      </c>
    </row>
    <row r="216" spans="1:7" s="3220" customFormat="1" ht="14.25" customHeight="1">
      <c r="A216" s="3231" t="s">
        <v>304</v>
      </c>
      <c r="B216" s="3231" t="s">
        <v>3098</v>
      </c>
      <c r="C216" s="3231">
        <v>8490</v>
      </c>
      <c r="D216" s="3231">
        <v>8440</v>
      </c>
      <c r="E216" s="3231">
        <v>11260</v>
      </c>
      <c r="F216" s="3231">
        <v>1690</v>
      </c>
      <c r="G216" s="3244">
        <v>5330</v>
      </c>
    </row>
    <row r="217" spans="1:7" s="3220" customFormat="1" ht="14.25" customHeight="1">
      <c r="A217" s="3231" t="s">
        <v>304</v>
      </c>
      <c r="B217" s="3231" t="s">
        <v>2963</v>
      </c>
      <c r="C217" s="3231">
        <v>8200</v>
      </c>
      <c r="D217" s="3231">
        <v>8150</v>
      </c>
      <c r="E217" s="3231">
        <v>10910</v>
      </c>
      <c r="F217" s="3231">
        <v>1670</v>
      </c>
      <c r="G217" s="3244">
        <v>5150</v>
      </c>
    </row>
    <row r="218" spans="1:7" s="3220" customFormat="1" ht="14.25" customHeight="1">
      <c r="A218" s="3231" t="s">
        <v>304</v>
      </c>
      <c r="B218" s="3231" t="s">
        <v>3099</v>
      </c>
      <c r="C218" s="3231"/>
      <c r="D218" s="3231"/>
      <c r="E218" s="3231"/>
      <c r="F218" s="3231">
        <v>2040</v>
      </c>
      <c r="G218" s="3244"/>
    </row>
    <row r="219" spans="1:7" s="3220" customFormat="1" ht="14.25" customHeight="1">
      <c r="A219" s="3231" t="s">
        <v>304</v>
      </c>
      <c r="B219" s="3231" t="s">
        <v>3100</v>
      </c>
      <c r="C219" s="3231"/>
      <c r="D219" s="3231"/>
      <c r="E219" s="3231"/>
      <c r="F219" s="3231">
        <v>2040</v>
      </c>
      <c r="G219" s="3244"/>
    </row>
    <row r="220" spans="1:7" s="3220" customFormat="1" ht="14.25" customHeight="1">
      <c r="A220" s="3231" t="s">
        <v>304</v>
      </c>
      <c r="B220" s="3231" t="s">
        <v>3101</v>
      </c>
      <c r="C220" s="3231"/>
      <c r="D220" s="3231"/>
      <c r="E220" s="3231"/>
      <c r="F220" s="3231">
        <v>2040</v>
      </c>
      <c r="G220" s="3244"/>
    </row>
    <row r="221" spans="1:7" s="3220" customFormat="1" ht="14.25" customHeight="1">
      <c r="A221" s="3231" t="s">
        <v>304</v>
      </c>
      <c r="B221" s="3231" t="s">
        <v>3102</v>
      </c>
      <c r="C221" s="3231"/>
      <c r="D221" s="3231"/>
      <c r="E221" s="3231"/>
      <c r="F221" s="3231">
        <v>2040</v>
      </c>
      <c r="G221" s="3244"/>
    </row>
    <row r="222" spans="1:7" s="3220" customFormat="1" ht="14.25" customHeight="1">
      <c r="A222" s="3231" t="s">
        <v>304</v>
      </c>
      <c r="B222" s="3231" t="s">
        <v>3103</v>
      </c>
      <c r="C222" s="3231"/>
      <c r="D222" s="3231"/>
      <c r="E222" s="3231"/>
      <c r="F222" s="3231">
        <v>2040</v>
      </c>
      <c r="G222" s="3244"/>
    </row>
    <row r="223" spans="1:7" s="3220" customFormat="1" ht="14.25" customHeight="1">
      <c r="A223" s="3231" t="s">
        <v>304</v>
      </c>
      <c r="B223" s="3231" t="s">
        <v>3104</v>
      </c>
      <c r="C223" s="3231"/>
      <c r="D223" s="3231"/>
      <c r="E223" s="3231"/>
      <c r="F223" s="3231">
        <v>1930</v>
      </c>
      <c r="G223" s="3244"/>
    </row>
    <row r="224" spans="1:7" s="3220" customFormat="1" ht="14.25" customHeight="1">
      <c r="A224" s="3231" t="s">
        <v>304</v>
      </c>
      <c r="B224" s="3231" t="s">
        <v>3105</v>
      </c>
      <c r="C224" s="3231"/>
      <c r="D224" s="3231"/>
      <c r="E224" s="3231"/>
      <c r="F224" s="3231">
        <v>1930</v>
      </c>
      <c r="G224" s="3244"/>
    </row>
    <row r="225" spans="1:7" s="3220" customFormat="1" ht="14.25" customHeight="1">
      <c r="A225" s="3231" t="s">
        <v>304</v>
      </c>
      <c r="B225" s="3231" t="s">
        <v>3106</v>
      </c>
      <c r="C225" s="3231"/>
      <c r="D225" s="3231"/>
      <c r="E225" s="3231"/>
      <c r="F225" s="3231">
        <v>1930</v>
      </c>
      <c r="G225" s="3244"/>
    </row>
    <row r="226" spans="1:7" s="3220" customFormat="1" ht="14.25" customHeight="1">
      <c r="A226" s="3231" t="s">
        <v>304</v>
      </c>
      <c r="B226" s="3231" t="s">
        <v>3107</v>
      </c>
      <c r="C226" s="3231"/>
      <c r="D226" s="3231"/>
      <c r="E226" s="3231"/>
      <c r="F226" s="3231">
        <v>1700</v>
      </c>
      <c r="G226" s="3244"/>
    </row>
    <row r="227" spans="1:7" s="3220" customFormat="1" ht="14.25" customHeight="1">
      <c r="A227" s="3231" t="s">
        <v>304</v>
      </c>
      <c r="B227" s="3231" t="s">
        <v>3108</v>
      </c>
      <c r="C227" s="3231"/>
      <c r="D227" s="3231"/>
      <c r="E227" s="3231"/>
      <c r="F227" s="3231">
        <v>1520</v>
      </c>
      <c r="G227" s="3244"/>
    </row>
    <row r="228" spans="1:7" s="3220" customFormat="1" ht="14.25" customHeight="1">
      <c r="A228" s="3231" t="s">
        <v>304</v>
      </c>
      <c r="B228" s="3231" t="s">
        <v>3109</v>
      </c>
      <c r="C228" s="3231"/>
      <c r="D228" s="3231"/>
      <c r="E228" s="3231"/>
      <c r="F228" s="3231">
        <v>1520</v>
      </c>
      <c r="G228" s="3244"/>
    </row>
    <row r="229" spans="1:7" s="3220" customFormat="1" ht="14.25" customHeight="1">
      <c r="A229" s="3231" t="s">
        <v>304</v>
      </c>
      <c r="B229" s="3231" t="s">
        <v>3026</v>
      </c>
      <c r="C229" s="3231"/>
      <c r="D229" s="3231"/>
      <c r="E229" s="3231"/>
      <c r="F229" s="3231">
        <v>1520</v>
      </c>
      <c r="G229" s="3244"/>
    </row>
    <row r="230" spans="1:7" s="3220" customFormat="1" ht="14.25" customHeight="1">
      <c r="A230" s="3231" t="s">
        <v>304</v>
      </c>
      <c r="B230" s="3231" t="s">
        <v>3110</v>
      </c>
      <c r="C230" s="3231"/>
      <c r="D230" s="3231"/>
      <c r="E230" s="3231"/>
      <c r="F230" s="3231">
        <v>1820</v>
      </c>
      <c r="G230" s="3244"/>
    </row>
    <row r="231" spans="1:7" s="3220" customFormat="1" ht="14.25" customHeight="1">
      <c r="A231" s="3231" t="s">
        <v>304</v>
      </c>
      <c r="B231" s="3231" t="s">
        <v>3111</v>
      </c>
      <c r="C231" s="3231"/>
      <c r="D231" s="3231"/>
      <c r="E231" s="3231"/>
      <c r="F231" s="3231">
        <v>1760</v>
      </c>
      <c r="G231" s="3244"/>
    </row>
    <row r="232" spans="1:7" s="3220" customFormat="1" ht="14.25" customHeight="1">
      <c r="A232" s="3231" t="s">
        <v>304</v>
      </c>
      <c r="B232" s="3231" t="s">
        <v>3112</v>
      </c>
      <c r="C232" s="3231"/>
      <c r="D232" s="3231"/>
      <c r="E232" s="3231"/>
      <c r="F232" s="3231">
        <v>1840</v>
      </c>
      <c r="G232" s="3244"/>
    </row>
    <row r="233" spans="1:7" s="3220" customFormat="1" ht="14.25" customHeight="1" thickBot="1">
      <c r="A233" s="3245" t="s">
        <v>304</v>
      </c>
      <c r="B233" s="3238" t="s">
        <v>3043</v>
      </c>
      <c r="C233" s="3238"/>
      <c r="D233" s="3238"/>
      <c r="E233" s="3238"/>
      <c r="F233" s="3238">
        <v>1770</v>
      </c>
      <c r="G233" s="3246"/>
    </row>
    <row r="234" spans="1:7" s="3220" customFormat="1" ht="14.25" customHeight="1">
      <c r="A234" s="3236" t="s">
        <v>305</v>
      </c>
      <c r="B234" s="3227" t="s">
        <v>3113</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2884</v>
      </c>
      <c r="C238" s="3231">
        <v>6920</v>
      </c>
      <c r="D238" s="3231">
        <v>6890</v>
      </c>
      <c r="E238" s="3231">
        <v>8640</v>
      </c>
      <c r="F238" s="3231">
        <v>1310</v>
      </c>
      <c r="G238" s="3231">
        <v>4230</v>
      </c>
    </row>
    <row r="239" spans="1:7" s="3220" customFormat="1" ht="14.25" customHeight="1">
      <c r="A239" s="3231" t="s">
        <v>305</v>
      </c>
      <c r="B239" s="3231" t="s">
        <v>3114</v>
      </c>
      <c r="C239" s="3231">
        <v>6780</v>
      </c>
      <c r="D239" s="3231">
        <v>6750</v>
      </c>
      <c r="E239" s="3231">
        <v>8440</v>
      </c>
      <c r="F239" s="3231">
        <v>1160</v>
      </c>
      <c r="G239" s="3231">
        <v>4140</v>
      </c>
    </row>
    <row r="240" spans="1:7" s="3220" customFormat="1" ht="14.25" customHeight="1">
      <c r="A240" s="3231" t="s">
        <v>305</v>
      </c>
      <c r="B240" s="3231" t="s">
        <v>3115</v>
      </c>
      <c r="C240" s="3231">
        <v>5420</v>
      </c>
      <c r="D240" s="3231">
        <v>5380</v>
      </c>
      <c r="E240" s="3231">
        <v>6640</v>
      </c>
      <c r="F240" s="3231">
        <v>1020</v>
      </c>
      <c r="G240" s="3231">
        <v>3300</v>
      </c>
    </row>
    <row r="241" spans="1:7" s="3220" customFormat="1" ht="14.25" customHeight="1">
      <c r="A241" s="3231" t="s">
        <v>305</v>
      </c>
      <c r="B241" s="3231" t="s">
        <v>3116</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3117</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3118</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3119</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3120</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3121</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2946</v>
      </c>
      <c r="C258" s="3231">
        <v>6190</v>
      </c>
      <c r="D258" s="3231">
        <v>6160</v>
      </c>
      <c r="E258" s="3231">
        <v>7680</v>
      </c>
      <c r="F258" s="3231">
        <v>1170</v>
      </c>
      <c r="G258" s="3231">
        <v>3780</v>
      </c>
    </row>
    <row r="259" spans="1:7" s="3220" customFormat="1" ht="14.25" customHeight="1">
      <c r="A259" s="3231" t="s">
        <v>305</v>
      </c>
      <c r="B259" s="3231" t="s">
        <v>3122</v>
      </c>
      <c r="C259" s="3231">
        <v>7610</v>
      </c>
      <c r="D259" s="3231">
        <v>7570</v>
      </c>
      <c r="E259" s="3231">
        <v>9350</v>
      </c>
      <c r="F259" s="3231">
        <v>1350</v>
      </c>
      <c r="G259" s="3231">
        <v>4650</v>
      </c>
    </row>
    <row r="260" spans="1:7" s="3220" customFormat="1" ht="14.25" customHeight="1">
      <c r="A260" s="3231" t="s">
        <v>305</v>
      </c>
      <c r="B260" s="3231" t="s">
        <v>3123</v>
      </c>
      <c r="C260" s="3231">
        <v>6920</v>
      </c>
      <c r="D260" s="3231">
        <v>6880</v>
      </c>
      <c r="E260" s="3231">
        <v>8380</v>
      </c>
      <c r="F260" s="3231">
        <v>1160</v>
      </c>
      <c r="G260" s="3231">
        <v>4220</v>
      </c>
    </row>
    <row r="261" spans="1:7" s="3220" customFormat="1" ht="14.25" customHeight="1">
      <c r="A261" s="3231" t="s">
        <v>305</v>
      </c>
      <c r="B261" s="3231" t="s">
        <v>3124</v>
      </c>
      <c r="C261" s="3231">
        <v>6850</v>
      </c>
      <c r="D261" s="3231">
        <v>6810</v>
      </c>
      <c r="E261" s="3231">
        <v>8290</v>
      </c>
      <c r="F261" s="3231">
        <v>1130</v>
      </c>
      <c r="G261" s="3231">
        <v>4180</v>
      </c>
    </row>
    <row r="262" spans="1:7" s="3220" customFormat="1" ht="14.25" customHeight="1">
      <c r="A262" s="3231" t="s">
        <v>305</v>
      </c>
      <c r="B262" s="3231" t="s">
        <v>3125</v>
      </c>
      <c r="C262" s="3231">
        <v>5860</v>
      </c>
      <c r="D262" s="3231">
        <v>5820</v>
      </c>
      <c r="E262" s="3231">
        <v>7640</v>
      </c>
      <c r="F262" s="3231">
        <v>1070</v>
      </c>
      <c r="G262" s="3231">
        <v>3570</v>
      </c>
    </row>
    <row r="263" spans="1:7" s="3220" customFormat="1" ht="14.25" customHeight="1">
      <c r="A263" s="3231" t="s">
        <v>305</v>
      </c>
      <c r="B263" s="3231" t="s">
        <v>3126</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3127</v>
      </c>
      <c r="C265" s="3231"/>
      <c r="D265" s="3231"/>
      <c r="E265" s="3231"/>
      <c r="F265" s="3231">
        <v>1500</v>
      </c>
      <c r="G265" s="3231"/>
    </row>
    <row r="266" spans="1:7" s="3220" customFormat="1" ht="14.25" customHeight="1">
      <c r="A266" s="3231" t="s">
        <v>305</v>
      </c>
      <c r="B266" s="3231" t="s">
        <v>3128</v>
      </c>
      <c r="C266" s="3231"/>
      <c r="D266" s="3231"/>
      <c r="E266" s="3231"/>
      <c r="F266" s="3231">
        <v>1500</v>
      </c>
      <c r="G266" s="3231"/>
    </row>
    <row r="267" spans="1:7" s="3220" customFormat="1" ht="14.25" customHeight="1">
      <c r="A267" s="3231" t="s">
        <v>305</v>
      </c>
      <c r="B267" s="3231" t="s">
        <v>3129</v>
      </c>
      <c r="C267" s="3231"/>
      <c r="D267" s="3231"/>
      <c r="E267" s="3231"/>
      <c r="F267" s="3231">
        <v>1500</v>
      </c>
      <c r="G267" s="3231"/>
    </row>
    <row r="268" spans="1:7" s="3220" customFormat="1" ht="14.25" customHeight="1">
      <c r="A268" s="3231" t="s">
        <v>305</v>
      </c>
      <c r="B268" s="3231" t="s">
        <v>3130</v>
      </c>
      <c r="C268" s="3231"/>
      <c r="D268" s="3231"/>
      <c r="E268" s="3231"/>
      <c r="F268" s="3231">
        <v>1290</v>
      </c>
      <c r="G268" s="3231"/>
    </row>
    <row r="269" spans="1:7" s="3220" customFormat="1" ht="14.25" customHeight="1">
      <c r="A269" s="3231" t="s">
        <v>305</v>
      </c>
      <c r="B269" s="3231" t="s">
        <v>3131</v>
      </c>
      <c r="C269" s="3231"/>
      <c r="D269" s="3231"/>
      <c r="E269" s="3231"/>
      <c r="F269" s="3231">
        <v>1150</v>
      </c>
      <c r="G269" s="3231"/>
    </row>
    <row r="270" spans="1:7" s="3220" customFormat="1" ht="14.25" customHeight="1">
      <c r="A270" s="3231" t="s">
        <v>305</v>
      </c>
      <c r="B270" s="3231" t="s">
        <v>3132</v>
      </c>
      <c r="C270" s="3231"/>
      <c r="D270" s="3231"/>
      <c r="E270" s="3231"/>
      <c r="F270" s="3231">
        <v>1380</v>
      </c>
      <c r="G270" s="3231"/>
    </row>
    <row r="271" spans="1:7" s="3220" customFormat="1" ht="14.25" customHeight="1">
      <c r="A271" s="3231" t="s">
        <v>305</v>
      </c>
      <c r="B271" s="3231" t="s">
        <v>3133</v>
      </c>
      <c r="C271" s="3231"/>
      <c r="D271" s="3231"/>
      <c r="E271" s="3231"/>
      <c r="F271" s="3231">
        <v>1460</v>
      </c>
      <c r="G271" s="3231"/>
    </row>
    <row r="272" spans="1:7" s="3220" customFormat="1" ht="14.25" customHeight="1">
      <c r="A272" s="3231" t="s">
        <v>305</v>
      </c>
      <c r="B272" s="3231" t="s">
        <v>3134</v>
      </c>
      <c r="C272" s="3231"/>
      <c r="D272" s="3231"/>
      <c r="E272" s="3231"/>
      <c r="F272" s="3231">
        <v>1460</v>
      </c>
      <c r="G272" s="3231"/>
    </row>
    <row r="273" spans="1:7" s="3220" customFormat="1" ht="14.25" customHeight="1">
      <c r="A273" s="3231" t="s">
        <v>305</v>
      </c>
      <c r="B273" s="3231" t="s">
        <v>3027</v>
      </c>
      <c r="C273" s="3231"/>
      <c r="D273" s="3231"/>
      <c r="E273" s="3231"/>
      <c r="F273" s="3231">
        <v>1490</v>
      </c>
      <c r="G273" s="3231"/>
    </row>
    <row r="274" spans="1:7" s="3220" customFormat="1" ht="14.25" customHeight="1">
      <c r="A274" s="3231" t="s">
        <v>305</v>
      </c>
      <c r="B274" s="3231" t="s">
        <v>3135</v>
      </c>
      <c r="C274" s="3231"/>
      <c r="D274" s="3231"/>
      <c r="E274" s="3231"/>
      <c r="F274" s="3231">
        <v>1490</v>
      </c>
      <c r="G274" s="3231"/>
    </row>
    <row r="275" spans="1:7" s="3220" customFormat="1" ht="14.25" customHeight="1">
      <c r="A275" s="3231" t="s">
        <v>305</v>
      </c>
      <c r="B275" s="3231" t="s">
        <v>3136</v>
      </c>
      <c r="C275" s="3231"/>
      <c r="D275" s="3231"/>
      <c r="E275" s="3231"/>
      <c r="F275" s="3231">
        <v>1220</v>
      </c>
      <c r="G275" s="3231"/>
    </row>
    <row r="276" spans="1:7" s="3220" customFormat="1" ht="14.25" customHeight="1" thickBot="1">
      <c r="A276" s="3239" t="s">
        <v>305</v>
      </c>
      <c r="B276" s="3241" t="s">
        <v>3137</v>
      </c>
      <c r="C276" s="3242"/>
      <c r="D276" s="3242"/>
      <c r="E276" s="3242"/>
      <c r="F276" s="3242">
        <v>1380</v>
      </c>
      <c r="G276" s="3242"/>
    </row>
    <row r="277" spans="1:7" s="3220" customFormat="1" ht="14.25" customHeight="1">
      <c r="A277" s="3236" t="s">
        <v>306</v>
      </c>
      <c r="B277" s="3227" t="s">
        <v>3138</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3139</v>
      </c>
      <c r="C279" s="3231">
        <v>4760</v>
      </c>
      <c r="D279" s="3231">
        <v>4720</v>
      </c>
      <c r="E279" s="3231">
        <v>5540</v>
      </c>
      <c r="F279" s="3231">
        <v>810</v>
      </c>
      <c r="G279" s="3244">
        <v>2850</v>
      </c>
    </row>
    <row r="280" spans="1:7" s="3220" customFormat="1" ht="14.25" customHeight="1">
      <c r="A280" s="3231" t="s">
        <v>306</v>
      </c>
      <c r="B280" s="3231" t="s">
        <v>3140</v>
      </c>
      <c r="C280" s="3231">
        <v>4010</v>
      </c>
      <c r="D280" s="3231">
        <v>3950</v>
      </c>
      <c r="E280" s="3231">
        <v>4710</v>
      </c>
      <c r="F280" s="3231">
        <v>800</v>
      </c>
      <c r="G280" s="3244">
        <v>2390</v>
      </c>
    </row>
    <row r="281" spans="1:7" s="3220" customFormat="1" ht="14.25" customHeight="1">
      <c r="A281" s="3231" t="s">
        <v>306</v>
      </c>
      <c r="B281" s="3231" t="s">
        <v>3141</v>
      </c>
      <c r="C281" s="3231">
        <v>4480</v>
      </c>
      <c r="D281" s="3231">
        <v>4420</v>
      </c>
      <c r="E281" s="3231">
        <v>5230</v>
      </c>
      <c r="F281" s="3231">
        <v>870</v>
      </c>
      <c r="G281" s="3244">
        <v>2660</v>
      </c>
    </row>
    <row r="282" spans="1:7" s="3220" customFormat="1" ht="14.25" customHeight="1">
      <c r="A282" s="3231" t="s">
        <v>306</v>
      </c>
      <c r="B282" s="3231" t="s">
        <v>3142</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3143</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3144</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2919</v>
      </c>
      <c r="C293" s="3231">
        <v>5320</v>
      </c>
      <c r="D293" s="3231">
        <v>5270</v>
      </c>
      <c r="E293" s="3231">
        <v>6160</v>
      </c>
      <c r="F293" s="3231">
        <v>990</v>
      </c>
      <c r="G293" s="3244">
        <v>3170</v>
      </c>
    </row>
    <row r="294" spans="1:7" s="3220" customFormat="1" ht="14.25" customHeight="1">
      <c r="A294" s="3231" t="s">
        <v>306</v>
      </c>
      <c r="B294" s="3231" t="s">
        <v>3145</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2938</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3146</v>
      </c>
      <c r="C302" s="3231">
        <v>5520</v>
      </c>
      <c r="D302" s="3231">
        <v>5470</v>
      </c>
      <c r="E302" s="3231">
        <v>6410</v>
      </c>
      <c r="F302" s="3231">
        <v>950</v>
      </c>
      <c r="G302" s="3244">
        <v>3300</v>
      </c>
    </row>
    <row r="303" spans="1:7" s="3220" customFormat="1" ht="14.25" customHeight="1">
      <c r="A303" s="3231" t="s">
        <v>306</v>
      </c>
      <c r="B303" s="3231" t="s">
        <v>2958</v>
      </c>
      <c r="C303" s="3231">
        <v>5630</v>
      </c>
      <c r="D303" s="3231">
        <v>5590</v>
      </c>
      <c r="E303" s="3231">
        <v>6550</v>
      </c>
      <c r="F303" s="3231">
        <v>1010</v>
      </c>
      <c r="G303" s="3244">
        <v>3370</v>
      </c>
    </row>
    <row r="304" spans="1:7" s="3220" customFormat="1" ht="14.25" customHeight="1">
      <c r="A304" s="3231" t="s">
        <v>306</v>
      </c>
      <c r="B304" s="3231" t="s">
        <v>2965</v>
      </c>
      <c r="C304" s="3231">
        <v>5680</v>
      </c>
      <c r="D304" s="3231">
        <v>5620</v>
      </c>
      <c r="E304" s="3231">
        <v>6620</v>
      </c>
      <c r="F304" s="3231">
        <v>1050</v>
      </c>
      <c r="G304" s="3244">
        <v>3390</v>
      </c>
    </row>
    <row r="305" spans="1:7" s="3220" customFormat="1" ht="14.25" customHeight="1">
      <c r="A305" s="3231" t="s">
        <v>306</v>
      </c>
      <c r="B305" s="3231" t="s">
        <v>2971</v>
      </c>
      <c r="C305" s="3231">
        <v>5590</v>
      </c>
      <c r="D305" s="3231">
        <v>5530</v>
      </c>
      <c r="E305" s="3231">
        <v>6460</v>
      </c>
      <c r="F305" s="3231">
        <v>900</v>
      </c>
      <c r="G305" s="3244">
        <v>3340</v>
      </c>
    </row>
    <row r="306" spans="1:7" s="3220" customFormat="1" ht="14.25" customHeight="1">
      <c r="A306" s="3231" t="s">
        <v>306</v>
      </c>
      <c r="B306" s="3231" t="s">
        <v>3147</v>
      </c>
      <c r="C306" s="3231">
        <v>5560</v>
      </c>
      <c r="D306" s="3231">
        <v>5510</v>
      </c>
      <c r="E306" s="3231">
        <v>6440</v>
      </c>
      <c r="F306" s="3231">
        <v>900</v>
      </c>
      <c r="G306" s="3244">
        <v>3320</v>
      </c>
    </row>
    <row r="307" spans="1:7" s="3220" customFormat="1" ht="14.25" customHeight="1">
      <c r="A307" s="3231" t="s">
        <v>306</v>
      </c>
      <c r="B307" s="3231" t="s">
        <v>2983</v>
      </c>
      <c r="C307" s="3231">
        <v>5650</v>
      </c>
      <c r="D307" s="3231">
        <v>5600</v>
      </c>
      <c r="E307" s="3231">
        <v>6590</v>
      </c>
      <c r="F307" s="3231">
        <v>930</v>
      </c>
      <c r="G307" s="3244">
        <v>3380</v>
      </c>
    </row>
    <row r="308" spans="1:7" s="3220" customFormat="1" ht="14.25" customHeight="1">
      <c r="A308" s="3231" t="s">
        <v>306</v>
      </c>
      <c r="B308" s="3231" t="s">
        <v>3148</v>
      </c>
      <c r="C308" s="3231">
        <v>5620</v>
      </c>
      <c r="D308" s="3231">
        <v>5580</v>
      </c>
      <c r="E308" s="3231">
        <v>6540</v>
      </c>
      <c r="F308" s="3231">
        <v>910</v>
      </c>
      <c r="G308" s="3244">
        <v>3370</v>
      </c>
    </row>
    <row r="309" spans="1:7" s="3220" customFormat="1" ht="14.25" customHeight="1">
      <c r="A309" s="3231" t="s">
        <v>306</v>
      </c>
      <c r="B309" s="3231" t="s">
        <v>3149</v>
      </c>
      <c r="C309" s="3231">
        <v>5060</v>
      </c>
      <c r="D309" s="3231">
        <v>5020</v>
      </c>
      <c r="E309" s="3231">
        <v>6370</v>
      </c>
      <c r="F309" s="3231">
        <v>800</v>
      </c>
      <c r="G309" s="3244">
        <v>3020</v>
      </c>
    </row>
    <row r="310" spans="1:7" s="3220" customFormat="1" ht="14.25" customHeight="1">
      <c r="A310" s="3231" t="s">
        <v>306</v>
      </c>
      <c r="B310" s="3231" t="s">
        <v>2998</v>
      </c>
      <c r="C310" s="3231">
        <v>5150</v>
      </c>
      <c r="D310" s="3231">
        <v>5110</v>
      </c>
      <c r="E310" s="3231">
        <v>6500</v>
      </c>
      <c r="F310" s="3231">
        <v>880</v>
      </c>
      <c r="G310" s="3244">
        <v>3080</v>
      </c>
    </row>
    <row r="311" spans="1:7" s="3220" customFormat="1" ht="14.25" customHeight="1">
      <c r="A311" s="3231" t="s">
        <v>306</v>
      </c>
      <c r="B311" s="3231" t="s">
        <v>3150</v>
      </c>
      <c r="C311" s="3231">
        <v>4750</v>
      </c>
      <c r="D311" s="3231">
        <v>4710</v>
      </c>
      <c r="E311" s="3231">
        <v>5510</v>
      </c>
      <c r="F311" s="3231">
        <v>880</v>
      </c>
      <c r="G311" s="3244">
        <v>2840</v>
      </c>
    </row>
    <row r="312" spans="1:7" s="3220" customFormat="1" ht="14.25" customHeight="1">
      <c r="A312" s="3231" t="s">
        <v>306</v>
      </c>
      <c r="B312" s="3231" t="s">
        <v>3008</v>
      </c>
      <c r="C312" s="3231">
        <v>4690</v>
      </c>
      <c r="D312" s="3231">
        <v>4640</v>
      </c>
      <c r="E312" s="3231">
        <v>5420</v>
      </c>
      <c r="F312" s="3231">
        <v>800</v>
      </c>
      <c r="G312" s="3244">
        <v>2800</v>
      </c>
    </row>
    <row r="313" spans="1:7" s="3220" customFormat="1" ht="14.25" customHeight="1">
      <c r="A313" s="3231" t="s">
        <v>306</v>
      </c>
      <c r="B313" s="3231" t="s">
        <v>3013</v>
      </c>
      <c r="C313" s="3231">
        <v>4810</v>
      </c>
      <c r="D313" s="3231">
        <v>4760</v>
      </c>
      <c r="E313" s="3231">
        <v>5550</v>
      </c>
      <c r="F313" s="3231">
        <v>920</v>
      </c>
      <c r="G313" s="3244">
        <v>2870</v>
      </c>
    </row>
    <row r="314" spans="1:7" s="3220" customFormat="1" ht="14.25" customHeight="1">
      <c r="A314" s="3231" t="s">
        <v>306</v>
      </c>
      <c r="B314" s="3231" t="s">
        <v>3151</v>
      </c>
      <c r="C314" s="3231"/>
      <c r="D314" s="3231"/>
      <c r="E314" s="3231"/>
      <c r="F314" s="3231">
        <v>1020</v>
      </c>
      <c r="G314" s="3244"/>
    </row>
    <row r="315" spans="1:7" s="3220" customFormat="1" ht="14.25" customHeight="1">
      <c r="A315" s="3231" t="s">
        <v>306</v>
      </c>
      <c r="B315" s="3231" t="s">
        <v>3152</v>
      </c>
      <c r="C315" s="3231"/>
      <c r="D315" s="3231"/>
      <c r="E315" s="3231"/>
      <c r="F315" s="3231">
        <v>1050</v>
      </c>
      <c r="G315" s="3244"/>
    </row>
    <row r="316" spans="1:7" s="3220" customFormat="1" ht="14.25" customHeight="1">
      <c r="A316" s="3231" t="s">
        <v>306</v>
      </c>
      <c r="B316" s="3231" t="s">
        <v>3028</v>
      </c>
      <c r="C316" s="3231"/>
      <c r="D316" s="3231"/>
      <c r="E316" s="3231"/>
      <c r="F316" s="3231">
        <v>900</v>
      </c>
      <c r="G316" s="3244"/>
    </row>
    <row r="317" spans="1:7" s="3220" customFormat="1" ht="14.25" customHeight="1">
      <c r="A317" s="3231" t="s">
        <v>306</v>
      </c>
      <c r="B317" s="3231" t="s">
        <v>3153</v>
      </c>
      <c r="C317" s="3231"/>
      <c r="D317" s="3231"/>
      <c r="E317" s="3231"/>
      <c r="F317" s="3231">
        <v>920</v>
      </c>
      <c r="G317" s="3244"/>
    </row>
    <row r="318" spans="1:7" s="3220" customFormat="1" ht="14.25" customHeight="1">
      <c r="A318" s="3231" t="s">
        <v>306</v>
      </c>
      <c r="B318" s="3231" t="s">
        <v>3154</v>
      </c>
      <c r="C318" s="3231"/>
      <c r="D318" s="3231"/>
      <c r="E318" s="3231"/>
      <c r="F318" s="3231">
        <v>1080</v>
      </c>
      <c r="G318" s="3244"/>
    </row>
    <row r="319" spans="1:7" s="3220" customFormat="1" ht="14.25" customHeight="1">
      <c r="A319" s="3231" t="s">
        <v>306</v>
      </c>
      <c r="B319" s="3231" t="s">
        <v>3041</v>
      </c>
      <c r="C319" s="3231"/>
      <c r="D319" s="3231"/>
      <c r="E319" s="3231"/>
      <c r="F319" s="3231">
        <v>1020</v>
      </c>
      <c r="G319" s="3244"/>
    </row>
    <row r="320" spans="1:7" s="3220" customFormat="1" ht="14.25" customHeight="1">
      <c r="A320" s="3231" t="s">
        <v>306</v>
      </c>
      <c r="B320" s="3231" t="s">
        <v>3044</v>
      </c>
      <c r="C320" s="3231"/>
      <c r="D320" s="3231"/>
      <c r="E320" s="3231"/>
      <c r="F320" s="3231">
        <v>1050</v>
      </c>
      <c r="G320" s="3244"/>
    </row>
    <row r="321" spans="1:7" s="3220" customFormat="1" ht="14.25" customHeight="1">
      <c r="A321" s="3231" t="s">
        <v>306</v>
      </c>
      <c r="B321" s="3231" t="s">
        <v>3046</v>
      </c>
      <c r="C321" s="3231"/>
      <c r="D321" s="3231"/>
      <c r="E321" s="3231"/>
      <c r="F321" s="3231">
        <v>960</v>
      </c>
      <c r="G321" s="3244"/>
    </row>
    <row r="322" spans="1:7" s="3220" customFormat="1" ht="14.25" customHeight="1">
      <c r="A322" s="3231" t="s">
        <v>306</v>
      </c>
      <c r="B322" s="3231" t="s">
        <v>3048</v>
      </c>
      <c r="C322" s="3231"/>
      <c r="D322" s="3231"/>
      <c r="E322" s="3231"/>
      <c r="F322" s="3231">
        <v>960</v>
      </c>
      <c r="G322" s="3244"/>
    </row>
    <row r="323" spans="1:7" s="3220" customFormat="1" ht="14.25" customHeight="1">
      <c r="A323" s="3231" t="s">
        <v>306</v>
      </c>
      <c r="B323" s="3231" t="s">
        <v>3050</v>
      </c>
      <c r="C323" s="3231"/>
      <c r="D323" s="3231"/>
      <c r="E323" s="3231"/>
      <c r="F323" s="3231">
        <v>880</v>
      </c>
      <c r="G323" s="3244"/>
    </row>
    <row r="324" spans="1:7" s="3220" customFormat="1" ht="14.25" customHeight="1">
      <c r="A324" s="3231" t="s">
        <v>306</v>
      </c>
      <c r="B324" s="3231" t="s">
        <v>3052</v>
      </c>
      <c r="C324" s="3231"/>
      <c r="D324" s="3231"/>
      <c r="E324" s="3231"/>
      <c r="F324" s="3231">
        <v>930</v>
      </c>
      <c r="G324" s="3244"/>
    </row>
    <row r="325" spans="1:7" s="3220" customFormat="1" ht="14.25" customHeight="1">
      <c r="A325" s="3231" t="s">
        <v>306</v>
      </c>
      <c r="B325" s="3232" t="s">
        <v>3054</v>
      </c>
      <c r="C325" s="3231"/>
      <c r="D325" s="3231"/>
      <c r="E325" s="3231"/>
      <c r="F325" s="3231">
        <v>900</v>
      </c>
      <c r="G325" s="3244"/>
    </row>
    <row r="326" spans="1:7" s="3220" customFormat="1" ht="14.25" customHeight="1" thickBot="1">
      <c r="A326" s="3245" t="s">
        <v>306</v>
      </c>
      <c r="B326" s="3238" t="s">
        <v>3056</v>
      </c>
      <c r="C326" s="3238"/>
      <c r="D326" s="3238"/>
      <c r="E326" s="3238"/>
      <c r="F326" s="3238">
        <v>790</v>
      </c>
      <c r="G326" s="3246"/>
    </row>
    <row r="327" spans="1:7" s="3220" customFormat="1" ht="14.25" customHeight="1">
      <c r="A327" s="3236" t="s">
        <v>307</v>
      </c>
      <c r="B327" s="3227" t="s">
        <v>3155</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3156</v>
      </c>
      <c r="C329" s="3231">
        <v>2730</v>
      </c>
      <c r="D329" s="3231">
        <v>2690</v>
      </c>
      <c r="E329" s="3231">
        <v>3100</v>
      </c>
      <c r="F329" s="3231">
        <v>660</v>
      </c>
      <c r="G329" s="3231">
        <v>1610</v>
      </c>
    </row>
    <row r="330" spans="1:7" s="3220" customFormat="1" ht="14.25" customHeight="1">
      <c r="A330" s="3231" t="s">
        <v>307</v>
      </c>
      <c r="B330" s="3231" t="s">
        <v>3157</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2890</v>
      </c>
      <c r="C332" s="3231">
        <v>3520</v>
      </c>
      <c r="D332" s="3231">
        <v>3480</v>
      </c>
      <c r="E332" s="3231">
        <v>3830</v>
      </c>
      <c r="F332" s="3231">
        <v>720</v>
      </c>
      <c r="G332" s="3231">
        <v>2090</v>
      </c>
    </row>
    <row r="333" spans="1:7" s="3220" customFormat="1" ht="14.25" customHeight="1">
      <c r="A333" s="3231" t="s">
        <v>307</v>
      </c>
      <c r="B333" s="3231" t="s">
        <v>3158</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2900</v>
      </c>
      <c r="C336" s="3231">
        <v>3570</v>
      </c>
      <c r="D336" s="3231">
        <v>3530</v>
      </c>
      <c r="E336" s="3231">
        <v>3880</v>
      </c>
      <c r="F336" s="3231">
        <v>770</v>
      </c>
      <c r="G336" s="3231">
        <v>2110</v>
      </c>
    </row>
    <row r="337" spans="1:10" s="3220" customFormat="1" ht="14.25" customHeight="1">
      <c r="A337" s="3231" t="s">
        <v>307</v>
      </c>
      <c r="B337" s="3231" t="s">
        <v>3159</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3160</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3161</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2925</v>
      </c>
      <c r="C345" s="3231">
        <v>3190</v>
      </c>
      <c r="D345" s="3231">
        <v>3140</v>
      </c>
      <c r="E345" s="3231">
        <v>3450</v>
      </c>
      <c r="F345" s="3231">
        <v>720</v>
      </c>
      <c r="G345" s="3231">
        <v>1880</v>
      </c>
      <c r="J345" s="3220"/>
    </row>
    <row r="346" spans="1:10">
      <c r="A346" s="3231" t="s">
        <v>307</v>
      </c>
      <c r="B346" s="3231" t="s">
        <v>3162</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2934</v>
      </c>
      <c r="C348" s="3231">
        <v>4000</v>
      </c>
      <c r="D348" s="3231">
        <v>3950</v>
      </c>
      <c r="E348" s="3231">
        <v>4430</v>
      </c>
      <c r="F348" s="3231">
        <v>760</v>
      </c>
      <c r="G348" s="3231">
        <v>2360</v>
      </c>
      <c r="J348" s="3220"/>
    </row>
    <row r="349" spans="1:10">
      <c r="A349" s="3231" t="s">
        <v>307</v>
      </c>
      <c r="B349" s="3231" t="s">
        <v>2939</v>
      </c>
      <c r="C349" s="3231">
        <v>3820</v>
      </c>
      <c r="D349" s="3231">
        <v>3780</v>
      </c>
      <c r="E349" s="3231">
        <v>4170</v>
      </c>
      <c r="F349" s="3231">
        <v>710</v>
      </c>
      <c r="G349" s="3231">
        <v>2260</v>
      </c>
      <c r="J349" s="3220"/>
    </row>
    <row r="350" spans="1:10">
      <c r="A350" s="3231" t="s">
        <v>307</v>
      </c>
      <c r="B350" s="3231" t="s">
        <v>3163</v>
      </c>
      <c r="C350" s="3231">
        <v>3760</v>
      </c>
      <c r="D350" s="3231">
        <v>3730</v>
      </c>
      <c r="E350" s="3231">
        <v>4100</v>
      </c>
      <c r="F350" s="3231">
        <v>800</v>
      </c>
      <c r="G350" s="3231">
        <v>2230</v>
      </c>
      <c r="J350" s="3220"/>
    </row>
    <row r="351" spans="1:10">
      <c r="A351" s="3231" t="s">
        <v>307</v>
      </c>
      <c r="B351" s="3231" t="s">
        <v>2947</v>
      </c>
      <c r="C351" s="3231">
        <v>3610</v>
      </c>
      <c r="D351" s="3231">
        <v>3580</v>
      </c>
      <c r="E351" s="3231">
        <v>3930</v>
      </c>
      <c r="F351" s="3231">
        <v>700</v>
      </c>
      <c r="G351" s="3231">
        <v>2140</v>
      </c>
      <c r="J351" s="3220"/>
    </row>
    <row r="352" spans="1:10">
      <c r="A352" s="3231" t="s">
        <v>307</v>
      </c>
      <c r="B352" s="3231" t="s">
        <v>2952</v>
      </c>
      <c r="C352" s="3231">
        <v>3670</v>
      </c>
      <c r="D352" s="3231">
        <v>3630</v>
      </c>
      <c r="E352" s="3231">
        <v>4000</v>
      </c>
      <c r="F352" s="3231">
        <v>750</v>
      </c>
      <c r="G352" s="3231">
        <v>2180</v>
      </c>
    </row>
    <row r="353" spans="1:7" s="3224" customFormat="1">
      <c r="A353" s="3231" t="s">
        <v>307</v>
      </c>
      <c r="B353" s="3231" t="s">
        <v>3164</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2972</v>
      </c>
      <c r="C355" s="3231">
        <v>3650</v>
      </c>
      <c r="D355" s="3231">
        <v>3610</v>
      </c>
      <c r="E355" s="3231">
        <v>4200</v>
      </c>
      <c r="F355" s="3231">
        <v>640</v>
      </c>
      <c r="G355" s="3231">
        <v>2160</v>
      </c>
    </row>
    <row r="356" spans="1:7" s="3224" customFormat="1">
      <c r="A356" s="3231" t="s">
        <v>307</v>
      </c>
      <c r="B356" s="3231" t="s">
        <v>2979</v>
      </c>
      <c r="C356" s="3231">
        <v>3260</v>
      </c>
      <c r="D356" s="3231">
        <v>3230</v>
      </c>
      <c r="E356" s="3231">
        <v>3740</v>
      </c>
      <c r="F356" s="3231">
        <v>600</v>
      </c>
      <c r="G356" s="3231">
        <v>1930</v>
      </c>
    </row>
    <row r="357" spans="1:7" s="3224" customFormat="1" ht="12" thickBot="1">
      <c r="A357" s="3239" t="s">
        <v>307</v>
      </c>
      <c r="B357" s="3242" t="s">
        <v>3165</v>
      </c>
      <c r="C357" s="3242">
        <v>3690</v>
      </c>
      <c r="D357" s="3242">
        <v>3650</v>
      </c>
      <c r="E357" s="3242">
        <v>4020</v>
      </c>
      <c r="F357" s="3242">
        <v>700</v>
      </c>
      <c r="G357" s="3242">
        <v>2190</v>
      </c>
    </row>
    <row r="358" spans="1:7" s="3224" customFormat="1">
      <c r="A358" s="3236" t="s">
        <v>3166</v>
      </c>
      <c r="B358" s="3227" t="s">
        <v>3167</v>
      </c>
      <c r="C358" s="3227">
        <v>2080</v>
      </c>
      <c r="D358" s="3227">
        <v>2040</v>
      </c>
      <c r="E358" s="3227">
        <v>2010</v>
      </c>
      <c r="F358" s="3227">
        <v>530</v>
      </c>
      <c r="G358" s="3243">
        <v>1230</v>
      </c>
    </row>
    <row r="359" spans="1:7" s="3224" customFormat="1">
      <c r="A359" s="3231" t="s">
        <v>3166</v>
      </c>
      <c r="B359" s="3231" t="s">
        <v>3168</v>
      </c>
      <c r="C359" s="3231">
        <v>1850</v>
      </c>
      <c r="D359" s="3231">
        <v>1820</v>
      </c>
      <c r="E359" s="3231">
        <v>1780</v>
      </c>
      <c r="F359" s="3231">
        <v>520</v>
      </c>
      <c r="G359" s="3244">
        <v>1100</v>
      </c>
    </row>
    <row r="360" spans="1:7" s="3224" customFormat="1">
      <c r="A360" s="3231" t="s">
        <v>3166</v>
      </c>
      <c r="B360" s="3231" t="s">
        <v>3169</v>
      </c>
      <c r="C360" s="3231">
        <v>2020</v>
      </c>
      <c r="D360" s="3231">
        <v>1990</v>
      </c>
      <c r="E360" s="3231">
        <v>1950</v>
      </c>
      <c r="F360" s="3231">
        <v>500</v>
      </c>
      <c r="G360" s="3244">
        <v>1200</v>
      </c>
    </row>
    <row r="361" spans="1:7" s="3224" customFormat="1">
      <c r="A361" s="3231" t="s">
        <v>3166</v>
      </c>
      <c r="B361" s="3231" t="s">
        <v>153</v>
      </c>
      <c r="C361" s="3231">
        <v>2260</v>
      </c>
      <c r="D361" s="3231">
        <v>2220</v>
      </c>
      <c r="E361" s="3231">
        <v>2180</v>
      </c>
      <c r="F361" s="3231">
        <v>580</v>
      </c>
      <c r="G361" s="3244">
        <v>1340</v>
      </c>
    </row>
    <row r="362" spans="1:7" s="3224" customFormat="1">
      <c r="A362" s="3231" t="s">
        <v>3166</v>
      </c>
      <c r="B362" s="3231" t="s">
        <v>3170</v>
      </c>
      <c r="C362" s="3231">
        <v>2650</v>
      </c>
      <c r="D362" s="3231">
        <v>2610</v>
      </c>
      <c r="E362" s="3231">
        <v>2570</v>
      </c>
      <c r="F362" s="3231">
        <v>630</v>
      </c>
      <c r="G362" s="3244">
        <v>1570</v>
      </c>
    </row>
    <row r="363" spans="1:7" s="3224" customFormat="1">
      <c r="A363" s="3231" t="s">
        <v>3166</v>
      </c>
      <c r="B363" s="3231" t="s">
        <v>2891</v>
      </c>
      <c r="C363" s="3231">
        <v>2390</v>
      </c>
      <c r="D363" s="3231">
        <v>2360</v>
      </c>
      <c r="E363" s="3231">
        <v>2320</v>
      </c>
      <c r="F363" s="3231">
        <v>600</v>
      </c>
      <c r="G363" s="3244">
        <v>1420</v>
      </c>
    </row>
    <row r="364" spans="1:7" s="3224" customFormat="1">
      <c r="A364" s="3231" t="s">
        <v>3166</v>
      </c>
      <c r="B364" s="3231" t="s">
        <v>3171</v>
      </c>
      <c r="C364" s="3231">
        <v>2050</v>
      </c>
      <c r="D364" s="3231">
        <v>2030</v>
      </c>
      <c r="E364" s="3231">
        <v>1990</v>
      </c>
      <c r="F364" s="3231">
        <v>550</v>
      </c>
      <c r="G364" s="3244">
        <v>1220</v>
      </c>
    </row>
    <row r="365" spans="1:7" s="3224" customFormat="1">
      <c r="A365" s="3231" t="s">
        <v>3166</v>
      </c>
      <c r="B365" s="3231" t="s">
        <v>200</v>
      </c>
      <c r="C365" s="3231">
        <v>2140</v>
      </c>
      <c r="D365" s="3231">
        <v>2100</v>
      </c>
      <c r="E365" s="3231">
        <v>2060</v>
      </c>
      <c r="F365" s="3231">
        <v>540</v>
      </c>
      <c r="G365" s="3244">
        <v>1270</v>
      </c>
    </row>
    <row r="366" spans="1:7" s="3224" customFormat="1">
      <c r="A366" s="3231" t="s">
        <v>3166</v>
      </c>
      <c r="B366" s="3231" t="s">
        <v>2898</v>
      </c>
      <c r="C366" s="3231">
        <v>2410</v>
      </c>
      <c r="D366" s="3231">
        <v>2370</v>
      </c>
      <c r="E366" s="3231">
        <v>2330</v>
      </c>
      <c r="F366" s="3231">
        <v>570</v>
      </c>
      <c r="G366" s="3244">
        <v>1440</v>
      </c>
    </row>
    <row r="367" spans="1:7" s="3224" customFormat="1">
      <c r="A367" s="3231" t="s">
        <v>3166</v>
      </c>
      <c r="B367" s="3231" t="s">
        <v>3172</v>
      </c>
      <c r="C367" s="3231">
        <v>2300</v>
      </c>
      <c r="D367" s="3231">
        <v>2260</v>
      </c>
      <c r="E367" s="3231">
        <v>2220</v>
      </c>
      <c r="F367" s="3231">
        <v>560</v>
      </c>
      <c r="G367" s="3244">
        <v>1370</v>
      </c>
    </row>
    <row r="368" spans="1:7" s="3224" customFormat="1">
      <c r="A368" s="3231" t="s">
        <v>3166</v>
      </c>
      <c r="B368" s="3231" t="s">
        <v>3173</v>
      </c>
      <c r="C368" s="3231">
        <v>2430</v>
      </c>
      <c r="D368" s="3231">
        <v>2390</v>
      </c>
      <c r="E368" s="3231">
        <v>2350</v>
      </c>
      <c r="F368" s="3231">
        <v>570</v>
      </c>
      <c r="G368" s="3244">
        <v>1450</v>
      </c>
    </row>
    <row r="369" spans="1:7" s="3224" customFormat="1">
      <c r="A369" s="3231" t="s">
        <v>3166</v>
      </c>
      <c r="B369" s="3231" t="s">
        <v>214</v>
      </c>
      <c r="C369" s="3231">
        <v>2320</v>
      </c>
      <c r="D369" s="3231">
        <v>2290</v>
      </c>
      <c r="E369" s="3231">
        <v>2250</v>
      </c>
      <c r="F369" s="3231">
        <v>550</v>
      </c>
      <c r="G369" s="3244">
        <v>1380</v>
      </c>
    </row>
    <row r="370" spans="1:7" s="3224" customFormat="1">
      <c r="A370" s="3231" t="s">
        <v>3166</v>
      </c>
      <c r="B370" s="3231" t="s">
        <v>221</v>
      </c>
      <c r="C370" s="3231">
        <v>2190</v>
      </c>
      <c r="D370" s="3231">
        <v>2170</v>
      </c>
      <c r="E370" s="3231">
        <v>2130</v>
      </c>
      <c r="F370" s="3231">
        <v>530</v>
      </c>
      <c r="G370" s="3244">
        <v>1310</v>
      </c>
    </row>
    <row r="371" spans="1:7" s="3224" customFormat="1">
      <c r="A371" s="3231" t="s">
        <v>3166</v>
      </c>
      <c r="B371" s="3231" t="s">
        <v>229</v>
      </c>
      <c r="C371" s="3231">
        <v>2460</v>
      </c>
      <c r="D371" s="3231">
        <v>2420</v>
      </c>
      <c r="E371" s="3231">
        <v>2370</v>
      </c>
      <c r="F371" s="3231">
        <v>560</v>
      </c>
      <c r="G371" s="3244">
        <v>1470</v>
      </c>
    </row>
    <row r="372" spans="1:7" s="3224" customFormat="1">
      <c r="A372" s="3231" t="s">
        <v>3166</v>
      </c>
      <c r="B372" s="3231" t="s">
        <v>3174</v>
      </c>
      <c r="C372" s="3231">
        <v>2250</v>
      </c>
      <c r="D372" s="3231">
        <v>2210</v>
      </c>
      <c r="E372" s="3231">
        <v>2180</v>
      </c>
      <c r="F372" s="3231">
        <v>550</v>
      </c>
      <c r="G372" s="3244">
        <v>1340</v>
      </c>
    </row>
    <row r="373" spans="1:7" s="3224" customFormat="1">
      <c r="A373" s="3231" t="s">
        <v>3166</v>
      </c>
      <c r="B373" s="3231" t="s">
        <v>258</v>
      </c>
      <c r="C373" s="3231">
        <v>2210</v>
      </c>
      <c r="D373" s="3231">
        <v>2190</v>
      </c>
      <c r="E373" s="3231">
        <v>2150</v>
      </c>
      <c r="F373" s="3231">
        <v>530</v>
      </c>
      <c r="G373" s="3244">
        <v>1320</v>
      </c>
    </row>
    <row r="374" spans="1:7" s="3224" customFormat="1">
      <c r="A374" s="3231" t="s">
        <v>3166</v>
      </c>
      <c r="B374" s="3231" t="s">
        <v>266</v>
      </c>
      <c r="C374" s="3231">
        <v>2320</v>
      </c>
      <c r="D374" s="3231">
        <v>2280</v>
      </c>
      <c r="E374" s="3231">
        <v>2230</v>
      </c>
      <c r="F374" s="3231">
        <v>580</v>
      </c>
      <c r="G374" s="3244">
        <v>1380</v>
      </c>
    </row>
    <row r="375" spans="1:7" s="3224" customFormat="1">
      <c r="A375" s="3231" t="s">
        <v>3166</v>
      </c>
      <c r="B375" s="3231" t="s">
        <v>3175</v>
      </c>
      <c r="C375" s="3231">
        <v>2090</v>
      </c>
      <c r="D375" s="3231">
        <v>2050</v>
      </c>
      <c r="E375" s="3231">
        <v>2020</v>
      </c>
      <c r="F375" s="3231">
        <v>520</v>
      </c>
      <c r="G375" s="3244">
        <v>1240</v>
      </c>
    </row>
    <row r="376" spans="1:7" s="3224" customFormat="1">
      <c r="A376" s="3231" t="s">
        <v>3166</v>
      </c>
      <c r="B376" s="3231" t="s">
        <v>277</v>
      </c>
      <c r="C376" s="3231">
        <v>2010</v>
      </c>
      <c r="D376" s="3231">
        <v>1980</v>
      </c>
      <c r="E376" s="3231">
        <v>1940</v>
      </c>
      <c r="F376" s="3231">
        <v>540</v>
      </c>
      <c r="G376" s="3244">
        <v>1190</v>
      </c>
    </row>
    <row r="377" spans="1:7" s="3224" customFormat="1" ht="12" thickBot="1">
      <c r="A377" s="3239" t="s">
        <v>3166</v>
      </c>
      <c r="B377" s="3242" t="s">
        <v>2928</v>
      </c>
      <c r="C377" s="3242">
        <v>1930</v>
      </c>
      <c r="D377" s="3242">
        <v>1890</v>
      </c>
      <c r="E377" s="3242">
        <v>1860</v>
      </c>
      <c r="F377" s="3242">
        <v>530</v>
      </c>
      <c r="G377" s="3247">
        <v>1150</v>
      </c>
    </row>
    <row r="378" spans="1:7" s="3224" customFormat="1">
      <c r="A378" s="3248" t="s">
        <v>3176</v>
      </c>
      <c r="B378" s="3227" t="s">
        <v>3177</v>
      </c>
      <c r="C378" s="3227">
        <v>1520</v>
      </c>
      <c r="D378" s="3227">
        <v>1490</v>
      </c>
      <c r="E378" s="3227">
        <v>1460</v>
      </c>
      <c r="F378" s="3227">
        <v>460</v>
      </c>
      <c r="G378" s="3243">
        <v>940</v>
      </c>
    </row>
    <row r="379" spans="1:7" s="3224" customFormat="1">
      <c r="A379" s="3249" t="s">
        <v>3176</v>
      </c>
      <c r="B379" s="3231" t="s">
        <v>3178</v>
      </c>
      <c r="C379" s="3231">
        <v>1500</v>
      </c>
      <c r="D379" s="3231">
        <v>1470</v>
      </c>
      <c r="E379" s="3231">
        <v>1430</v>
      </c>
      <c r="F379" s="3231">
        <v>460</v>
      </c>
      <c r="G379" s="3244">
        <v>920</v>
      </c>
    </row>
    <row r="380" spans="1:7" s="3224" customFormat="1">
      <c r="A380" s="3249" t="s">
        <v>3176</v>
      </c>
      <c r="B380" s="3231" t="s">
        <v>3179</v>
      </c>
      <c r="C380" s="3231">
        <v>1620</v>
      </c>
      <c r="D380" s="3231">
        <v>1590</v>
      </c>
      <c r="E380" s="3231">
        <v>1560</v>
      </c>
      <c r="F380" s="3231">
        <v>480</v>
      </c>
      <c r="G380" s="3244">
        <v>1000</v>
      </c>
    </row>
    <row r="381" spans="1:7" s="3224" customFormat="1">
      <c r="A381" s="3249" t="s">
        <v>3176</v>
      </c>
      <c r="B381" s="3231" t="s">
        <v>3180</v>
      </c>
      <c r="C381" s="3231">
        <v>1460</v>
      </c>
      <c r="D381" s="3231">
        <v>1430</v>
      </c>
      <c r="E381" s="3231">
        <v>1390</v>
      </c>
      <c r="F381" s="3231">
        <v>450</v>
      </c>
      <c r="G381" s="3244">
        <v>900</v>
      </c>
    </row>
    <row r="382" spans="1:7" s="3224" customFormat="1">
      <c r="A382" s="3249" t="s">
        <v>3176</v>
      </c>
      <c r="B382" s="3231" t="s">
        <v>3181</v>
      </c>
      <c r="C382" s="3231">
        <v>1310</v>
      </c>
      <c r="D382" s="3231">
        <v>1280</v>
      </c>
      <c r="E382" s="3231">
        <v>1250</v>
      </c>
      <c r="F382" s="3231">
        <v>440</v>
      </c>
      <c r="G382" s="3244">
        <v>800</v>
      </c>
    </row>
    <row r="383" spans="1:7" s="3224" customFormat="1">
      <c r="A383" s="3249" t="s">
        <v>3176</v>
      </c>
      <c r="B383" s="3231" t="s">
        <v>3182</v>
      </c>
      <c r="C383" s="3231">
        <v>1260</v>
      </c>
      <c r="D383" s="3231">
        <v>1230</v>
      </c>
      <c r="E383" s="3231">
        <v>1200</v>
      </c>
      <c r="F383" s="3231">
        <v>420</v>
      </c>
      <c r="G383" s="3244">
        <v>770</v>
      </c>
    </row>
    <row r="384" spans="1:7" s="3224" customFormat="1" ht="12" thickBot="1">
      <c r="A384" s="3250" t="s">
        <v>3176</v>
      </c>
      <c r="B384" s="3238" t="s">
        <v>3183</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784" t="s">
        <v>3184</v>
      </c>
      <c r="B1" s="3784"/>
    </row>
    <row r="2" spans="1:7" ht="14.25" thickBot="1">
      <c r="A2" s="3253"/>
      <c r="B2" s="3253"/>
    </row>
    <row r="3" spans="1:7" ht="14.25" thickBot="1">
      <c r="A3" s="3253"/>
      <c r="B3" s="3253"/>
      <c r="C3" s="3254" t="s">
        <v>2812</v>
      </c>
      <c r="D3" s="3254" t="s">
        <v>2870</v>
      </c>
      <c r="E3" s="3254" t="s">
        <v>2814</v>
      </c>
      <c r="F3" s="3254" t="s">
        <v>2871</v>
      </c>
      <c r="G3" s="3254" t="s">
        <v>2632</v>
      </c>
    </row>
    <row r="4" spans="1:7" ht="14.25" thickBot="1">
      <c r="A4" s="3255" t="s">
        <v>2869</v>
      </c>
      <c r="B4" s="3256" t="s">
        <v>2875</v>
      </c>
      <c r="C4" s="3254"/>
      <c r="D4" s="3254"/>
      <c r="E4" s="3254"/>
      <c r="F4" s="3254"/>
      <c r="G4" s="3254"/>
    </row>
    <row r="5" spans="1:7">
      <c r="A5" s="3257" t="s">
        <v>2843</v>
      </c>
      <c r="B5" s="3258" t="s">
        <v>2857</v>
      </c>
      <c r="C5" s="3259">
        <v>9.8000000000000004E-2</v>
      </c>
      <c r="D5" s="3259">
        <v>8.6999999999999994E-2</v>
      </c>
      <c r="E5" s="3259">
        <v>8.6999999999999994E-2</v>
      </c>
      <c r="F5" s="3259">
        <v>9.8000000000000004E-2</v>
      </c>
      <c r="G5" s="3260">
        <v>9.5000000000000001E-2</v>
      </c>
    </row>
    <row r="6" spans="1:7">
      <c r="A6" s="3261" t="s">
        <v>144</v>
      </c>
      <c r="B6" s="3262" t="s">
        <v>2872</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2858</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2908</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2926</v>
      </c>
      <c r="C29" s="3271"/>
      <c r="D29" s="3267">
        <v>5.1999999999999998E-2</v>
      </c>
      <c r="E29" s="3267">
        <v>7.0000000000000007E-2</v>
      </c>
      <c r="F29" s="3271"/>
      <c r="G29" s="3269">
        <v>7.0999999999999994E-2</v>
      </c>
    </row>
    <row r="30" spans="1:7">
      <c r="A30" s="3272" t="s">
        <v>296</v>
      </c>
      <c r="B30" s="3258" t="s">
        <v>2859</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2845</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2929</v>
      </c>
      <c r="C50" s="3263">
        <v>9.8000000000000004E-2</v>
      </c>
      <c r="D50" s="3263">
        <v>7.2999999999999995E-2</v>
      </c>
      <c r="E50" s="3263">
        <v>7.0999999999999994E-2</v>
      </c>
      <c r="F50" s="3274"/>
      <c r="G50" s="3264">
        <v>7.2999999999999995E-2</v>
      </c>
    </row>
    <row r="51" spans="1:7">
      <c r="A51" s="3273" t="s">
        <v>296</v>
      </c>
      <c r="B51" s="3262" t="s">
        <v>2931</v>
      </c>
      <c r="C51" s="3263">
        <v>9.9000000000000005E-2</v>
      </c>
      <c r="D51" s="3263">
        <v>8.5000000000000006E-2</v>
      </c>
      <c r="E51" s="3263">
        <v>6.3E-2</v>
      </c>
      <c r="F51" s="3274"/>
      <c r="G51" s="3264">
        <v>9.6000000000000002E-2</v>
      </c>
    </row>
    <row r="52" spans="1:7">
      <c r="A52" s="3273" t="s">
        <v>296</v>
      </c>
      <c r="B52" s="3262" t="s">
        <v>2935</v>
      </c>
      <c r="C52" s="3263">
        <v>7.3999999999999996E-2</v>
      </c>
      <c r="D52" s="3263">
        <v>9.6000000000000002E-2</v>
      </c>
      <c r="E52" s="3263">
        <v>0.05</v>
      </c>
      <c r="F52" s="3274"/>
      <c r="G52" s="3264">
        <v>9.8000000000000004E-2</v>
      </c>
    </row>
    <row r="53" spans="1:7">
      <c r="A53" s="3273" t="s">
        <v>296</v>
      </c>
      <c r="B53" s="3262" t="s">
        <v>2940</v>
      </c>
      <c r="C53" s="3263">
        <v>8.5999999999999993E-2</v>
      </c>
      <c r="D53" s="3274"/>
      <c r="E53" s="3263">
        <v>9.1999999999999998E-2</v>
      </c>
      <c r="F53" s="3274"/>
      <c r="G53" s="3275"/>
    </row>
    <row r="54" spans="1:7" ht="14.25" thickBot="1">
      <c r="A54" s="3276" t="s">
        <v>296</v>
      </c>
      <c r="B54" s="3266" t="s">
        <v>2943</v>
      </c>
      <c r="C54" s="3267">
        <v>9.6000000000000002E-2</v>
      </c>
      <c r="D54" s="3268"/>
      <c r="E54" s="3277"/>
      <c r="F54" s="3268"/>
      <c r="G54" s="3278"/>
    </row>
    <row r="55" spans="1:7">
      <c r="A55" s="3272" t="s">
        <v>110</v>
      </c>
      <c r="B55" s="3258" t="s">
        <v>2860</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2941</v>
      </c>
      <c r="C78" s="3263">
        <v>0.1</v>
      </c>
      <c r="D78" s="3263">
        <v>8.5000000000000006E-2</v>
      </c>
      <c r="E78" s="3263">
        <v>9.6000000000000002E-2</v>
      </c>
      <c r="F78" s="3274"/>
      <c r="G78" s="3264">
        <v>9.6000000000000002E-2</v>
      </c>
    </row>
    <row r="79" spans="1:7">
      <c r="A79" s="3273" t="s">
        <v>110</v>
      </c>
      <c r="B79" s="3262" t="s">
        <v>2944</v>
      </c>
      <c r="C79" s="3263">
        <v>0.05</v>
      </c>
      <c r="D79" s="3263">
        <v>9.6000000000000002E-2</v>
      </c>
      <c r="E79" s="3263">
        <v>9.5000000000000001E-2</v>
      </c>
      <c r="F79" s="3274"/>
      <c r="G79" s="3264">
        <v>9.8000000000000004E-2</v>
      </c>
    </row>
    <row r="80" spans="1:7">
      <c r="A80" s="3273" t="s">
        <v>110</v>
      </c>
      <c r="B80" s="3262" t="s">
        <v>2948</v>
      </c>
      <c r="C80" s="3263">
        <v>8.5999999999999993E-2</v>
      </c>
      <c r="D80" s="3279"/>
      <c r="E80" s="3263">
        <v>0.1</v>
      </c>
      <c r="F80" s="3274"/>
      <c r="G80" s="3275"/>
    </row>
    <row r="81" spans="1:7">
      <c r="A81" s="3273" t="s">
        <v>110</v>
      </c>
      <c r="B81" s="3262" t="s">
        <v>2953</v>
      </c>
      <c r="C81" s="3263">
        <v>9.6000000000000002E-2</v>
      </c>
      <c r="D81" s="3274"/>
      <c r="E81" s="3263">
        <v>9.8000000000000004E-2</v>
      </c>
      <c r="F81" s="3274"/>
      <c r="G81" s="3275"/>
    </row>
    <row r="82" spans="1:7">
      <c r="A82" s="3273" t="s">
        <v>110</v>
      </c>
      <c r="B82" s="3262" t="s">
        <v>2960</v>
      </c>
      <c r="C82" s="3279"/>
      <c r="D82" s="3274"/>
      <c r="E82" s="3263">
        <v>7.6999999999999999E-2</v>
      </c>
      <c r="F82" s="3274"/>
      <c r="G82" s="3275"/>
    </row>
    <row r="83" spans="1:7">
      <c r="A83" s="3273" t="s">
        <v>110</v>
      </c>
      <c r="B83" s="3262" t="s">
        <v>2966</v>
      </c>
      <c r="C83" s="3274"/>
      <c r="D83" s="3274"/>
      <c r="E83" s="3274"/>
      <c r="F83" s="3263">
        <v>0.1</v>
      </c>
      <c r="G83" s="3280"/>
    </row>
    <row r="84" spans="1:7">
      <c r="A84" s="3273" t="s">
        <v>110</v>
      </c>
      <c r="B84" s="3262" t="s">
        <v>2973</v>
      </c>
      <c r="C84" s="3274"/>
      <c r="D84" s="3274"/>
      <c r="E84" s="3274"/>
      <c r="F84" s="3263">
        <v>0.1</v>
      </c>
      <c r="G84" s="3280"/>
    </row>
    <row r="85" spans="1:7">
      <c r="A85" s="3273" t="s">
        <v>110</v>
      </c>
      <c r="B85" s="3262" t="s">
        <v>2980</v>
      </c>
      <c r="C85" s="3274"/>
      <c r="D85" s="3274"/>
      <c r="E85" s="3274"/>
      <c r="F85" s="3263">
        <v>0.1</v>
      </c>
      <c r="G85" s="3280"/>
    </row>
    <row r="86" spans="1:7" ht="14.25" thickBot="1">
      <c r="A86" s="3276" t="s">
        <v>110</v>
      </c>
      <c r="B86" s="3266" t="s">
        <v>2985</v>
      </c>
      <c r="C86" s="3267">
        <v>9.8000000000000004E-2</v>
      </c>
      <c r="D86" s="3267">
        <v>9.8000000000000004E-2</v>
      </c>
      <c r="E86" s="3267">
        <v>9.6000000000000002E-2</v>
      </c>
      <c r="F86" s="3277"/>
      <c r="G86" s="3269">
        <v>0.1</v>
      </c>
    </row>
    <row r="87" spans="1:7">
      <c r="A87" s="3272" t="s">
        <v>303</v>
      </c>
      <c r="B87" s="3258" t="s">
        <v>2861</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2954</v>
      </c>
      <c r="C113" s="3263">
        <v>0.1</v>
      </c>
      <c r="D113" s="3263">
        <v>0.1</v>
      </c>
      <c r="E113" s="3274"/>
      <c r="F113" s="3274"/>
      <c r="G113" s="3264">
        <v>0.1</v>
      </c>
    </row>
    <row r="114" spans="1:7">
      <c r="A114" s="3273" t="s">
        <v>303</v>
      </c>
      <c r="B114" s="3262" t="s">
        <v>2961</v>
      </c>
      <c r="C114" s="3263">
        <v>9.7000000000000003E-2</v>
      </c>
      <c r="D114" s="3263">
        <v>9.7000000000000003E-2</v>
      </c>
      <c r="E114" s="3274"/>
      <c r="F114" s="3274"/>
      <c r="G114" s="3264">
        <v>9.9000000000000005E-2</v>
      </c>
    </row>
    <row r="115" spans="1:7">
      <c r="A115" s="3273" t="s">
        <v>303</v>
      </c>
      <c r="B115" s="3262" t="s">
        <v>2967</v>
      </c>
      <c r="C115" s="3263">
        <v>0.1</v>
      </c>
      <c r="D115" s="3263">
        <v>0.1</v>
      </c>
      <c r="E115" s="3274"/>
      <c r="F115" s="3274"/>
      <c r="G115" s="3264">
        <v>0.1</v>
      </c>
    </row>
    <row r="116" spans="1:7">
      <c r="A116" s="3273" t="s">
        <v>303</v>
      </c>
      <c r="B116" s="3262" t="s">
        <v>2974</v>
      </c>
      <c r="C116" s="3263">
        <v>0.1</v>
      </c>
      <c r="D116" s="3263">
        <v>0.1</v>
      </c>
      <c r="E116" s="3274"/>
      <c r="F116" s="3274"/>
      <c r="G116" s="3264">
        <v>0.1</v>
      </c>
    </row>
    <row r="117" spans="1:7">
      <c r="A117" s="3273" t="s">
        <v>303</v>
      </c>
      <c r="B117" s="3262" t="s">
        <v>2981</v>
      </c>
      <c r="C117" s="3263">
        <v>9.7000000000000003E-2</v>
      </c>
      <c r="D117" s="3263">
        <v>9.7000000000000003E-2</v>
      </c>
      <c r="E117" s="3274"/>
      <c r="F117" s="3274"/>
      <c r="G117" s="3264">
        <v>9.7000000000000003E-2</v>
      </c>
    </row>
    <row r="118" spans="1:7">
      <c r="A118" s="3273" t="s">
        <v>303</v>
      </c>
      <c r="B118" s="3262" t="s">
        <v>2986</v>
      </c>
      <c r="C118" s="3263">
        <v>0.1</v>
      </c>
      <c r="D118" s="3263">
        <v>0.1</v>
      </c>
      <c r="E118" s="3274"/>
      <c r="F118" s="3274"/>
      <c r="G118" s="3264">
        <v>0.1</v>
      </c>
    </row>
    <row r="119" spans="1:7">
      <c r="A119" s="3273" t="s">
        <v>303</v>
      </c>
      <c r="B119" s="3262" t="s">
        <v>2990</v>
      </c>
      <c r="C119" s="3263">
        <v>5.0999999999999997E-2</v>
      </c>
      <c r="D119" s="3263">
        <v>5.1999999999999998E-2</v>
      </c>
      <c r="E119" s="3274"/>
      <c r="F119" s="3279"/>
      <c r="G119" s="3264">
        <v>0.06</v>
      </c>
    </row>
    <row r="120" spans="1:7">
      <c r="A120" s="3273" t="s">
        <v>303</v>
      </c>
      <c r="B120" s="3262" t="s">
        <v>2994</v>
      </c>
      <c r="C120" s="3274"/>
      <c r="D120" s="3274"/>
      <c r="E120" s="3274"/>
      <c r="F120" s="3263">
        <v>0.1</v>
      </c>
      <c r="G120" s="3280"/>
    </row>
    <row r="121" spans="1:7">
      <c r="A121" s="3273" t="s">
        <v>303</v>
      </c>
      <c r="B121" s="3262" t="s">
        <v>2999</v>
      </c>
      <c r="C121" s="3274"/>
      <c r="D121" s="3274"/>
      <c r="E121" s="3274"/>
      <c r="F121" s="3263">
        <v>0.1</v>
      </c>
      <c r="G121" s="3280"/>
    </row>
    <row r="122" spans="1:7">
      <c r="A122" s="3273" t="s">
        <v>303</v>
      </c>
      <c r="B122" s="3262" t="s">
        <v>3004</v>
      </c>
      <c r="C122" s="3263">
        <v>0.1</v>
      </c>
      <c r="D122" s="3263">
        <v>0.1</v>
      </c>
      <c r="E122" s="3263">
        <v>9.8000000000000004E-2</v>
      </c>
      <c r="F122" s="3263">
        <v>0.1</v>
      </c>
      <c r="G122" s="3264">
        <v>0.1</v>
      </c>
    </row>
    <row r="123" spans="1:7">
      <c r="A123" s="3273" t="s">
        <v>303</v>
      </c>
      <c r="B123" s="3262" t="s">
        <v>3009</v>
      </c>
      <c r="C123" s="3263">
        <v>0.1</v>
      </c>
      <c r="D123" s="3263">
        <v>0.1</v>
      </c>
      <c r="E123" s="3263">
        <v>9.8000000000000004E-2</v>
      </c>
      <c r="F123" s="3263">
        <v>0.1</v>
      </c>
      <c r="G123" s="3264">
        <v>0.1</v>
      </c>
    </row>
    <row r="124" spans="1:7">
      <c r="A124" s="3273" t="s">
        <v>303</v>
      </c>
      <c r="B124" s="3262" t="s">
        <v>3014</v>
      </c>
      <c r="C124" s="3263">
        <v>0.1</v>
      </c>
      <c r="D124" s="3263">
        <v>0.1</v>
      </c>
      <c r="E124" s="3263">
        <v>9.8000000000000004E-2</v>
      </c>
      <c r="F124" s="3279"/>
      <c r="G124" s="3264">
        <v>0.1</v>
      </c>
    </row>
    <row r="125" spans="1:7">
      <c r="A125" s="3273" t="s">
        <v>303</v>
      </c>
      <c r="B125" s="3262" t="s">
        <v>3019</v>
      </c>
      <c r="C125" s="3263">
        <v>9.8000000000000004E-2</v>
      </c>
      <c r="D125" s="3263">
        <v>9.8000000000000004E-2</v>
      </c>
      <c r="E125" s="3263">
        <v>9.6000000000000002E-2</v>
      </c>
      <c r="F125" s="3279"/>
      <c r="G125" s="3264">
        <v>0.1</v>
      </c>
    </row>
    <row r="126" spans="1:7" ht="14.25" thickBot="1">
      <c r="A126" s="3276" t="s">
        <v>303</v>
      </c>
      <c r="B126" s="3266" t="s">
        <v>3185</v>
      </c>
      <c r="C126" s="3267">
        <v>0.1</v>
      </c>
      <c r="D126" s="3267">
        <v>0.1</v>
      </c>
      <c r="E126" s="3267">
        <v>9.8000000000000004E-2</v>
      </c>
      <c r="F126" s="3267">
        <v>0.1</v>
      </c>
      <c r="G126" s="3269">
        <v>0.1</v>
      </c>
    </row>
    <row r="127" spans="1:7">
      <c r="A127" s="3272" t="s">
        <v>29</v>
      </c>
      <c r="B127" s="3258" t="s">
        <v>2862</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2932</v>
      </c>
      <c r="C148" s="3263">
        <v>0.13</v>
      </c>
      <c r="D148" s="3263">
        <v>0.13</v>
      </c>
      <c r="E148" s="3263">
        <v>0.13</v>
      </c>
      <c r="F148" s="3274"/>
      <c r="G148" s="3264">
        <v>0.13</v>
      </c>
    </row>
    <row r="149" spans="1:7">
      <c r="A149" s="3273" t="s">
        <v>29</v>
      </c>
      <c r="B149" s="3262" t="s">
        <v>2936</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2955</v>
      </c>
      <c r="C153" s="3263">
        <v>0.13</v>
      </c>
      <c r="D153" s="3263">
        <v>0.13</v>
      </c>
      <c r="E153" s="3263">
        <v>0.13</v>
      </c>
      <c r="F153" s="3263">
        <v>0.13</v>
      </c>
      <c r="G153" s="3264">
        <v>0.13</v>
      </c>
    </row>
    <row r="154" spans="1:7">
      <c r="A154" s="3273" t="s">
        <v>29</v>
      </c>
      <c r="B154" s="3262" t="s">
        <v>2962</v>
      </c>
      <c r="C154" s="3263">
        <v>0.121</v>
      </c>
      <c r="D154" s="3263">
        <v>0.121</v>
      </c>
      <c r="E154" s="3263">
        <v>0.105</v>
      </c>
      <c r="F154" s="3263">
        <v>0.121</v>
      </c>
      <c r="G154" s="3264">
        <v>0.123</v>
      </c>
    </row>
    <row r="155" spans="1:7">
      <c r="A155" s="3273" t="s">
        <v>29</v>
      </c>
      <c r="B155" s="3262" t="s">
        <v>2968</v>
      </c>
      <c r="C155" s="3263">
        <v>0.1</v>
      </c>
      <c r="D155" s="3263">
        <v>0.1</v>
      </c>
      <c r="E155" s="3263">
        <v>0.1</v>
      </c>
      <c r="F155" s="3263">
        <v>0.1</v>
      </c>
      <c r="G155" s="3264">
        <v>0.1</v>
      </c>
    </row>
    <row r="156" spans="1:7">
      <c r="A156" s="3273" t="s">
        <v>29</v>
      </c>
      <c r="B156" s="3262" t="s">
        <v>2975</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2995</v>
      </c>
      <c r="C160" s="3263">
        <v>0.13</v>
      </c>
      <c r="D160" s="3263">
        <v>0.13</v>
      </c>
      <c r="E160" s="3263">
        <v>0.124</v>
      </c>
      <c r="F160" s="3263">
        <v>0.126</v>
      </c>
      <c r="G160" s="3264">
        <v>0.13</v>
      </c>
    </row>
    <row r="161" spans="1:7">
      <c r="A161" s="3273" t="s">
        <v>29</v>
      </c>
      <c r="B161" s="3262" t="s">
        <v>3000</v>
      </c>
      <c r="C161" s="3263">
        <v>0.13</v>
      </c>
      <c r="D161" s="3263">
        <v>0.13</v>
      </c>
      <c r="E161" s="3263">
        <v>0.124</v>
      </c>
      <c r="F161" s="3263">
        <v>0.127</v>
      </c>
      <c r="G161" s="3264">
        <v>0.13</v>
      </c>
    </row>
    <row r="162" spans="1:7">
      <c r="A162" s="3273" t="s">
        <v>29</v>
      </c>
      <c r="B162" s="3262" t="s">
        <v>3005</v>
      </c>
      <c r="C162" s="3263">
        <v>0.1</v>
      </c>
      <c r="D162" s="3263">
        <v>0.1</v>
      </c>
      <c r="E162" s="3263">
        <v>0.1</v>
      </c>
      <c r="F162" s="3263">
        <v>0.121</v>
      </c>
      <c r="G162" s="3264">
        <v>0.105</v>
      </c>
    </row>
    <row r="163" spans="1:7">
      <c r="A163" s="3273" t="s">
        <v>29</v>
      </c>
      <c r="B163" s="3262" t="s">
        <v>3010</v>
      </c>
      <c r="C163" s="3263">
        <v>0.1</v>
      </c>
      <c r="D163" s="3263">
        <v>0.1</v>
      </c>
      <c r="E163" s="3263">
        <v>0.1</v>
      </c>
      <c r="F163" s="3263">
        <v>0.1</v>
      </c>
      <c r="G163" s="3264">
        <v>0.1</v>
      </c>
    </row>
    <row r="164" spans="1:7">
      <c r="A164" s="3273" t="s">
        <v>29</v>
      </c>
      <c r="B164" s="3262" t="s">
        <v>3015</v>
      </c>
      <c r="C164" s="3279"/>
      <c r="D164" s="3279"/>
      <c r="E164" s="3279"/>
      <c r="F164" s="3263">
        <v>0.1</v>
      </c>
      <c r="G164" s="3275"/>
    </row>
    <row r="165" spans="1:7">
      <c r="A165" s="3273" t="s">
        <v>29</v>
      </c>
      <c r="B165" s="3262" t="s">
        <v>3186</v>
      </c>
      <c r="C165" s="3263">
        <v>0.126</v>
      </c>
      <c r="D165" s="3263">
        <v>0.126</v>
      </c>
      <c r="E165" s="3263">
        <v>0.11899999999999999</v>
      </c>
      <c r="F165" s="3263">
        <v>0.13</v>
      </c>
      <c r="G165" s="3264">
        <v>0.128</v>
      </c>
    </row>
    <row r="166" spans="1:7">
      <c r="A166" s="3273" t="s">
        <v>29</v>
      </c>
      <c r="B166" s="3262" t="s">
        <v>3025</v>
      </c>
      <c r="C166" s="3263">
        <v>0.129</v>
      </c>
      <c r="D166" s="3263">
        <v>0.129</v>
      </c>
      <c r="E166" s="3263">
        <v>0.123</v>
      </c>
      <c r="F166" s="3263">
        <v>0.128</v>
      </c>
      <c r="G166" s="3264">
        <v>0.13</v>
      </c>
    </row>
    <row r="167" spans="1:7">
      <c r="A167" s="3273" t="s">
        <v>29</v>
      </c>
      <c r="B167" s="3262" t="s">
        <v>3029</v>
      </c>
      <c r="C167" s="3263">
        <v>0.125</v>
      </c>
      <c r="D167" s="3263">
        <v>0.125</v>
      </c>
      <c r="E167" s="3263">
        <v>0.11700000000000001</v>
      </c>
      <c r="F167" s="3263">
        <v>0.13</v>
      </c>
      <c r="G167" s="3264">
        <v>0.126</v>
      </c>
    </row>
    <row r="168" spans="1:7">
      <c r="A168" s="3273" t="s">
        <v>29</v>
      </c>
      <c r="B168" s="3262" t="s">
        <v>3034</v>
      </c>
      <c r="C168" s="3263">
        <v>0.128</v>
      </c>
      <c r="D168" s="3263">
        <v>0.128</v>
      </c>
      <c r="E168" s="3263">
        <v>0.123</v>
      </c>
      <c r="F168" s="3274"/>
      <c r="G168" s="3264">
        <v>0.13</v>
      </c>
    </row>
    <row r="169" spans="1:7">
      <c r="A169" s="3273" t="s">
        <v>29</v>
      </c>
      <c r="B169" s="3262" t="s">
        <v>3187</v>
      </c>
      <c r="C169" s="3279"/>
      <c r="D169" s="3279"/>
      <c r="E169" s="3279"/>
      <c r="F169" s="3263">
        <v>0.05</v>
      </c>
      <c r="G169" s="3275"/>
    </row>
    <row r="170" spans="1:7">
      <c r="A170" s="3273" t="s">
        <v>29</v>
      </c>
      <c r="B170" s="3262" t="s">
        <v>3188</v>
      </c>
      <c r="C170" s="3279"/>
      <c r="D170" s="3279"/>
      <c r="E170" s="3279"/>
      <c r="F170" s="3263">
        <v>0.05</v>
      </c>
      <c r="G170" s="3275"/>
    </row>
    <row r="171" spans="1:7">
      <c r="A171" s="3273" t="s">
        <v>29</v>
      </c>
      <c r="B171" s="3262" t="s">
        <v>3189</v>
      </c>
      <c r="C171" s="3279"/>
      <c r="D171" s="3279"/>
      <c r="E171" s="3279"/>
      <c r="F171" s="3263">
        <v>0.05</v>
      </c>
      <c r="G171" s="3280"/>
    </row>
    <row r="172" spans="1:7">
      <c r="A172" s="3273" t="s">
        <v>29</v>
      </c>
      <c r="B172" s="3262" t="s">
        <v>3190</v>
      </c>
      <c r="C172" s="3279"/>
      <c r="D172" s="3279"/>
      <c r="E172" s="3279"/>
      <c r="F172" s="3263">
        <v>0.05</v>
      </c>
      <c r="G172" s="3280"/>
    </row>
    <row r="173" spans="1:7">
      <c r="A173" s="3273" t="s">
        <v>29</v>
      </c>
      <c r="B173" s="3262" t="s">
        <v>3191</v>
      </c>
      <c r="C173" s="3279"/>
      <c r="D173" s="3279"/>
      <c r="E173" s="3279"/>
      <c r="F173" s="3263">
        <v>0.05</v>
      </c>
      <c r="G173" s="3275"/>
    </row>
    <row r="174" spans="1:7">
      <c r="A174" s="3273" t="s">
        <v>29</v>
      </c>
      <c r="B174" s="3262" t="s">
        <v>3192</v>
      </c>
      <c r="C174" s="3279"/>
      <c r="D174" s="3279"/>
      <c r="E174" s="3279"/>
      <c r="F174" s="3263">
        <v>0.05</v>
      </c>
      <c r="G174" s="3275"/>
    </row>
    <row r="175" spans="1:7">
      <c r="A175" s="3273" t="s">
        <v>29</v>
      </c>
      <c r="B175" s="3262" t="s">
        <v>3193</v>
      </c>
      <c r="C175" s="3279"/>
      <c r="D175" s="3279"/>
      <c r="E175" s="3279"/>
      <c r="F175" s="3263">
        <v>0.05</v>
      </c>
      <c r="G175" s="3275"/>
    </row>
    <row r="176" spans="1:7">
      <c r="A176" s="3273" t="s">
        <v>29</v>
      </c>
      <c r="B176" s="3262" t="s">
        <v>3194</v>
      </c>
      <c r="C176" s="3279"/>
      <c r="D176" s="3279"/>
      <c r="E176" s="3279"/>
      <c r="F176" s="3263">
        <v>0.05</v>
      </c>
      <c r="G176" s="3275"/>
    </row>
    <row r="177" spans="1:7">
      <c r="A177" s="3273" t="s">
        <v>29</v>
      </c>
      <c r="B177" s="3262" t="s">
        <v>3195</v>
      </c>
      <c r="C177" s="3274"/>
      <c r="D177" s="3274"/>
      <c r="E177" s="3274"/>
      <c r="F177" s="3263">
        <v>0.05</v>
      </c>
      <c r="G177" s="3280"/>
    </row>
    <row r="178" spans="1:7">
      <c r="A178" s="3273" t="s">
        <v>29</v>
      </c>
      <c r="B178" s="3262" t="s">
        <v>3196</v>
      </c>
      <c r="C178" s="3274"/>
      <c r="D178" s="3274"/>
      <c r="E178" s="3274"/>
      <c r="F178" s="3263">
        <v>0.05</v>
      </c>
      <c r="G178" s="3280"/>
    </row>
    <row r="179" spans="1:7">
      <c r="A179" s="3273" t="s">
        <v>29</v>
      </c>
      <c r="B179" s="3262" t="s">
        <v>3197</v>
      </c>
      <c r="C179" s="3274"/>
      <c r="D179" s="3274"/>
      <c r="E179" s="3274"/>
      <c r="F179" s="3263">
        <v>0.05</v>
      </c>
      <c r="G179" s="3280"/>
    </row>
    <row r="180" spans="1:7">
      <c r="A180" s="3273" t="s">
        <v>29</v>
      </c>
      <c r="B180" s="3262" t="s">
        <v>3198</v>
      </c>
      <c r="C180" s="3274"/>
      <c r="D180" s="3274"/>
      <c r="E180" s="3274"/>
      <c r="F180" s="3263">
        <v>0.05</v>
      </c>
      <c r="G180" s="3280"/>
    </row>
    <row r="181" spans="1:7">
      <c r="A181" s="3273" t="s">
        <v>29</v>
      </c>
      <c r="B181" s="3262" t="s">
        <v>3199</v>
      </c>
      <c r="C181" s="3274"/>
      <c r="D181" s="3274"/>
      <c r="E181" s="3274"/>
      <c r="F181" s="3263">
        <v>0.05</v>
      </c>
      <c r="G181" s="3280"/>
    </row>
    <row r="182" spans="1:7">
      <c r="A182" s="3273" t="s">
        <v>29</v>
      </c>
      <c r="B182" s="3262" t="s">
        <v>3200</v>
      </c>
      <c r="C182" s="3274"/>
      <c r="D182" s="3274"/>
      <c r="E182" s="3274"/>
      <c r="F182" s="3263">
        <v>0.05</v>
      </c>
      <c r="G182" s="3280"/>
    </row>
    <row r="183" spans="1:7">
      <c r="A183" s="3273" t="s">
        <v>29</v>
      </c>
      <c r="B183" s="3262" t="s">
        <v>3201</v>
      </c>
      <c r="C183" s="3274"/>
      <c r="D183" s="3274"/>
      <c r="E183" s="3274"/>
      <c r="F183" s="3263">
        <v>0.05</v>
      </c>
      <c r="G183" s="3280"/>
    </row>
    <row r="184" spans="1:7">
      <c r="A184" s="3273" t="s">
        <v>29</v>
      </c>
      <c r="B184" s="3262" t="s">
        <v>3202</v>
      </c>
      <c r="C184" s="3274"/>
      <c r="D184" s="3274"/>
      <c r="E184" s="3274"/>
      <c r="F184" s="3263">
        <v>0.05</v>
      </c>
      <c r="G184" s="3280"/>
    </row>
    <row r="185" spans="1:7">
      <c r="A185" s="3273" t="s">
        <v>29</v>
      </c>
      <c r="B185" s="3262" t="s">
        <v>3203</v>
      </c>
      <c r="C185" s="3274"/>
      <c r="D185" s="3274"/>
      <c r="E185" s="3274"/>
      <c r="F185" s="3263">
        <v>0.05</v>
      </c>
      <c r="G185" s="3280"/>
    </row>
    <row r="186" spans="1:7">
      <c r="A186" s="3273" t="s">
        <v>29</v>
      </c>
      <c r="B186" s="3262" t="s">
        <v>3204</v>
      </c>
      <c r="C186" s="3274"/>
      <c r="D186" s="3274"/>
      <c r="E186" s="3274"/>
      <c r="F186" s="3263">
        <v>0.05</v>
      </c>
      <c r="G186" s="3280"/>
    </row>
    <row r="187" spans="1:7">
      <c r="A187" s="3273" t="s">
        <v>29</v>
      </c>
      <c r="B187" s="3262" t="s">
        <v>3205</v>
      </c>
      <c r="C187" s="3274"/>
      <c r="D187" s="3274"/>
      <c r="E187" s="3274"/>
      <c r="F187" s="3263">
        <v>0.05</v>
      </c>
      <c r="G187" s="3280"/>
    </row>
    <row r="188" spans="1:7">
      <c r="A188" s="3273" t="s">
        <v>29</v>
      </c>
      <c r="B188" s="3262" t="s">
        <v>3206</v>
      </c>
      <c r="C188" s="3274"/>
      <c r="D188" s="3274"/>
      <c r="E188" s="3274"/>
      <c r="F188" s="3263">
        <v>0.05</v>
      </c>
      <c r="G188" s="3280"/>
    </row>
    <row r="189" spans="1:7" ht="14.25" thickBot="1">
      <c r="A189" s="3276" t="s">
        <v>29</v>
      </c>
      <c r="B189" s="3266" t="s">
        <v>3207</v>
      </c>
      <c r="C189" s="3268"/>
      <c r="D189" s="3268"/>
      <c r="E189" s="3268"/>
      <c r="F189" s="3267">
        <v>0.05</v>
      </c>
      <c r="G189" s="3281"/>
    </row>
    <row r="190" spans="1:7">
      <c r="A190" s="3272" t="s">
        <v>304</v>
      </c>
      <c r="B190" s="3258" t="s">
        <v>2863</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2899</v>
      </c>
      <c r="C199" s="3263">
        <v>0.13</v>
      </c>
      <c r="D199" s="3263">
        <v>0.13</v>
      </c>
      <c r="E199" s="3263">
        <v>0.13</v>
      </c>
      <c r="F199" s="3263">
        <v>0.13</v>
      </c>
      <c r="G199" s="3264">
        <v>0.13</v>
      </c>
    </row>
    <row r="200" spans="1:7">
      <c r="A200" s="3273" t="s">
        <v>304</v>
      </c>
      <c r="B200" s="3262" t="s">
        <v>2902</v>
      </c>
      <c r="C200" s="3279"/>
      <c r="D200" s="3279"/>
      <c r="E200" s="3279"/>
      <c r="F200" s="3263">
        <v>0.13</v>
      </c>
      <c r="G200" s="3275"/>
    </row>
    <row r="201" spans="1:7">
      <c r="A201" s="3273" t="s">
        <v>304</v>
      </c>
      <c r="B201" s="3262" t="s">
        <v>2907</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2910</v>
      </c>
      <c r="C203" s="3263">
        <v>0.129</v>
      </c>
      <c r="D203" s="3263">
        <v>0.129</v>
      </c>
      <c r="E203" s="3263">
        <v>0.13</v>
      </c>
      <c r="F203" s="3263">
        <v>0.13</v>
      </c>
      <c r="G203" s="3264">
        <v>0.13</v>
      </c>
    </row>
    <row r="204" spans="1:7">
      <c r="A204" s="3273" t="s">
        <v>304</v>
      </c>
      <c r="B204" s="3262" t="s">
        <v>2913</v>
      </c>
      <c r="C204" s="3263">
        <v>0.129</v>
      </c>
      <c r="D204" s="3263">
        <v>0.129</v>
      </c>
      <c r="E204" s="3263">
        <v>0.123</v>
      </c>
      <c r="F204" s="3263">
        <v>0.13</v>
      </c>
      <c r="G204" s="3264">
        <v>0.13</v>
      </c>
    </row>
    <row r="205" spans="1:7">
      <c r="A205" s="3273" t="s">
        <v>304</v>
      </c>
      <c r="B205" s="3262" t="s">
        <v>2915</v>
      </c>
      <c r="C205" s="3263">
        <v>0.13</v>
      </c>
      <c r="D205" s="3263">
        <v>0.13</v>
      </c>
      <c r="E205" s="3263">
        <v>0.13</v>
      </c>
      <c r="F205" s="3263">
        <v>0.13</v>
      </c>
      <c r="G205" s="3264">
        <v>0.13</v>
      </c>
    </row>
    <row r="206" spans="1:7">
      <c r="A206" s="3273" t="s">
        <v>304</v>
      </c>
      <c r="B206" s="3262" t="s">
        <v>2918</v>
      </c>
      <c r="C206" s="3263">
        <v>0.13</v>
      </c>
      <c r="D206" s="3263">
        <v>0.13</v>
      </c>
      <c r="E206" s="3263">
        <v>0.13</v>
      </c>
      <c r="F206" s="3263">
        <v>0.128</v>
      </c>
      <c r="G206" s="3264">
        <v>0.13</v>
      </c>
    </row>
    <row r="207" spans="1:7">
      <c r="A207" s="3273" t="s">
        <v>304</v>
      </c>
      <c r="B207" s="3262" t="s">
        <v>2920</v>
      </c>
      <c r="C207" s="3263">
        <v>0.13</v>
      </c>
      <c r="D207" s="3263">
        <v>0.13</v>
      </c>
      <c r="E207" s="3263">
        <v>0.13</v>
      </c>
      <c r="F207" s="3263">
        <v>0.13</v>
      </c>
      <c r="G207" s="3264">
        <v>0.13</v>
      </c>
    </row>
    <row r="208" spans="1:7">
      <c r="A208" s="3273" t="s">
        <v>304</v>
      </c>
      <c r="B208" s="3262" t="s">
        <v>2923</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2930</v>
      </c>
      <c r="C210" s="3263">
        <v>0.121</v>
      </c>
      <c r="D210" s="3263">
        <v>0.121</v>
      </c>
      <c r="E210" s="3263">
        <v>0.125</v>
      </c>
      <c r="F210" s="3263">
        <v>0.13</v>
      </c>
      <c r="G210" s="3264">
        <v>0.123</v>
      </c>
    </row>
    <row r="211" spans="1:7">
      <c r="A211" s="3273" t="s">
        <v>304</v>
      </c>
      <c r="B211" s="3262" t="s">
        <v>2933</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2945</v>
      </c>
      <c r="C214" s="3263">
        <v>0.128</v>
      </c>
      <c r="D214" s="3263">
        <v>0.128</v>
      </c>
      <c r="E214" s="3263">
        <v>0.13</v>
      </c>
      <c r="F214" s="3263">
        <v>0.13</v>
      </c>
      <c r="G214" s="3264">
        <v>0.13</v>
      </c>
    </row>
    <row r="215" spans="1:7">
      <c r="A215" s="3273" t="s">
        <v>304</v>
      </c>
      <c r="B215" s="3262" t="s">
        <v>2949</v>
      </c>
      <c r="C215" s="3263">
        <v>0.13</v>
      </c>
      <c r="D215" s="3263">
        <v>0.13</v>
      </c>
      <c r="E215" s="3263">
        <v>0.13</v>
      </c>
      <c r="F215" s="3263">
        <v>0.129</v>
      </c>
      <c r="G215" s="3264">
        <v>0.13</v>
      </c>
    </row>
    <row r="216" spans="1:7">
      <c r="A216" s="3273" t="s">
        <v>304</v>
      </c>
      <c r="B216" s="3262" t="s">
        <v>2956</v>
      </c>
      <c r="C216" s="3263">
        <v>0.13</v>
      </c>
      <c r="D216" s="3263">
        <v>0.13</v>
      </c>
      <c r="E216" s="3263">
        <v>0.13</v>
      </c>
      <c r="F216" s="3263">
        <v>0.13</v>
      </c>
      <c r="G216" s="3264">
        <v>0.13</v>
      </c>
    </row>
    <row r="217" spans="1:7">
      <c r="A217" s="3273" t="s">
        <v>304</v>
      </c>
      <c r="B217" s="3262" t="s">
        <v>2963</v>
      </c>
      <c r="C217" s="3263">
        <v>0.129</v>
      </c>
      <c r="D217" s="3263">
        <v>0.129</v>
      </c>
      <c r="E217" s="3263">
        <v>0.13</v>
      </c>
      <c r="F217" s="3263">
        <v>0.13</v>
      </c>
      <c r="G217" s="3264">
        <v>0.13</v>
      </c>
    </row>
    <row r="218" spans="1:7">
      <c r="A218" s="3273" t="s">
        <v>304</v>
      </c>
      <c r="B218" s="3262" t="s">
        <v>2969</v>
      </c>
      <c r="C218" s="3274"/>
      <c r="D218" s="3274"/>
      <c r="E218" s="3274"/>
      <c r="F218" s="3263">
        <v>0.05</v>
      </c>
      <c r="G218" s="3280"/>
    </row>
    <row r="219" spans="1:7">
      <c r="A219" s="3273" t="s">
        <v>304</v>
      </c>
      <c r="B219" s="3262" t="s">
        <v>2976</v>
      </c>
      <c r="C219" s="3274"/>
      <c r="D219" s="3274"/>
      <c r="E219" s="3274"/>
      <c r="F219" s="3263">
        <v>0.05</v>
      </c>
      <c r="G219" s="3280"/>
    </row>
    <row r="220" spans="1:7">
      <c r="A220" s="3273" t="s">
        <v>304</v>
      </c>
      <c r="B220" s="3262" t="s">
        <v>2982</v>
      </c>
      <c r="C220" s="3274"/>
      <c r="D220" s="3274"/>
      <c r="E220" s="3274"/>
      <c r="F220" s="3263">
        <v>0.05</v>
      </c>
      <c r="G220" s="3280"/>
    </row>
    <row r="221" spans="1:7">
      <c r="A221" s="3273" t="s">
        <v>304</v>
      </c>
      <c r="B221" s="3262" t="s">
        <v>2987</v>
      </c>
      <c r="C221" s="3274"/>
      <c r="D221" s="3274"/>
      <c r="E221" s="3274"/>
      <c r="F221" s="3263">
        <v>0.05</v>
      </c>
      <c r="G221" s="3280"/>
    </row>
    <row r="222" spans="1:7">
      <c r="A222" s="3273" t="s">
        <v>304</v>
      </c>
      <c r="B222" s="3262" t="s">
        <v>2991</v>
      </c>
      <c r="C222" s="3274"/>
      <c r="D222" s="3274"/>
      <c r="E222" s="3274"/>
      <c r="F222" s="3263">
        <v>0.05</v>
      </c>
      <c r="G222" s="3280"/>
    </row>
    <row r="223" spans="1:7">
      <c r="A223" s="3273" t="s">
        <v>304</v>
      </c>
      <c r="B223" s="3262" t="s">
        <v>2996</v>
      </c>
      <c r="C223" s="3274"/>
      <c r="D223" s="3274"/>
      <c r="E223" s="3274"/>
      <c r="F223" s="3263">
        <v>0.05</v>
      </c>
      <c r="G223" s="3280"/>
    </row>
    <row r="224" spans="1:7">
      <c r="A224" s="3273" t="s">
        <v>304</v>
      </c>
      <c r="B224" s="3262" t="s">
        <v>3001</v>
      </c>
      <c r="C224" s="3274"/>
      <c r="D224" s="3274"/>
      <c r="E224" s="3274"/>
      <c r="F224" s="3263">
        <v>0.05</v>
      </c>
      <c r="G224" s="3280"/>
    </row>
    <row r="225" spans="1:7">
      <c r="A225" s="3273" t="s">
        <v>304</v>
      </c>
      <c r="B225" s="3262" t="s">
        <v>3006</v>
      </c>
      <c r="C225" s="3274"/>
      <c r="D225" s="3274"/>
      <c r="E225" s="3274"/>
      <c r="F225" s="3263">
        <v>0.05</v>
      </c>
      <c r="G225" s="3280"/>
    </row>
    <row r="226" spans="1:7">
      <c r="A226" s="3273" t="s">
        <v>304</v>
      </c>
      <c r="B226" s="3262" t="s">
        <v>3208</v>
      </c>
      <c r="C226" s="3274"/>
      <c r="D226" s="3274"/>
      <c r="E226" s="3274"/>
      <c r="F226" s="3263">
        <v>0.05</v>
      </c>
      <c r="G226" s="3280"/>
    </row>
    <row r="227" spans="1:7">
      <c r="A227" s="3273" t="s">
        <v>304</v>
      </c>
      <c r="B227" s="3262" t="s">
        <v>3209</v>
      </c>
      <c r="C227" s="3274"/>
      <c r="D227" s="3274"/>
      <c r="E227" s="3274"/>
      <c r="F227" s="3263">
        <v>0.05</v>
      </c>
      <c r="G227" s="3280"/>
    </row>
    <row r="228" spans="1:7">
      <c r="A228" s="3273" t="s">
        <v>304</v>
      </c>
      <c r="B228" s="3262" t="s">
        <v>3210</v>
      </c>
      <c r="C228" s="3274"/>
      <c r="D228" s="3274"/>
      <c r="E228" s="3274"/>
      <c r="F228" s="3263">
        <v>0.05</v>
      </c>
      <c r="G228" s="3280"/>
    </row>
    <row r="229" spans="1:7">
      <c r="A229" s="3273" t="s">
        <v>304</v>
      </c>
      <c r="B229" s="3262" t="s">
        <v>3211</v>
      </c>
      <c r="C229" s="3274"/>
      <c r="D229" s="3274"/>
      <c r="E229" s="3274"/>
      <c r="F229" s="3263">
        <v>0.05</v>
      </c>
      <c r="G229" s="3280"/>
    </row>
    <row r="230" spans="1:7">
      <c r="A230" s="3273" t="s">
        <v>304</v>
      </c>
      <c r="B230" s="3262" t="s">
        <v>3212</v>
      </c>
      <c r="C230" s="3274"/>
      <c r="D230" s="3274"/>
      <c r="E230" s="3274"/>
      <c r="F230" s="3263">
        <v>0.05</v>
      </c>
      <c r="G230" s="3280"/>
    </row>
    <row r="231" spans="1:7">
      <c r="A231" s="3273" t="s">
        <v>304</v>
      </c>
      <c r="B231" s="3262" t="s">
        <v>3213</v>
      </c>
      <c r="C231" s="3274"/>
      <c r="D231" s="3274"/>
      <c r="E231" s="3274"/>
      <c r="F231" s="3263">
        <v>0.05</v>
      </c>
      <c r="G231" s="3280"/>
    </row>
    <row r="232" spans="1:7">
      <c r="A232" s="3273" t="s">
        <v>304</v>
      </c>
      <c r="B232" s="3262" t="s">
        <v>3214</v>
      </c>
      <c r="C232" s="3274"/>
      <c r="D232" s="3274"/>
      <c r="E232" s="3274"/>
      <c r="F232" s="3263">
        <v>0.05</v>
      </c>
      <c r="G232" s="3280"/>
    </row>
    <row r="233" spans="1:7" ht="14.25" thickBot="1">
      <c r="A233" s="3276" t="s">
        <v>304</v>
      </c>
      <c r="B233" s="3266" t="s">
        <v>3215</v>
      </c>
      <c r="C233" s="3268"/>
      <c r="D233" s="3268"/>
      <c r="E233" s="3268"/>
      <c r="F233" s="3267">
        <v>0.05</v>
      </c>
      <c r="G233" s="3281"/>
    </row>
    <row r="234" spans="1:7">
      <c r="A234" s="3272" t="s">
        <v>305</v>
      </c>
      <c r="B234" s="3258" t="s">
        <v>2864</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2884</v>
      </c>
      <c r="C238" s="3263">
        <v>0.14899999999999999</v>
      </c>
      <c r="D238" s="3263">
        <v>0.14899999999999999</v>
      </c>
      <c r="E238" s="3263">
        <v>0.15</v>
      </c>
      <c r="F238" s="3263">
        <v>0.15</v>
      </c>
      <c r="G238" s="3264">
        <v>0.15</v>
      </c>
    </row>
    <row r="239" spans="1:7">
      <c r="A239" s="3273" t="s">
        <v>305</v>
      </c>
      <c r="B239" s="3262" t="s">
        <v>2888</v>
      </c>
      <c r="C239" s="3263">
        <v>0.15</v>
      </c>
      <c r="D239" s="3263">
        <v>0.15</v>
      </c>
      <c r="E239" s="3263">
        <v>0.15</v>
      </c>
      <c r="F239" s="3263">
        <v>0.15</v>
      </c>
      <c r="G239" s="3264">
        <v>0.15</v>
      </c>
    </row>
    <row r="240" spans="1:7">
      <c r="A240" s="3273" t="s">
        <v>305</v>
      </c>
      <c r="B240" s="3262" t="s">
        <v>2893</v>
      </c>
      <c r="C240" s="3263">
        <v>0.15</v>
      </c>
      <c r="D240" s="3263">
        <v>0.15</v>
      </c>
      <c r="E240" s="3263">
        <v>0.15</v>
      </c>
      <c r="F240" s="3263">
        <v>0.15</v>
      </c>
      <c r="G240" s="3264">
        <v>0.15</v>
      </c>
    </row>
    <row r="241" spans="1:7">
      <c r="A241" s="3273" t="s">
        <v>305</v>
      </c>
      <c r="B241" s="3262" t="s">
        <v>2897</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2903</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2911</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2916</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2924</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2937</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2946</v>
      </c>
      <c r="C258" s="3263">
        <v>0.14299999999999999</v>
      </c>
      <c r="D258" s="3263">
        <v>0.14299999999999999</v>
      </c>
      <c r="E258" s="3263">
        <v>0.15</v>
      </c>
      <c r="F258" s="3263">
        <v>0.14799999999999999</v>
      </c>
      <c r="G258" s="3264">
        <v>0.14599999999999999</v>
      </c>
    </row>
    <row r="259" spans="1:7">
      <c r="A259" s="3273" t="s">
        <v>305</v>
      </c>
      <c r="B259" s="3262" t="s">
        <v>2950</v>
      </c>
      <c r="C259" s="3263">
        <v>0.14399999999999999</v>
      </c>
      <c r="D259" s="3263">
        <v>0.14399999999999999</v>
      </c>
      <c r="E259" s="3263">
        <v>0.14899999999999999</v>
      </c>
      <c r="F259" s="3263">
        <v>0.14699999999999999</v>
      </c>
      <c r="G259" s="3264">
        <v>0.14599999999999999</v>
      </c>
    </row>
    <row r="260" spans="1:7">
      <c r="A260" s="3273" t="s">
        <v>305</v>
      </c>
      <c r="B260" s="3262" t="s">
        <v>2957</v>
      </c>
      <c r="C260" s="3263">
        <v>0.109</v>
      </c>
      <c r="D260" s="3263">
        <v>0.111</v>
      </c>
      <c r="E260" s="3263">
        <v>0.13100000000000001</v>
      </c>
      <c r="F260" s="3263">
        <v>0.126</v>
      </c>
      <c r="G260" s="3264">
        <v>0.11899999999999999</v>
      </c>
    </row>
    <row r="261" spans="1:7">
      <c r="A261" s="3273" t="s">
        <v>305</v>
      </c>
      <c r="B261" s="3262" t="s">
        <v>2964</v>
      </c>
      <c r="C261" s="3263">
        <v>0.1</v>
      </c>
      <c r="D261" s="3263">
        <v>0.1</v>
      </c>
      <c r="E261" s="3263">
        <v>0.11799999999999999</v>
      </c>
      <c r="F261" s="3263">
        <v>0.108</v>
      </c>
      <c r="G261" s="3264">
        <v>0.107</v>
      </c>
    </row>
    <row r="262" spans="1:7">
      <c r="A262" s="3273" t="s">
        <v>305</v>
      </c>
      <c r="B262" s="3262" t="s">
        <v>2970</v>
      </c>
      <c r="C262" s="3263">
        <v>0.1</v>
      </c>
      <c r="D262" s="3263">
        <v>0.1</v>
      </c>
      <c r="E262" s="3263">
        <v>0.1</v>
      </c>
      <c r="F262" s="3263">
        <v>0.14099999999999999</v>
      </c>
      <c r="G262" s="3264">
        <v>0.1</v>
      </c>
    </row>
    <row r="263" spans="1:7">
      <c r="A263" s="3273" t="s">
        <v>305</v>
      </c>
      <c r="B263" s="3262" t="s">
        <v>2977</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2988</v>
      </c>
      <c r="C265" s="3274"/>
      <c r="D265" s="3274"/>
      <c r="E265" s="3274"/>
      <c r="F265" s="3263">
        <v>0.05</v>
      </c>
      <c r="G265" s="3280"/>
    </row>
    <row r="266" spans="1:7">
      <c r="A266" s="3273" t="s">
        <v>305</v>
      </c>
      <c r="B266" s="3262" t="s">
        <v>2992</v>
      </c>
      <c r="C266" s="3274"/>
      <c r="D266" s="3274"/>
      <c r="E266" s="3274"/>
      <c r="F266" s="3263">
        <v>0.05</v>
      </c>
      <c r="G266" s="3280"/>
    </row>
    <row r="267" spans="1:7">
      <c r="A267" s="3273" t="s">
        <v>305</v>
      </c>
      <c r="B267" s="3262" t="s">
        <v>2997</v>
      </c>
      <c r="C267" s="3274"/>
      <c r="D267" s="3274"/>
      <c r="E267" s="3274"/>
      <c r="F267" s="3263">
        <v>0.05</v>
      </c>
      <c r="G267" s="3280"/>
    </row>
    <row r="268" spans="1:7">
      <c r="A268" s="3273" t="s">
        <v>305</v>
      </c>
      <c r="B268" s="3262" t="s">
        <v>3002</v>
      </c>
      <c r="C268" s="3274"/>
      <c r="D268" s="3274"/>
      <c r="E268" s="3274"/>
      <c r="F268" s="3263">
        <v>0.05</v>
      </c>
      <c r="G268" s="3280"/>
    </row>
    <row r="269" spans="1:7">
      <c r="A269" s="3273" t="s">
        <v>305</v>
      </c>
      <c r="B269" s="3262" t="s">
        <v>3007</v>
      </c>
      <c r="C269" s="3274"/>
      <c r="D269" s="3274"/>
      <c r="E269" s="3274"/>
      <c r="F269" s="3263">
        <v>0.05</v>
      </c>
      <c r="G269" s="3280"/>
    </row>
    <row r="270" spans="1:7">
      <c r="A270" s="3273" t="s">
        <v>305</v>
      </c>
      <c r="B270" s="3262" t="s">
        <v>3012</v>
      </c>
      <c r="C270" s="3274"/>
      <c r="D270" s="3274"/>
      <c r="E270" s="3274"/>
      <c r="F270" s="3263">
        <v>0.05</v>
      </c>
      <c r="G270" s="3280"/>
    </row>
    <row r="271" spans="1:7">
      <c r="A271" s="3273" t="s">
        <v>305</v>
      </c>
      <c r="B271" s="3262" t="s">
        <v>3216</v>
      </c>
      <c r="C271" s="3274"/>
      <c r="D271" s="3274"/>
      <c r="E271" s="3274"/>
      <c r="F271" s="3263">
        <v>0.05</v>
      </c>
      <c r="G271" s="3280"/>
    </row>
    <row r="272" spans="1:7">
      <c r="A272" s="3273" t="s">
        <v>305</v>
      </c>
      <c r="B272" s="3262" t="s">
        <v>3217</v>
      </c>
      <c r="C272" s="3274"/>
      <c r="D272" s="3274"/>
      <c r="E272" s="3274"/>
      <c r="F272" s="3263">
        <v>0.05</v>
      </c>
      <c r="G272" s="3280"/>
    </row>
    <row r="273" spans="1:7">
      <c r="A273" s="3273" t="s">
        <v>305</v>
      </c>
      <c r="B273" s="3262" t="s">
        <v>3218</v>
      </c>
      <c r="C273" s="3274"/>
      <c r="D273" s="3274"/>
      <c r="E273" s="3274"/>
      <c r="F273" s="3263">
        <v>0.05</v>
      </c>
      <c r="G273" s="3280"/>
    </row>
    <row r="274" spans="1:7">
      <c r="A274" s="3273" t="s">
        <v>305</v>
      </c>
      <c r="B274" s="3262" t="s">
        <v>3219</v>
      </c>
      <c r="C274" s="3274"/>
      <c r="D274" s="3274"/>
      <c r="E274" s="3274"/>
      <c r="F274" s="3263">
        <v>0.05</v>
      </c>
      <c r="G274" s="3280"/>
    </row>
    <row r="275" spans="1:7">
      <c r="A275" s="3273" t="s">
        <v>305</v>
      </c>
      <c r="B275" s="3262" t="s">
        <v>3220</v>
      </c>
      <c r="C275" s="3274"/>
      <c r="D275" s="3274"/>
      <c r="E275" s="3274"/>
      <c r="F275" s="3263">
        <v>0.05</v>
      </c>
      <c r="G275" s="3280"/>
    </row>
    <row r="276" spans="1:7" ht="14.25" thickBot="1">
      <c r="A276" s="3276" t="s">
        <v>305</v>
      </c>
      <c r="B276" s="3266" t="s">
        <v>3221</v>
      </c>
      <c r="C276" s="3268"/>
      <c r="D276" s="3268"/>
      <c r="E276" s="3268"/>
      <c r="F276" s="3267">
        <v>0.05</v>
      </c>
      <c r="G276" s="3281"/>
    </row>
    <row r="277" spans="1:7">
      <c r="A277" s="3272" t="s">
        <v>306</v>
      </c>
      <c r="B277" s="3258" t="s">
        <v>2865</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2877</v>
      </c>
      <c r="C279" s="3263">
        <v>0.15</v>
      </c>
      <c r="D279" s="3263">
        <v>0.15</v>
      </c>
      <c r="E279" s="3263">
        <v>0.15</v>
      </c>
      <c r="F279" s="3263">
        <v>0.15</v>
      </c>
      <c r="G279" s="3264">
        <v>0.15</v>
      </c>
    </row>
    <row r="280" spans="1:7">
      <c r="A280" s="3273" t="s">
        <v>306</v>
      </c>
      <c r="B280" s="3262" t="s">
        <v>2881</v>
      </c>
      <c r="C280" s="3263">
        <v>0.15</v>
      </c>
      <c r="D280" s="3263">
        <v>0.15</v>
      </c>
      <c r="E280" s="3263">
        <v>0.15</v>
      </c>
      <c r="F280" s="3263">
        <v>0.15</v>
      </c>
      <c r="G280" s="3264">
        <v>0.15</v>
      </c>
    </row>
    <row r="281" spans="1:7">
      <c r="A281" s="3273" t="s">
        <v>306</v>
      </c>
      <c r="B281" s="3262" t="s">
        <v>2885</v>
      </c>
      <c r="C281" s="3263">
        <v>0.15</v>
      </c>
      <c r="D281" s="3263">
        <v>0.15</v>
      </c>
      <c r="E281" s="3263">
        <v>0.15</v>
      </c>
      <c r="F281" s="3263">
        <v>0.15</v>
      </c>
      <c r="G281" s="3264">
        <v>0.15</v>
      </c>
    </row>
    <row r="282" spans="1:7">
      <c r="A282" s="3273" t="s">
        <v>306</v>
      </c>
      <c r="B282" s="3262" t="s">
        <v>2889</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2904</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2909</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2919</v>
      </c>
      <c r="C293" s="3263">
        <v>0.15</v>
      </c>
      <c r="D293" s="3263">
        <v>0.15</v>
      </c>
      <c r="E293" s="3263">
        <v>0.15</v>
      </c>
      <c r="F293" s="3263">
        <v>0.14499999999999999</v>
      </c>
      <c r="G293" s="3264">
        <v>0.15</v>
      </c>
    </row>
    <row r="294" spans="1:7">
      <c r="A294" s="3273" t="s">
        <v>306</v>
      </c>
      <c r="B294" s="3262" t="s">
        <v>2921</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2938</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2951</v>
      </c>
      <c r="C302" s="3263">
        <v>0.15</v>
      </c>
      <c r="D302" s="3263">
        <v>0.15</v>
      </c>
      <c r="E302" s="3263">
        <v>0.15</v>
      </c>
      <c r="F302" s="3263">
        <v>0.14699999999999999</v>
      </c>
      <c r="G302" s="3264">
        <v>0.15</v>
      </c>
    </row>
    <row r="303" spans="1:7">
      <c r="A303" s="3273" t="s">
        <v>306</v>
      </c>
      <c r="B303" s="3262" t="s">
        <v>2958</v>
      </c>
      <c r="C303" s="3263">
        <v>0.15</v>
      </c>
      <c r="D303" s="3263">
        <v>0.15</v>
      </c>
      <c r="E303" s="3263">
        <v>0.15</v>
      </c>
      <c r="F303" s="3263">
        <v>0.14199999999999999</v>
      </c>
      <c r="G303" s="3264">
        <v>0.15</v>
      </c>
    </row>
    <row r="304" spans="1:7">
      <c r="A304" s="3273" t="s">
        <v>306</v>
      </c>
      <c r="B304" s="3262" t="s">
        <v>2965</v>
      </c>
      <c r="C304" s="3263">
        <v>0.15</v>
      </c>
      <c r="D304" s="3263">
        <v>0.15</v>
      </c>
      <c r="E304" s="3263">
        <v>0.15</v>
      </c>
      <c r="F304" s="3263">
        <v>0.14499999999999999</v>
      </c>
      <c r="G304" s="3264">
        <v>0.15</v>
      </c>
    </row>
    <row r="305" spans="1:7">
      <c r="A305" s="3273" t="s">
        <v>306</v>
      </c>
      <c r="B305" s="3262" t="s">
        <v>2971</v>
      </c>
      <c r="C305" s="3263">
        <v>0.15</v>
      </c>
      <c r="D305" s="3263">
        <v>0.15</v>
      </c>
      <c r="E305" s="3263">
        <v>0.15</v>
      </c>
      <c r="F305" s="3263">
        <v>0.111</v>
      </c>
      <c r="G305" s="3264">
        <v>0.15</v>
      </c>
    </row>
    <row r="306" spans="1:7">
      <c r="A306" s="3273" t="s">
        <v>306</v>
      </c>
      <c r="B306" s="3262" t="s">
        <v>2978</v>
      </c>
      <c r="C306" s="3263">
        <v>0.15</v>
      </c>
      <c r="D306" s="3263">
        <v>0.15</v>
      </c>
      <c r="E306" s="3263">
        <v>0.15</v>
      </c>
      <c r="F306" s="3263">
        <v>0.126</v>
      </c>
      <c r="G306" s="3264">
        <v>0.15</v>
      </c>
    </row>
    <row r="307" spans="1:7">
      <c r="A307" s="3273" t="s">
        <v>306</v>
      </c>
      <c r="B307" s="3262" t="s">
        <v>2983</v>
      </c>
      <c r="C307" s="3263">
        <v>0.15</v>
      </c>
      <c r="D307" s="3263">
        <v>0.15</v>
      </c>
      <c r="E307" s="3263">
        <v>0.15</v>
      </c>
      <c r="F307" s="3263">
        <v>0.12</v>
      </c>
      <c r="G307" s="3264">
        <v>0.15</v>
      </c>
    </row>
    <row r="308" spans="1:7">
      <c r="A308" s="3273" t="s">
        <v>306</v>
      </c>
      <c r="B308" s="3262" t="s">
        <v>2989</v>
      </c>
      <c r="C308" s="3263">
        <v>0.15</v>
      </c>
      <c r="D308" s="3263">
        <v>0.15</v>
      </c>
      <c r="E308" s="3263">
        <v>0.15</v>
      </c>
      <c r="F308" s="3263">
        <v>0.13</v>
      </c>
      <c r="G308" s="3264">
        <v>0.15</v>
      </c>
    </row>
    <row r="309" spans="1:7">
      <c r="A309" s="3273" t="s">
        <v>306</v>
      </c>
      <c r="B309" s="3262" t="s">
        <v>2993</v>
      </c>
      <c r="C309" s="3263">
        <v>0.15</v>
      </c>
      <c r="D309" s="3263">
        <v>0.15</v>
      </c>
      <c r="E309" s="3263">
        <v>0.15</v>
      </c>
      <c r="F309" s="3263">
        <v>0.14099999999999999</v>
      </c>
      <c r="G309" s="3264">
        <v>0.15</v>
      </c>
    </row>
    <row r="310" spans="1:7">
      <c r="A310" s="3273" t="s">
        <v>306</v>
      </c>
      <c r="B310" s="3262" t="s">
        <v>2998</v>
      </c>
      <c r="C310" s="3263">
        <v>0.15</v>
      </c>
      <c r="D310" s="3263">
        <v>0.15</v>
      </c>
      <c r="E310" s="3263">
        <v>0.15</v>
      </c>
      <c r="F310" s="3263">
        <v>0.15</v>
      </c>
      <c r="G310" s="3264">
        <v>0.15</v>
      </c>
    </row>
    <row r="311" spans="1:7">
      <c r="A311" s="3273" t="s">
        <v>306</v>
      </c>
      <c r="B311" s="3262" t="s">
        <v>3003</v>
      </c>
      <c r="C311" s="3263">
        <v>0.13200000000000001</v>
      </c>
      <c r="D311" s="3263">
        <v>0.13300000000000001</v>
      </c>
      <c r="E311" s="3263">
        <v>0.14499999999999999</v>
      </c>
      <c r="F311" s="3263">
        <v>0.14199999999999999</v>
      </c>
      <c r="G311" s="3264">
        <v>0.14000000000000001</v>
      </c>
    </row>
    <row r="312" spans="1:7">
      <c r="A312" s="3273" t="s">
        <v>306</v>
      </c>
      <c r="B312" s="3262" t="s">
        <v>3008</v>
      </c>
      <c r="C312" s="3263">
        <v>0.13800000000000001</v>
      </c>
      <c r="D312" s="3263">
        <v>0.14000000000000001</v>
      </c>
      <c r="E312" s="3263">
        <v>0.14599999999999999</v>
      </c>
      <c r="F312" s="3263">
        <v>0.14899999999999999</v>
      </c>
      <c r="G312" s="3264">
        <v>0.14199999999999999</v>
      </c>
    </row>
    <row r="313" spans="1:7">
      <c r="A313" s="3273" t="s">
        <v>306</v>
      </c>
      <c r="B313" s="3262" t="s">
        <v>3013</v>
      </c>
      <c r="C313" s="3263">
        <v>0.125</v>
      </c>
      <c r="D313" s="3263">
        <v>0.127</v>
      </c>
      <c r="E313" s="3263">
        <v>0.14399999999999999</v>
      </c>
      <c r="F313" s="3263">
        <v>0.115</v>
      </c>
      <c r="G313" s="3264">
        <v>0.13600000000000001</v>
      </c>
    </row>
    <row r="314" spans="1:7">
      <c r="A314" s="3273" t="s">
        <v>306</v>
      </c>
      <c r="B314" s="3262" t="s">
        <v>3222</v>
      </c>
      <c r="C314" s="3279"/>
      <c r="D314" s="3279"/>
      <c r="E314" s="3279"/>
      <c r="F314" s="3263">
        <v>0.05</v>
      </c>
      <c r="G314" s="3280"/>
    </row>
    <row r="315" spans="1:7">
      <c r="A315" s="3273" t="s">
        <v>306</v>
      </c>
      <c r="B315" s="3262" t="s">
        <v>3223</v>
      </c>
      <c r="C315" s="3279"/>
      <c r="D315" s="3279"/>
      <c r="E315" s="3279"/>
      <c r="F315" s="3263">
        <v>0.05</v>
      </c>
      <c r="G315" s="3280"/>
    </row>
    <row r="316" spans="1:7">
      <c r="A316" s="3273" t="s">
        <v>306</v>
      </c>
      <c r="B316" s="3262" t="s">
        <v>3224</v>
      </c>
      <c r="C316" s="3274"/>
      <c r="D316" s="3274"/>
      <c r="E316" s="3274"/>
      <c r="F316" s="3263">
        <v>0.05</v>
      </c>
      <c r="G316" s="3280"/>
    </row>
    <row r="317" spans="1:7">
      <c r="A317" s="3273" t="s">
        <v>306</v>
      </c>
      <c r="B317" s="3262" t="s">
        <v>3225</v>
      </c>
      <c r="C317" s="3274"/>
      <c r="D317" s="3274"/>
      <c r="E317" s="3274"/>
      <c r="F317" s="3263">
        <v>0.05</v>
      </c>
      <c r="G317" s="3280"/>
    </row>
    <row r="318" spans="1:7">
      <c r="A318" s="3273" t="s">
        <v>306</v>
      </c>
      <c r="B318" s="3262" t="s">
        <v>3226</v>
      </c>
      <c r="C318" s="3274"/>
      <c r="D318" s="3274"/>
      <c r="E318" s="3274"/>
      <c r="F318" s="3263">
        <v>0.05</v>
      </c>
      <c r="G318" s="3280"/>
    </row>
    <row r="319" spans="1:7">
      <c r="A319" s="3273" t="s">
        <v>306</v>
      </c>
      <c r="B319" s="3262" t="s">
        <v>3227</v>
      </c>
      <c r="C319" s="3274"/>
      <c r="D319" s="3274"/>
      <c r="E319" s="3274"/>
      <c r="F319" s="3263">
        <v>0.05</v>
      </c>
      <c r="G319" s="3280"/>
    </row>
    <row r="320" spans="1:7">
      <c r="A320" s="3273" t="s">
        <v>306</v>
      </c>
      <c r="B320" s="3262" t="s">
        <v>3228</v>
      </c>
      <c r="C320" s="3274"/>
      <c r="D320" s="3274"/>
      <c r="E320" s="3274"/>
      <c r="F320" s="3263">
        <v>0.05</v>
      </c>
      <c r="G320" s="3280"/>
    </row>
    <row r="321" spans="1:7">
      <c r="A321" s="3273" t="s">
        <v>306</v>
      </c>
      <c r="B321" s="3262" t="s">
        <v>3229</v>
      </c>
      <c r="C321" s="3274"/>
      <c r="D321" s="3274"/>
      <c r="E321" s="3274"/>
      <c r="F321" s="3263">
        <v>0.05</v>
      </c>
      <c r="G321" s="3280"/>
    </row>
    <row r="322" spans="1:7">
      <c r="A322" s="3273" t="s">
        <v>306</v>
      </c>
      <c r="B322" s="3262" t="s">
        <v>3230</v>
      </c>
      <c r="C322" s="3274"/>
      <c r="D322" s="3274"/>
      <c r="E322" s="3274"/>
      <c r="F322" s="3263">
        <v>0.05</v>
      </c>
      <c r="G322" s="3280"/>
    </row>
    <row r="323" spans="1:7">
      <c r="A323" s="3273" t="s">
        <v>306</v>
      </c>
      <c r="B323" s="3262" t="s">
        <v>3231</v>
      </c>
      <c r="C323" s="3274"/>
      <c r="D323" s="3274"/>
      <c r="E323" s="3274"/>
      <c r="F323" s="3263">
        <v>0.05</v>
      </c>
      <c r="G323" s="3280"/>
    </row>
    <row r="324" spans="1:7">
      <c r="A324" s="3273" t="s">
        <v>306</v>
      </c>
      <c r="B324" s="3262" t="s">
        <v>3232</v>
      </c>
      <c r="C324" s="3274"/>
      <c r="D324" s="3274"/>
      <c r="E324" s="3274"/>
      <c r="F324" s="3263">
        <v>0.05</v>
      </c>
      <c r="G324" s="3280"/>
    </row>
    <row r="325" spans="1:7">
      <c r="A325" s="3273" t="s">
        <v>306</v>
      </c>
      <c r="B325" s="3262" t="s">
        <v>3233</v>
      </c>
      <c r="C325" s="3274"/>
      <c r="D325" s="3274"/>
      <c r="E325" s="3274"/>
      <c r="F325" s="3263">
        <v>0.05</v>
      </c>
      <c r="G325" s="3280"/>
    </row>
    <row r="326" spans="1:7" ht="14.25" thickBot="1">
      <c r="A326" s="3276" t="s">
        <v>306</v>
      </c>
      <c r="B326" s="3266" t="s">
        <v>3234</v>
      </c>
      <c r="C326" s="3268"/>
      <c r="D326" s="3268"/>
      <c r="E326" s="3268"/>
      <c r="F326" s="3267">
        <v>0.05</v>
      </c>
      <c r="G326" s="3281"/>
    </row>
    <row r="327" spans="1:7">
      <c r="A327" s="3272" t="s">
        <v>307</v>
      </c>
      <c r="B327" s="3258" t="s">
        <v>2866</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2878</v>
      </c>
      <c r="C329" s="3263">
        <v>0.15</v>
      </c>
      <c r="D329" s="3263">
        <v>0.15</v>
      </c>
      <c r="E329" s="3263">
        <v>0.15</v>
      </c>
      <c r="F329" s="3263">
        <v>0.15</v>
      </c>
      <c r="G329" s="3264">
        <v>0.15</v>
      </c>
    </row>
    <row r="330" spans="1:7">
      <c r="A330" s="3273" t="s">
        <v>307</v>
      </c>
      <c r="B330" s="3262" t="s">
        <v>2882</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2890</v>
      </c>
      <c r="C332" s="3263">
        <v>0.15</v>
      </c>
      <c r="D332" s="3263">
        <v>0.15</v>
      </c>
      <c r="E332" s="3263">
        <v>0.15</v>
      </c>
      <c r="F332" s="3263">
        <v>0.15</v>
      </c>
      <c r="G332" s="3264">
        <v>0.15</v>
      </c>
    </row>
    <row r="333" spans="1:7">
      <c r="A333" s="3273" t="s">
        <v>307</v>
      </c>
      <c r="B333" s="3262" t="s">
        <v>2894</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2900</v>
      </c>
      <c r="C336" s="3263">
        <v>0.15</v>
      </c>
      <c r="D336" s="3263">
        <v>0.15</v>
      </c>
      <c r="E336" s="3263">
        <v>0.15</v>
      </c>
      <c r="F336" s="3263">
        <v>0.14199999999999999</v>
      </c>
      <c r="G336" s="3264">
        <v>0.15</v>
      </c>
    </row>
    <row r="337" spans="1:7">
      <c r="A337" s="3273" t="s">
        <v>307</v>
      </c>
      <c r="B337" s="3262" t="s">
        <v>2905</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2912</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2917</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2925</v>
      </c>
      <c r="C345" s="3263">
        <v>0.15</v>
      </c>
      <c r="D345" s="3263">
        <v>0.15</v>
      </c>
      <c r="E345" s="3263">
        <v>0.15</v>
      </c>
      <c r="F345" s="3263">
        <v>0.13800000000000001</v>
      </c>
      <c r="G345" s="3264">
        <v>0.15</v>
      </c>
    </row>
    <row r="346" spans="1:7">
      <c r="A346" s="3273" t="s">
        <v>307</v>
      </c>
      <c r="B346" s="3262" t="s">
        <v>2927</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2934</v>
      </c>
      <c r="C348" s="3263">
        <v>0.15</v>
      </c>
      <c r="D348" s="3263">
        <v>0.15</v>
      </c>
      <c r="E348" s="3263">
        <v>0.15</v>
      </c>
      <c r="F348" s="3263">
        <v>0.14399999999999999</v>
      </c>
      <c r="G348" s="3264">
        <v>0.15</v>
      </c>
    </row>
    <row r="349" spans="1:7">
      <c r="A349" s="3273" t="s">
        <v>307</v>
      </c>
      <c r="B349" s="3262" t="s">
        <v>2939</v>
      </c>
      <c r="C349" s="3263">
        <v>0.15</v>
      </c>
      <c r="D349" s="3263">
        <v>0.15</v>
      </c>
      <c r="E349" s="3263">
        <v>0.15</v>
      </c>
      <c r="F349" s="3263">
        <v>0.15</v>
      </c>
      <c r="G349" s="3264">
        <v>0.15</v>
      </c>
    </row>
    <row r="350" spans="1:7">
      <c r="A350" s="3273" t="s">
        <v>307</v>
      </c>
      <c r="B350" s="3262" t="s">
        <v>2942</v>
      </c>
      <c r="C350" s="3263">
        <v>0.15</v>
      </c>
      <c r="D350" s="3263">
        <v>0.15</v>
      </c>
      <c r="E350" s="3263">
        <v>0.15</v>
      </c>
      <c r="F350" s="3263">
        <v>0.14699999999999999</v>
      </c>
      <c r="G350" s="3264">
        <v>0.15</v>
      </c>
    </row>
    <row r="351" spans="1:7">
      <c r="A351" s="3273" t="s">
        <v>307</v>
      </c>
      <c r="B351" s="3262" t="s">
        <v>2947</v>
      </c>
      <c r="C351" s="3263">
        <v>0.15</v>
      </c>
      <c r="D351" s="3263">
        <v>0.15</v>
      </c>
      <c r="E351" s="3263">
        <v>0.15</v>
      </c>
      <c r="F351" s="3263">
        <v>0.13</v>
      </c>
      <c r="G351" s="3264">
        <v>0.15</v>
      </c>
    </row>
    <row r="352" spans="1:7">
      <c r="A352" s="3273" t="s">
        <v>307</v>
      </c>
      <c r="B352" s="3262" t="s">
        <v>2952</v>
      </c>
      <c r="C352" s="3263">
        <v>0.15</v>
      </c>
      <c r="D352" s="3263">
        <v>0.15</v>
      </c>
      <c r="E352" s="3263">
        <v>0.15</v>
      </c>
      <c r="F352" s="3263">
        <v>0.14599999999999999</v>
      </c>
      <c r="G352" s="3264">
        <v>0.15</v>
      </c>
    </row>
    <row r="353" spans="1:7">
      <c r="A353" s="3273" t="s">
        <v>307</v>
      </c>
      <c r="B353" s="3262" t="s">
        <v>2959</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2972</v>
      </c>
      <c r="C355" s="3263">
        <v>0.15</v>
      </c>
      <c r="D355" s="3263">
        <v>0.15</v>
      </c>
      <c r="E355" s="3263">
        <v>0.15</v>
      </c>
      <c r="F355" s="3263">
        <v>0.15</v>
      </c>
      <c r="G355" s="3264">
        <v>0.15</v>
      </c>
    </row>
    <row r="356" spans="1:7">
      <c r="A356" s="3273" t="s">
        <v>307</v>
      </c>
      <c r="B356" s="3262" t="s">
        <v>2979</v>
      </c>
      <c r="C356" s="3263">
        <v>0.15</v>
      </c>
      <c r="D356" s="3263">
        <v>0.15</v>
      </c>
      <c r="E356" s="3263">
        <v>0.15</v>
      </c>
      <c r="F356" s="3263">
        <v>0.15</v>
      </c>
      <c r="G356" s="3264">
        <v>0.15</v>
      </c>
    </row>
    <row r="357" spans="1:7" ht="14.25" thickBot="1">
      <c r="A357" s="3276" t="s">
        <v>307</v>
      </c>
      <c r="B357" s="3266" t="s">
        <v>2984</v>
      </c>
      <c r="C357" s="3267">
        <v>0.126</v>
      </c>
      <c r="D357" s="3267">
        <v>0.127</v>
      </c>
      <c r="E357" s="3267">
        <v>0.14299999999999999</v>
      </c>
      <c r="F357" s="3267">
        <v>0.125</v>
      </c>
      <c r="G357" s="3269">
        <v>0.129</v>
      </c>
    </row>
    <row r="358" spans="1:7">
      <c r="A358" s="3272" t="s">
        <v>2853</v>
      </c>
      <c r="B358" s="3258" t="s">
        <v>2867</v>
      </c>
      <c r="C358" s="3259">
        <v>0.15</v>
      </c>
      <c r="D358" s="3259">
        <v>0.15</v>
      </c>
      <c r="E358" s="3259">
        <v>0.15</v>
      </c>
      <c r="F358" s="3259">
        <v>0.15</v>
      </c>
      <c r="G358" s="3260">
        <v>0.15</v>
      </c>
    </row>
    <row r="359" spans="1:7">
      <c r="A359" s="3273" t="s">
        <v>2853</v>
      </c>
      <c r="B359" s="3262" t="s">
        <v>2873</v>
      </c>
      <c r="C359" s="3263">
        <v>0.1</v>
      </c>
      <c r="D359" s="3263">
        <v>0.1</v>
      </c>
      <c r="E359" s="3263">
        <v>0.1</v>
      </c>
      <c r="F359" s="3263">
        <v>0.1</v>
      </c>
      <c r="G359" s="3264">
        <v>0.1</v>
      </c>
    </row>
    <row r="360" spans="1:7">
      <c r="A360" s="3273" t="s">
        <v>2853</v>
      </c>
      <c r="B360" s="3262" t="s">
        <v>2879</v>
      </c>
      <c r="C360" s="3263">
        <v>0.15</v>
      </c>
      <c r="D360" s="3263">
        <v>0.15</v>
      </c>
      <c r="E360" s="3263">
        <v>0.15</v>
      </c>
      <c r="F360" s="3263">
        <v>0.14899999999999999</v>
      </c>
      <c r="G360" s="3264">
        <v>0.15</v>
      </c>
    </row>
    <row r="361" spans="1:7">
      <c r="A361" s="3273" t="s">
        <v>2853</v>
      </c>
      <c r="B361" s="3262" t="s">
        <v>153</v>
      </c>
      <c r="C361" s="3263">
        <v>0.15</v>
      </c>
      <c r="D361" s="3263">
        <v>0.15</v>
      </c>
      <c r="E361" s="3263">
        <v>0.15</v>
      </c>
      <c r="F361" s="3263">
        <v>0.115</v>
      </c>
      <c r="G361" s="3264">
        <v>0.15</v>
      </c>
    </row>
    <row r="362" spans="1:7">
      <c r="A362" s="3273" t="s">
        <v>2853</v>
      </c>
      <c r="B362" s="3262" t="s">
        <v>2886</v>
      </c>
      <c r="C362" s="3263">
        <v>0.15</v>
      </c>
      <c r="D362" s="3263">
        <v>0.15</v>
      </c>
      <c r="E362" s="3263">
        <v>0.15</v>
      </c>
      <c r="F362" s="3263">
        <v>0.106</v>
      </c>
      <c r="G362" s="3264">
        <v>0.15</v>
      </c>
    </row>
    <row r="363" spans="1:7">
      <c r="A363" s="3273" t="s">
        <v>2853</v>
      </c>
      <c r="B363" s="3262" t="s">
        <v>2891</v>
      </c>
      <c r="C363" s="3263">
        <v>0.15</v>
      </c>
      <c r="D363" s="3263">
        <v>0.15</v>
      </c>
      <c r="E363" s="3263">
        <v>0.15</v>
      </c>
      <c r="F363" s="3263">
        <v>0.14699999999999999</v>
      </c>
      <c r="G363" s="3264">
        <v>0.15</v>
      </c>
    </row>
    <row r="364" spans="1:7">
      <c r="A364" s="3273" t="s">
        <v>2853</v>
      </c>
      <c r="B364" s="3262" t="s">
        <v>2895</v>
      </c>
      <c r="C364" s="3263">
        <v>0.15</v>
      </c>
      <c r="D364" s="3263">
        <v>0.15</v>
      </c>
      <c r="E364" s="3263">
        <v>0.15</v>
      </c>
      <c r="F364" s="3263">
        <v>0.14799999999999999</v>
      </c>
      <c r="G364" s="3264">
        <v>0.15</v>
      </c>
    </row>
    <row r="365" spans="1:7">
      <c r="A365" s="3273" t="s">
        <v>2853</v>
      </c>
      <c r="B365" s="3262" t="s">
        <v>200</v>
      </c>
      <c r="C365" s="3263">
        <v>0.15</v>
      </c>
      <c r="D365" s="3263">
        <v>0.15</v>
      </c>
      <c r="E365" s="3263">
        <v>0.15</v>
      </c>
      <c r="F365" s="3263">
        <v>0.15</v>
      </c>
      <c r="G365" s="3264">
        <v>0.15</v>
      </c>
    </row>
    <row r="366" spans="1:7">
      <c r="A366" s="3273" t="s">
        <v>2853</v>
      </c>
      <c r="B366" s="3262" t="s">
        <v>2898</v>
      </c>
      <c r="C366" s="3263">
        <v>0.15</v>
      </c>
      <c r="D366" s="3263">
        <v>0.15</v>
      </c>
      <c r="E366" s="3263">
        <v>0.15</v>
      </c>
      <c r="F366" s="3263">
        <v>0.15</v>
      </c>
      <c r="G366" s="3264">
        <v>0.15</v>
      </c>
    </row>
    <row r="367" spans="1:7">
      <c r="A367" s="3273" t="s">
        <v>2853</v>
      </c>
      <c r="B367" s="3262" t="s">
        <v>2901</v>
      </c>
      <c r="C367" s="3263">
        <v>0.15</v>
      </c>
      <c r="D367" s="3263">
        <v>0.15</v>
      </c>
      <c r="E367" s="3263">
        <v>0.15</v>
      </c>
      <c r="F367" s="3263">
        <v>0.14699999999999999</v>
      </c>
      <c r="G367" s="3264">
        <v>0.15</v>
      </c>
    </row>
    <row r="368" spans="1:7">
      <c r="A368" s="3273" t="s">
        <v>2853</v>
      </c>
      <c r="B368" s="3262" t="s">
        <v>2906</v>
      </c>
      <c r="C368" s="3263">
        <v>0.15</v>
      </c>
      <c r="D368" s="3263">
        <v>0.15</v>
      </c>
      <c r="E368" s="3263">
        <v>0.15</v>
      </c>
      <c r="F368" s="3263">
        <v>0.13600000000000001</v>
      </c>
      <c r="G368" s="3264">
        <v>0.15</v>
      </c>
    </row>
    <row r="369" spans="1:7">
      <c r="A369" s="3273" t="s">
        <v>2853</v>
      </c>
      <c r="B369" s="3262" t="s">
        <v>214</v>
      </c>
      <c r="C369" s="3263">
        <v>0.15</v>
      </c>
      <c r="D369" s="3263">
        <v>0.15</v>
      </c>
      <c r="E369" s="3263">
        <v>0.15</v>
      </c>
      <c r="F369" s="3263">
        <v>0.14399999999999999</v>
      </c>
      <c r="G369" s="3264">
        <v>0.15</v>
      </c>
    </row>
    <row r="370" spans="1:7">
      <c r="A370" s="3273" t="s">
        <v>2853</v>
      </c>
      <c r="B370" s="3262" t="s">
        <v>221</v>
      </c>
      <c r="C370" s="3263">
        <v>0.15</v>
      </c>
      <c r="D370" s="3263">
        <v>0.15</v>
      </c>
      <c r="E370" s="3263">
        <v>0.15</v>
      </c>
      <c r="F370" s="3263">
        <v>0.14599999999999999</v>
      </c>
      <c r="G370" s="3264">
        <v>0.15</v>
      </c>
    </row>
    <row r="371" spans="1:7">
      <c r="A371" s="3273" t="s">
        <v>2853</v>
      </c>
      <c r="B371" s="3262" t="s">
        <v>229</v>
      </c>
      <c r="C371" s="3263">
        <v>0.15</v>
      </c>
      <c r="D371" s="3263">
        <v>0.15</v>
      </c>
      <c r="E371" s="3263">
        <v>0.15</v>
      </c>
      <c r="F371" s="3263">
        <v>0.12</v>
      </c>
      <c r="G371" s="3264">
        <v>0.15</v>
      </c>
    </row>
    <row r="372" spans="1:7">
      <c r="A372" s="3273" t="s">
        <v>2853</v>
      </c>
      <c r="B372" s="3262" t="s">
        <v>2914</v>
      </c>
      <c r="C372" s="3263">
        <v>0.15</v>
      </c>
      <c r="D372" s="3263">
        <v>0.15</v>
      </c>
      <c r="E372" s="3263">
        <v>0.15</v>
      </c>
      <c r="F372" s="3263">
        <v>0.14299999999999999</v>
      </c>
      <c r="G372" s="3264">
        <v>0.15</v>
      </c>
    </row>
    <row r="373" spans="1:7">
      <c r="A373" s="3273" t="s">
        <v>2853</v>
      </c>
      <c r="B373" s="3262" t="s">
        <v>258</v>
      </c>
      <c r="C373" s="3263">
        <v>0.15</v>
      </c>
      <c r="D373" s="3263">
        <v>0.15</v>
      </c>
      <c r="E373" s="3263">
        <v>0.15</v>
      </c>
      <c r="F373" s="3263">
        <v>0.14599999999999999</v>
      </c>
      <c r="G373" s="3264">
        <v>0.15</v>
      </c>
    </row>
    <row r="374" spans="1:7">
      <c r="A374" s="3273" t="s">
        <v>2853</v>
      </c>
      <c r="B374" s="3262" t="s">
        <v>266</v>
      </c>
      <c r="C374" s="3263">
        <v>0.15</v>
      </c>
      <c r="D374" s="3263">
        <v>0.15</v>
      </c>
      <c r="E374" s="3263">
        <v>0.15</v>
      </c>
      <c r="F374" s="3263">
        <v>0.14399999999999999</v>
      </c>
      <c r="G374" s="3264">
        <v>0.15</v>
      </c>
    </row>
    <row r="375" spans="1:7">
      <c r="A375" s="3273" t="s">
        <v>2853</v>
      </c>
      <c r="B375" s="3262" t="s">
        <v>2922</v>
      </c>
      <c r="C375" s="3263">
        <v>0.15</v>
      </c>
      <c r="D375" s="3263">
        <v>0.15</v>
      </c>
      <c r="E375" s="3263">
        <v>0.15</v>
      </c>
      <c r="F375" s="3263">
        <v>0.13</v>
      </c>
      <c r="G375" s="3264">
        <v>0.15</v>
      </c>
    </row>
    <row r="376" spans="1:7">
      <c r="A376" s="3273" t="s">
        <v>2853</v>
      </c>
      <c r="B376" s="3262" t="s">
        <v>277</v>
      </c>
      <c r="C376" s="3263">
        <v>0.15</v>
      </c>
      <c r="D376" s="3263">
        <v>0.15</v>
      </c>
      <c r="E376" s="3263">
        <v>0.15</v>
      </c>
      <c r="F376" s="3263">
        <v>0.14199999999999999</v>
      </c>
      <c r="G376" s="3264">
        <v>0.15</v>
      </c>
    </row>
    <row r="377" spans="1:7" ht="14.25" thickBot="1">
      <c r="A377" s="3276" t="s">
        <v>2853</v>
      </c>
      <c r="B377" s="3266" t="s">
        <v>2928</v>
      </c>
      <c r="C377" s="3267">
        <v>0.15</v>
      </c>
      <c r="D377" s="3267">
        <v>0.15</v>
      </c>
      <c r="E377" s="3267">
        <v>0.15</v>
      </c>
      <c r="F377" s="3267">
        <v>0.14000000000000001</v>
      </c>
      <c r="G377" s="3269">
        <v>0.15</v>
      </c>
    </row>
    <row r="378" spans="1:7">
      <c r="A378" s="3272" t="s">
        <v>2854</v>
      </c>
      <c r="B378" s="3258" t="s">
        <v>2868</v>
      </c>
      <c r="C378" s="3259">
        <v>0.15</v>
      </c>
      <c r="D378" s="3259">
        <v>0.15</v>
      </c>
      <c r="E378" s="3259">
        <v>0.15</v>
      </c>
      <c r="F378" s="3259">
        <v>0.107</v>
      </c>
      <c r="G378" s="3260">
        <v>0.15</v>
      </c>
    </row>
    <row r="379" spans="1:7">
      <c r="A379" s="3273" t="s">
        <v>2854</v>
      </c>
      <c r="B379" s="3262" t="s">
        <v>2874</v>
      </c>
      <c r="C379" s="3263">
        <v>0.15</v>
      </c>
      <c r="D379" s="3263">
        <v>0.15</v>
      </c>
      <c r="E379" s="3263">
        <v>0.15</v>
      </c>
      <c r="F379" s="3263">
        <v>0.115</v>
      </c>
      <c r="G379" s="3264">
        <v>0.14899999999999999</v>
      </c>
    </row>
    <row r="380" spans="1:7">
      <c r="A380" s="3273" t="s">
        <v>2854</v>
      </c>
      <c r="B380" s="3262" t="s">
        <v>2880</v>
      </c>
      <c r="C380" s="3263">
        <v>0.15</v>
      </c>
      <c r="D380" s="3263">
        <v>0.15</v>
      </c>
      <c r="E380" s="3263">
        <v>0.15</v>
      </c>
      <c r="F380" s="3263">
        <v>0.1</v>
      </c>
      <c r="G380" s="3264">
        <v>0.14799999999999999</v>
      </c>
    </row>
    <row r="381" spans="1:7">
      <c r="A381" s="3273" t="s">
        <v>2854</v>
      </c>
      <c r="B381" s="3262" t="s">
        <v>2883</v>
      </c>
      <c r="C381" s="3263">
        <v>0.15</v>
      </c>
      <c r="D381" s="3263">
        <v>0.15</v>
      </c>
      <c r="E381" s="3263">
        <v>0.15</v>
      </c>
      <c r="F381" s="3263">
        <v>0.126</v>
      </c>
      <c r="G381" s="3264">
        <v>0.15</v>
      </c>
    </row>
    <row r="382" spans="1:7">
      <c r="A382" s="3273" t="s">
        <v>2854</v>
      </c>
      <c r="B382" s="3262" t="s">
        <v>2887</v>
      </c>
      <c r="C382" s="3263">
        <v>0.15</v>
      </c>
      <c r="D382" s="3263">
        <v>0.15</v>
      </c>
      <c r="E382" s="3263">
        <v>0.15</v>
      </c>
      <c r="F382" s="3263">
        <v>0.15</v>
      </c>
      <c r="G382" s="3264">
        <v>0.15</v>
      </c>
    </row>
    <row r="383" spans="1:7">
      <c r="A383" s="3273" t="s">
        <v>2854</v>
      </c>
      <c r="B383" s="3262" t="s">
        <v>2892</v>
      </c>
      <c r="C383" s="3263">
        <v>0.15</v>
      </c>
      <c r="D383" s="3263">
        <v>0.15</v>
      </c>
      <c r="E383" s="3263">
        <v>0.15</v>
      </c>
      <c r="F383" s="3263">
        <v>0.14699999999999999</v>
      </c>
      <c r="G383" s="3264">
        <v>0.15</v>
      </c>
    </row>
    <row r="384" spans="1:7" ht="14.25" thickBot="1">
      <c r="A384" s="3283" t="s">
        <v>2854</v>
      </c>
      <c r="B384" s="3284" t="s">
        <v>2896</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8"/>
  </cols>
  <sheetData>
    <row r="1" spans="1:6">
      <c r="A1" s="3785" t="s">
        <v>3235</v>
      </c>
      <c r="B1" s="3785"/>
      <c r="C1" s="3785"/>
      <c r="D1" s="3785"/>
      <c r="E1" s="3785"/>
      <c r="F1" s="3786"/>
    </row>
    <row r="2" spans="1:6">
      <c r="A2" s="3289" t="s">
        <v>3236</v>
      </c>
      <c r="B2" s="3290"/>
      <c r="C2" s="3290"/>
      <c r="D2" s="3290"/>
      <c r="E2" s="3290"/>
      <c r="F2" s="3290"/>
    </row>
    <row r="3" spans="1:6">
      <c r="A3" s="3289" t="s">
        <v>3237</v>
      </c>
      <c r="B3" s="3290"/>
      <c r="C3" s="3290"/>
      <c r="D3" s="3290"/>
      <c r="E3" s="3290"/>
      <c r="F3" s="3291" t="s">
        <v>3238</v>
      </c>
    </row>
    <row r="4" spans="1:6">
      <c r="A4" s="3292" t="s">
        <v>672</v>
      </c>
      <c r="B4" s="3292" t="s">
        <v>673</v>
      </c>
      <c r="C4" s="3292" t="s">
        <v>21</v>
      </c>
      <c r="D4" s="3292" t="s">
        <v>674</v>
      </c>
      <c r="E4" s="3292" t="s">
        <v>3</v>
      </c>
      <c r="F4" s="3292" t="s">
        <v>3239</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H1" sqref="H1:H1048576"/>
    </sheetView>
  </sheetViews>
  <sheetFormatPr defaultRowHeight="13.5"/>
  <cols>
    <col min="1" max="1" width="13.875" customWidth="1"/>
    <col min="11" max="17" width="0" hidden="1" customWidth="1"/>
    <col min="25" max="30" width="0" hidden="1" customWidth="1"/>
  </cols>
  <sheetData>
    <row r="1" spans="1:30">
      <c r="A1" s="3219">
        <f>基准地价修正!G23</f>
        <v>45044</v>
      </c>
      <c r="B1" s="3208" t="s">
        <v>2841</v>
      </c>
      <c r="C1" s="3209"/>
      <c r="D1" s="3209"/>
      <c r="E1" s="3209"/>
      <c r="F1" s="3209"/>
      <c r="G1" s="3209"/>
      <c r="H1" s="3209"/>
      <c r="I1" s="3209"/>
      <c r="J1" s="3163"/>
      <c r="K1" s="3209" t="s">
        <v>454</v>
      </c>
      <c r="L1" s="3209"/>
      <c r="M1" s="3209"/>
      <c r="N1" s="3209"/>
      <c r="O1" s="3209"/>
      <c r="P1" s="3209"/>
      <c r="Q1" s="3163"/>
      <c r="R1" s="3787" t="s">
        <v>456</v>
      </c>
      <c r="S1" s="3788"/>
      <c r="T1" s="3788"/>
      <c r="U1" s="3788"/>
      <c r="V1" s="3788"/>
      <c r="W1" s="3788"/>
      <c r="X1" s="3163"/>
      <c r="Y1" s="3787" t="s">
        <v>457</v>
      </c>
      <c r="Z1" s="3788"/>
      <c r="AA1" s="3788"/>
      <c r="AB1" s="3788"/>
      <c r="AC1" s="3788"/>
      <c r="AD1" s="3788"/>
    </row>
    <row r="2" spans="1:30" s="3141" customFormat="1" ht="14.25" thickBot="1">
      <c r="B2" s="3142"/>
      <c r="C2" s="3143"/>
      <c r="D2" s="3144" t="s">
        <v>2811</v>
      </c>
      <c r="E2" s="3145" t="s">
        <v>2812</v>
      </c>
      <c r="F2" s="3145" t="s">
        <v>2813</v>
      </c>
      <c r="G2" s="3145" t="s">
        <v>2814</v>
      </c>
      <c r="H2" s="3145" t="s">
        <v>2815</v>
      </c>
      <c r="I2" s="3145" t="s">
        <v>2632</v>
      </c>
      <c r="J2" s="3146"/>
      <c r="K2" s="3144" t="s">
        <v>2811</v>
      </c>
      <c r="L2" s="3145" t="s">
        <v>2812</v>
      </c>
      <c r="M2" s="3145" t="s">
        <v>2813</v>
      </c>
      <c r="N2" s="3145" t="s">
        <v>2814</v>
      </c>
      <c r="O2" s="3145" t="s">
        <v>2816</v>
      </c>
      <c r="P2" s="3145" t="s">
        <v>2632</v>
      </c>
      <c r="Q2" s="3146"/>
      <c r="R2" s="3144" t="s">
        <v>2811</v>
      </c>
      <c r="S2" s="3145" t="s">
        <v>2812</v>
      </c>
      <c r="T2" s="3145" t="s">
        <v>2813</v>
      </c>
      <c r="U2" s="3145" t="s">
        <v>2817</v>
      </c>
      <c r="V2" s="3145" t="s">
        <v>2818</v>
      </c>
      <c r="W2" s="3145" t="s">
        <v>2632</v>
      </c>
      <c r="X2" s="3146"/>
      <c r="Y2" s="3144" t="s">
        <v>2811</v>
      </c>
      <c r="Z2" s="3145" t="s">
        <v>2812</v>
      </c>
      <c r="AA2" s="3145" t="s">
        <v>2813</v>
      </c>
      <c r="AB2" s="3145" t="s">
        <v>2819</v>
      </c>
      <c r="AC2" s="3145" t="s">
        <v>2818</v>
      </c>
      <c r="AD2" s="3145" t="s">
        <v>2632</v>
      </c>
    </row>
    <row r="3" spans="1:30" s="3159" customFormat="1" ht="12.75">
      <c r="A3" s="3147" t="s">
        <v>2820</v>
      </c>
      <c r="B3" s="3148"/>
      <c r="C3" s="3149"/>
      <c r="D3" s="3149">
        <f>ROUND(AVERAGEIF(D4:D16,"&lt;&gt;0"),2)</f>
        <v>0.82</v>
      </c>
      <c r="E3" s="3149">
        <f t="shared" ref="E3:H3" si="0">ROUND(AVERAGEIF(E4:E16,"&lt;&gt;0"),2)</f>
        <v>0.38</v>
      </c>
      <c r="F3" s="3149">
        <f t="shared" si="0"/>
        <v>0.2</v>
      </c>
      <c r="G3" s="3149">
        <f t="shared" si="0"/>
        <v>0.89</v>
      </c>
      <c r="H3" s="3149">
        <f t="shared" si="0"/>
        <v>0.64</v>
      </c>
      <c r="I3" s="3149">
        <f>F3</f>
        <v>0.2</v>
      </c>
      <c r="J3" s="3150"/>
      <c r="K3" s="3151">
        <f>ROUND(AVERAGEIF(K4:K16,"&lt;&gt;0"),4)</f>
        <v>8.2000000000000007E-3</v>
      </c>
      <c r="L3" s="3152">
        <f t="shared" ref="L3:O3" si="1">ROUND(AVERAGEIF(L4:L16,"&lt;&gt;0"),4)</f>
        <v>3.8E-3</v>
      </c>
      <c r="M3" s="3152">
        <f t="shared" si="1"/>
        <v>2E-3</v>
      </c>
      <c r="N3" s="3152">
        <f t="shared" si="1"/>
        <v>8.8999999999999999E-3</v>
      </c>
      <c r="O3" s="3152">
        <f t="shared" si="1"/>
        <v>6.4000000000000003E-3</v>
      </c>
      <c r="P3" s="3152">
        <f>M3</f>
        <v>2E-3</v>
      </c>
      <c r="Q3" s="3150"/>
      <c r="R3" s="3153">
        <f>ROUND(SUMPRODUCT(PRODUCT(1+K4:K16)),4)</f>
        <v>1.0763</v>
      </c>
      <c r="S3" s="3154">
        <f t="shared" ref="S3:V3" si="2">ROUND(SUMPRODUCT(PRODUCT(1+L4:L16)),4)</f>
        <v>1.0343</v>
      </c>
      <c r="T3" s="3154">
        <f t="shared" si="2"/>
        <v>1.0177</v>
      </c>
      <c r="U3" s="3154">
        <f t="shared" si="2"/>
        <v>1.0833999999999999</v>
      </c>
      <c r="V3" s="3154">
        <f t="shared" si="2"/>
        <v>1.0592999999999999</v>
      </c>
      <c r="W3" s="3153">
        <f>T3</f>
        <v>1.0177</v>
      </c>
      <c r="X3" s="3150"/>
      <c r="Y3" s="3155">
        <f>ROUND(AVERAGEIF(Y5:Y16,"&lt;&gt;0"),4)</f>
        <v>8.6999999999999994E-3</v>
      </c>
      <c r="Z3" s="3156">
        <f t="shared" ref="Z3:AC3" si="3">ROUND(AVERAGEIF(Z5:Z16,"&lt;&gt;0"),4)</f>
        <v>3.5000000000000001E-3</v>
      </c>
      <c r="AA3" s="3157">
        <f t="shared" si="3"/>
        <v>8.9999999999999998E-4</v>
      </c>
      <c r="AB3" s="3155">
        <f t="shared" si="3"/>
        <v>9.4999999999999998E-3</v>
      </c>
      <c r="AC3" s="3158">
        <f t="shared" si="3"/>
        <v>6.1000000000000004E-3</v>
      </c>
      <c r="AD3" s="3155">
        <f>AA3</f>
        <v>8.9999999999999998E-4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3174" t="s">
        <v>3372</v>
      </c>
      <c r="B5" s="3175">
        <v>2023</v>
      </c>
      <c r="C5" s="3176">
        <v>4</v>
      </c>
      <c r="D5" s="3177">
        <v>0</v>
      </c>
      <c r="E5" s="3177">
        <v>0</v>
      </c>
      <c r="F5" s="3177">
        <v>0</v>
      </c>
      <c r="G5" s="3177">
        <v>0</v>
      </c>
      <c r="H5" s="3177">
        <v>0</v>
      </c>
      <c r="I5" s="3178">
        <f t="shared" ref="I5:I16" si="4">F5</f>
        <v>0</v>
      </c>
      <c r="J5" s="3179"/>
      <c r="K5" s="3180">
        <f t="shared" ref="K5:O16" si="5">D5/100</f>
        <v>0</v>
      </c>
      <c r="L5" s="3170">
        <f t="shared" si="5"/>
        <v>0</v>
      </c>
      <c r="M5" s="3170">
        <f t="shared" si="5"/>
        <v>0</v>
      </c>
      <c r="N5" s="3170">
        <f t="shared" si="5"/>
        <v>0</v>
      </c>
      <c r="O5" s="3170">
        <f t="shared" si="5"/>
        <v>0</v>
      </c>
      <c r="P5" s="3170">
        <f>M5</f>
        <v>0</v>
      </c>
      <c r="Q5" s="3179"/>
      <c r="R5" s="3181">
        <f>ROUND(IF(项目基本情况!$B$8="出让",SUMPRODUCT(PRODUCT(1+K5:$K$16)),SUMPRODUCT(PRODUCT(1+K5:$K$15))),4)</f>
        <v>1.0659000000000001</v>
      </c>
      <c r="S5" s="3181">
        <f>ROUND(IF(项目基本情况!$B$8="出让",SUMPRODUCT(PRODUCT(1+L5:$L$16)),SUMPRODUCT(PRODUCT(1+L5:$L$15))),4)</f>
        <v>1.0326</v>
      </c>
      <c r="T5" s="3181">
        <f>ROUND(IF(项目基本情况!$B$8="出让",SUMPRODUCT(PRODUCT(1+M5:$M$16)),SUMPRODUCT(PRODUCT(1+M5:$M$15))),4)</f>
        <v>1.0203</v>
      </c>
      <c r="U5" s="3181">
        <f>ROUND(IF(项目基本情况!$B$8="出让",SUMPRODUCT(PRODUCT(1+N5:$N$16)),SUMPRODUCT(PRODUCT(1+N5:$N$15))),4)</f>
        <v>1.0714999999999999</v>
      </c>
      <c r="V5" s="3181">
        <f>ROUND(IF(项目基本情况!$B$8="出让",SUMPRODUCT(PRODUCT(1+O5:$O$16)),SUMPRODUCT(PRODUCT(1+O5:$O$15))),4)</f>
        <v>1.0555000000000001</v>
      </c>
      <c r="W5" s="3181">
        <f>T5</f>
        <v>1.0203</v>
      </c>
      <c r="X5" s="3179"/>
      <c r="Y5" s="3182">
        <f>IF(D5=0,0,ROUND(AVERAGE(D5:D16)/100,4))</f>
        <v>0</v>
      </c>
      <c r="Z5" s="3182">
        <f t="shared" ref="Z5:AC5" si="6">IF(E5=0,0,ROUND(AVERAGE(E5:E16)/100,4))</f>
        <v>0</v>
      </c>
      <c r="AA5" s="3182">
        <f t="shared" si="6"/>
        <v>0</v>
      </c>
      <c r="AB5" s="3182">
        <f t="shared" si="6"/>
        <v>0</v>
      </c>
      <c r="AC5" s="3182">
        <f t="shared" si="6"/>
        <v>0</v>
      </c>
      <c r="AD5" s="3182">
        <f t="shared" ref="AD5:AD15" si="7">AA5</f>
        <v>0</v>
      </c>
    </row>
    <row r="6" spans="1:30" s="3183" customFormat="1" ht="12.75">
      <c r="A6" s="3174" t="s">
        <v>3373</v>
      </c>
      <c r="B6" s="3175">
        <v>2023</v>
      </c>
      <c r="C6" s="3176">
        <v>3</v>
      </c>
      <c r="D6" s="3177">
        <v>0</v>
      </c>
      <c r="E6" s="3177">
        <v>0</v>
      </c>
      <c r="F6" s="3177">
        <v>0</v>
      </c>
      <c r="G6" s="3177">
        <v>0</v>
      </c>
      <c r="H6" s="3177">
        <v>0</v>
      </c>
      <c r="I6" s="3178">
        <f t="shared" si="4"/>
        <v>0</v>
      </c>
      <c r="J6" s="3179"/>
      <c r="K6" s="3180">
        <f t="shared" ref="K6:K8" si="8">D6/100</f>
        <v>0</v>
      </c>
      <c r="L6" s="3170">
        <f t="shared" ref="L6:L8" si="9">E6/100</f>
        <v>0</v>
      </c>
      <c r="M6" s="3170">
        <f t="shared" ref="M6:M8" si="10">F6/100</f>
        <v>0</v>
      </c>
      <c r="N6" s="3170">
        <f t="shared" ref="N6:N8" si="11">G6/100</f>
        <v>0</v>
      </c>
      <c r="O6" s="3170">
        <f t="shared" ref="O6:O8" si="12">H6/100</f>
        <v>0</v>
      </c>
      <c r="P6" s="3170">
        <f t="shared" ref="P6:P8" si="13">M6</f>
        <v>0</v>
      </c>
      <c r="Q6" s="3179"/>
      <c r="R6" s="3181">
        <f>ROUND(IF(项目基本情况!$B$8="出让",SUMPRODUCT(PRODUCT(1+K6:$K$16)),SUMPRODUCT(PRODUCT(1+K6:$K$15))),4)</f>
        <v>1.0659000000000001</v>
      </c>
      <c r="S6" s="3181">
        <f>ROUND(IF(项目基本情况!$B$8="出让",SUMPRODUCT(PRODUCT(1+L6:$L$16)),SUMPRODUCT(PRODUCT(1+L6:$L$15))),4)</f>
        <v>1.0326</v>
      </c>
      <c r="T6" s="3181">
        <f>ROUND(IF(项目基本情况!$B$8="出让",SUMPRODUCT(PRODUCT(1+M6:$M$16)),SUMPRODUCT(PRODUCT(1+M6:$M$15))),4)</f>
        <v>1.0203</v>
      </c>
      <c r="U6" s="3181">
        <f>ROUND(IF(项目基本情况!$B$8="出让",SUMPRODUCT(PRODUCT(1+N6:$N$16)),SUMPRODUCT(PRODUCT(1+N6:$N$15))),4)</f>
        <v>1.0714999999999999</v>
      </c>
      <c r="V6" s="3181">
        <f>ROUND(IF(项目基本情况!$B$8="出让",SUMPRODUCT(PRODUCT(1+O6:$O$16)),SUMPRODUCT(PRODUCT(1+O6:$O$15))),4)</f>
        <v>1.0555000000000001</v>
      </c>
      <c r="W6" s="3181">
        <f t="shared" ref="W6:W8" si="14">T6</f>
        <v>1.0203</v>
      </c>
      <c r="X6" s="3179"/>
      <c r="Y6" s="3182"/>
      <c r="Z6" s="3182"/>
      <c r="AA6" s="3182"/>
      <c r="AB6" s="3182"/>
      <c r="AC6" s="3182"/>
      <c r="AD6" s="3182"/>
    </row>
    <row r="7" spans="1:30" s="3183" customFormat="1" ht="12.75">
      <c r="A7" s="3174" t="s">
        <v>3371</v>
      </c>
      <c r="B7" s="3175">
        <v>2023</v>
      </c>
      <c r="C7" s="3176">
        <v>2</v>
      </c>
      <c r="D7" s="3177">
        <v>0</v>
      </c>
      <c r="E7" s="3177">
        <v>0</v>
      </c>
      <c r="F7" s="3177">
        <v>0</v>
      </c>
      <c r="G7" s="3177">
        <v>0</v>
      </c>
      <c r="H7" s="3177">
        <v>0</v>
      </c>
      <c r="I7" s="3178">
        <f t="shared" si="4"/>
        <v>0</v>
      </c>
      <c r="J7" s="3179"/>
      <c r="K7" s="3180">
        <f t="shared" si="8"/>
        <v>0</v>
      </c>
      <c r="L7" s="3170">
        <f t="shared" si="9"/>
        <v>0</v>
      </c>
      <c r="M7" s="3170">
        <f t="shared" si="10"/>
        <v>0</v>
      </c>
      <c r="N7" s="3170">
        <f t="shared" si="11"/>
        <v>0</v>
      </c>
      <c r="O7" s="3170">
        <f t="shared" si="12"/>
        <v>0</v>
      </c>
      <c r="P7" s="3170">
        <f t="shared" si="13"/>
        <v>0</v>
      </c>
      <c r="Q7" s="3179"/>
      <c r="R7" s="3181">
        <f>ROUND(IF(项目基本情况!$B$8="出让",SUMPRODUCT(PRODUCT(1+K7:$K$16)),SUMPRODUCT(PRODUCT(1+K7:$K$15))),4)</f>
        <v>1.0659000000000001</v>
      </c>
      <c r="S7" s="3181">
        <f>ROUND(IF(项目基本情况!$B$8="出让",SUMPRODUCT(PRODUCT(1+L7:$L$16)),SUMPRODUCT(PRODUCT(1+L7:$L$15))),4)</f>
        <v>1.0326</v>
      </c>
      <c r="T7" s="3181">
        <f>ROUND(IF(项目基本情况!$B$8="出让",SUMPRODUCT(PRODUCT(1+M7:$M$16)),SUMPRODUCT(PRODUCT(1+M7:$M$15))),4)</f>
        <v>1.0203</v>
      </c>
      <c r="U7" s="3181">
        <f>ROUND(IF(项目基本情况!$B$8="出让",SUMPRODUCT(PRODUCT(1+N7:$N$16)),SUMPRODUCT(PRODUCT(1+N7:$N$15))),4)</f>
        <v>1.0714999999999999</v>
      </c>
      <c r="V7" s="3181">
        <f>ROUND(IF(项目基本情况!$B$8="出让",SUMPRODUCT(PRODUCT(1+O7:$O$16)),SUMPRODUCT(PRODUCT(1+O7:$O$15))),4)</f>
        <v>1.0555000000000001</v>
      </c>
      <c r="W7" s="3181">
        <f t="shared" si="14"/>
        <v>1.0203</v>
      </c>
      <c r="X7" s="3179"/>
      <c r="Y7" s="3182"/>
      <c r="Z7" s="3182"/>
      <c r="AA7" s="3182"/>
      <c r="AB7" s="3182"/>
      <c r="AC7" s="3182"/>
      <c r="AD7" s="3182"/>
    </row>
    <row r="8" spans="1:30" s="3193" customFormat="1" ht="12.75">
      <c r="A8" s="3184" t="s">
        <v>3374</v>
      </c>
      <c r="B8" s="3185">
        <v>2023</v>
      </c>
      <c r="C8" s="3186">
        <v>1</v>
      </c>
      <c r="D8" s="3187">
        <v>0.89</v>
      </c>
      <c r="E8" s="3187">
        <v>0.74</v>
      </c>
      <c r="F8" s="3187">
        <v>0.56999999999999995</v>
      </c>
      <c r="G8" s="3187">
        <v>0.92</v>
      </c>
      <c r="H8" s="3188">
        <v>0.5</v>
      </c>
      <c r="I8" s="3189">
        <f t="shared" si="4"/>
        <v>0.56999999999999995</v>
      </c>
      <c r="J8" s="3190"/>
      <c r="K8" s="3191">
        <f t="shared" si="8"/>
        <v>8.8999999999999999E-3</v>
      </c>
      <c r="L8" s="3192">
        <f t="shared" si="9"/>
        <v>7.4000000000000003E-3</v>
      </c>
      <c r="M8" s="3192">
        <f t="shared" si="10"/>
        <v>5.6999999999999993E-3</v>
      </c>
      <c r="N8" s="3192">
        <f t="shared" si="11"/>
        <v>9.1999999999999998E-3</v>
      </c>
      <c r="O8" s="3192">
        <f t="shared" si="12"/>
        <v>5.0000000000000001E-3</v>
      </c>
      <c r="P8" s="3192">
        <f t="shared" si="13"/>
        <v>5.6999999999999993E-3</v>
      </c>
      <c r="Q8" s="3190"/>
      <c r="R8" s="3190">
        <f>ROUND(IF(项目基本情况!$B$8="出让",SUMPRODUCT(PRODUCT(1+K8:$K$16)),SUMPRODUCT(PRODUCT(1+K8:$K$15))),4)</f>
        <v>1.0659000000000001</v>
      </c>
      <c r="S8" s="3190">
        <f>ROUND(IF(项目基本情况!$B$8="出让",SUMPRODUCT(PRODUCT(1+L8:$L$16)),SUMPRODUCT(PRODUCT(1+L8:$L$15))),4)</f>
        <v>1.0326</v>
      </c>
      <c r="T8" s="3190">
        <f>ROUND(IF(项目基本情况!$B$8="出让",SUMPRODUCT(PRODUCT(1+M8:$M$16)),SUMPRODUCT(PRODUCT(1+M8:$M$15))),4)</f>
        <v>1.0203</v>
      </c>
      <c r="U8" s="3190">
        <f>ROUND(IF(项目基本情况!$B$8="出让",SUMPRODUCT(PRODUCT(1+N8:$N$16)),SUMPRODUCT(PRODUCT(1+N8:$N$15))),4)</f>
        <v>1.0714999999999999</v>
      </c>
      <c r="V8" s="3190">
        <f>ROUND(IF(项目基本情况!$B$8="出让",SUMPRODUCT(PRODUCT(1+O8:$O$16)),SUMPRODUCT(PRODUCT(1+O8:$O$15))),4)</f>
        <v>1.0555000000000001</v>
      </c>
      <c r="W8" s="3190">
        <f t="shared" si="14"/>
        <v>1.0203</v>
      </c>
      <c r="X8" s="3190"/>
      <c r="Y8" s="3192"/>
      <c r="Z8" s="3192"/>
      <c r="AA8" s="3192"/>
      <c r="AB8" s="3192"/>
      <c r="AC8" s="3192"/>
      <c r="AD8" s="3192"/>
    </row>
    <row r="9" spans="1:30" s="3183" customFormat="1" ht="12.75">
      <c r="A9" s="3174" t="s">
        <v>3375</v>
      </c>
      <c r="B9" s="3175">
        <v>2022</v>
      </c>
      <c r="C9" s="3176">
        <v>4</v>
      </c>
      <c r="D9" s="3177">
        <v>0.62</v>
      </c>
      <c r="E9" s="3177">
        <v>0.2</v>
      </c>
      <c r="F9" s="3177">
        <v>0.11</v>
      </c>
      <c r="G9" s="3177">
        <v>0.69</v>
      </c>
      <c r="H9" s="3194">
        <v>0.53</v>
      </c>
      <c r="I9" s="3178">
        <f t="shared" si="4"/>
        <v>0.11</v>
      </c>
      <c r="J9" s="3179"/>
      <c r="K9" s="3180">
        <f t="shared" si="5"/>
        <v>6.1999999999999998E-3</v>
      </c>
      <c r="L9" s="3170">
        <f t="shared" si="5"/>
        <v>2E-3</v>
      </c>
      <c r="M9" s="3170">
        <f t="shared" si="5"/>
        <v>1.1000000000000001E-3</v>
      </c>
      <c r="N9" s="3170">
        <f t="shared" si="5"/>
        <v>6.8999999999999999E-3</v>
      </c>
      <c r="O9" s="3170">
        <f t="shared" si="5"/>
        <v>5.3E-3</v>
      </c>
      <c r="P9" s="3170">
        <f t="shared" ref="P9:P16" si="15">M9</f>
        <v>1.1000000000000001E-3</v>
      </c>
      <c r="Q9" s="3179"/>
      <c r="R9" s="3181">
        <f>ROUND(IF([2]项目基本情况!B8="出让",SUMPRODUCT(PRODUCT(1+K9:K16)),SUMPRODUCT(PRODUCT(1+K9:K15))),4)</f>
        <v>1.0565</v>
      </c>
      <c r="S9" s="3181">
        <f>ROUND(IF([2]项目基本情况!B8="出让",SUMPRODUCT(PRODUCT(1+L9:L16)),SUMPRODUCT(PRODUCT(1+L9:L15))),4)</f>
        <v>1.0250999999999999</v>
      </c>
      <c r="T9" s="3181">
        <f>ROUND(IF([2]项目基本情况!B8="出让",SUMPRODUCT(PRODUCT(1+M9:M16)),SUMPRODUCT(PRODUCT(1+M9:M15))),4)</f>
        <v>1.0145</v>
      </c>
      <c r="U9" s="3181">
        <f>ROUND(IF([2]项目基本情况!B8="出让",SUMPRODUCT(PRODUCT(1+N9:N16)),SUMPRODUCT(PRODUCT(1+N9:N15))),4)</f>
        <v>1.0618000000000001</v>
      </c>
      <c r="V9" s="3181">
        <f>ROUND(IF([2]项目基本情况!B8="出让",SUMPRODUCT(PRODUCT(1+O9:O16)),SUMPRODUCT(PRODUCT(1+O9:O15))),4)</f>
        <v>1.0502</v>
      </c>
      <c r="W9" s="3181">
        <f t="shared" ref="W9:W16" si="16">T9</f>
        <v>1.0145</v>
      </c>
      <c r="X9" s="3179"/>
      <c r="Y9" s="3182">
        <f>IF(D9=0,0,ROUND(AVERAGE(D9:D17)/100,4))</f>
        <v>8.0999999999999996E-3</v>
      </c>
      <c r="Z9" s="3182">
        <f t="shared" ref="Z9:AC9" si="17">IF(E9=0,0,ROUND(AVERAGE(E9:E16)/100,4))</f>
        <v>3.3E-3</v>
      </c>
      <c r="AA9" s="3182">
        <f t="shared" si="17"/>
        <v>1.5E-3</v>
      </c>
      <c r="AB9" s="3182">
        <f t="shared" si="17"/>
        <v>8.8999999999999999E-3</v>
      </c>
      <c r="AC9" s="3182">
        <f t="shared" si="17"/>
        <v>6.6E-3</v>
      </c>
      <c r="AD9" s="3182">
        <f t="shared" si="7"/>
        <v>1.5E-3</v>
      </c>
    </row>
    <row r="10" spans="1:30" s="3183" customFormat="1" ht="12.75">
      <c r="A10" s="3174" t="s">
        <v>3367</v>
      </c>
      <c r="B10" s="3175">
        <v>2022</v>
      </c>
      <c r="C10" s="3176">
        <v>3</v>
      </c>
      <c r="D10" s="3177">
        <v>0.66</v>
      </c>
      <c r="E10" s="3177">
        <v>0.32</v>
      </c>
      <c r="F10" s="3177">
        <v>0.23</v>
      </c>
      <c r="G10" s="3177">
        <v>0.72</v>
      </c>
      <c r="H10" s="3194">
        <v>0.63</v>
      </c>
      <c r="I10" s="3178">
        <f t="shared" si="4"/>
        <v>0.23</v>
      </c>
      <c r="J10" s="3179"/>
      <c r="K10" s="3180">
        <f t="shared" si="5"/>
        <v>6.6E-3</v>
      </c>
      <c r="L10" s="3170">
        <f t="shared" si="5"/>
        <v>3.2000000000000002E-3</v>
      </c>
      <c r="M10" s="3170">
        <f t="shared" si="5"/>
        <v>2.3E-3</v>
      </c>
      <c r="N10" s="3170">
        <f t="shared" si="5"/>
        <v>7.1999999999999998E-3</v>
      </c>
      <c r="O10" s="3170">
        <f t="shared" si="5"/>
        <v>6.3E-3</v>
      </c>
      <c r="P10" s="3170">
        <f t="shared" si="15"/>
        <v>2.3E-3</v>
      </c>
      <c r="Q10" s="3179"/>
      <c r="R10" s="3181">
        <f>ROUND(IF([2]项目基本情况!B8="出让",SUMPRODUCT(PRODUCT(1+K10:K16)),SUMPRODUCT(PRODUCT(1+K10:K15))),4)</f>
        <v>1.05</v>
      </c>
      <c r="S10" s="3181">
        <f>ROUND(IF([2]项目基本情况!B8="出让",SUMPRODUCT(PRODUCT(1+L10:L16)),SUMPRODUCT(PRODUCT(1+L10:L15))),4)</f>
        <v>1.0229999999999999</v>
      </c>
      <c r="T10" s="3181">
        <f>ROUND(IF([2]项目基本情况!B8="出让",SUMPRODUCT(PRODUCT(1+M10:M16)),SUMPRODUCT(PRODUCT(1+M10:M15))),4)</f>
        <v>1.0134000000000001</v>
      </c>
      <c r="U10" s="3181">
        <f>ROUND(IF([2]项目基本情况!B8="出让",SUMPRODUCT(PRODUCT(1+N10:N16)),SUMPRODUCT(PRODUCT(1+N10:N15))),4)</f>
        <v>1.0545</v>
      </c>
      <c r="V10" s="3181">
        <f>ROUND(IF([2]项目基本情况!B8="出让",SUMPRODUCT(PRODUCT(1+O10:O16)),SUMPRODUCT(PRODUCT(1+O10:O15))),4)</f>
        <v>1.0447</v>
      </c>
      <c r="W10" s="3181">
        <f t="shared" si="16"/>
        <v>1.0134000000000001</v>
      </c>
      <c r="X10" s="3179"/>
      <c r="Y10" s="3182">
        <f>IF(D10=0,0,ROUND(AVERAGE(D10:D16)/100,4))</f>
        <v>8.3999999999999995E-3</v>
      </c>
      <c r="Z10" s="3182">
        <f t="shared" ref="Z10:AC10" si="18">IF(E10=0,0,ROUND(AVERAGE(E10:E16)/100,4))</f>
        <v>3.5000000000000001E-3</v>
      </c>
      <c r="AA10" s="3182">
        <f t="shared" si="18"/>
        <v>1.5E-3</v>
      </c>
      <c r="AB10" s="3182">
        <f t="shared" si="18"/>
        <v>9.1999999999999998E-3</v>
      </c>
      <c r="AC10" s="3182">
        <f t="shared" si="18"/>
        <v>6.7999999999999996E-3</v>
      </c>
      <c r="AD10" s="3182">
        <f t="shared" si="7"/>
        <v>1.5E-3</v>
      </c>
    </row>
    <row r="11" spans="1:30" s="3183" customFormat="1" ht="12.75">
      <c r="A11" s="3174" t="s">
        <v>3358</v>
      </c>
      <c r="B11" s="3175">
        <v>2022</v>
      </c>
      <c r="C11" s="3176">
        <v>2</v>
      </c>
      <c r="D11" s="3177">
        <v>0.93</v>
      </c>
      <c r="E11" s="3177">
        <v>0.15</v>
      </c>
      <c r="F11" s="3177">
        <v>0.01</v>
      </c>
      <c r="G11" s="3177">
        <v>1.05</v>
      </c>
      <c r="H11" s="3194">
        <v>1.08</v>
      </c>
      <c r="I11" s="3178">
        <f t="shared" si="4"/>
        <v>0.01</v>
      </c>
      <c r="J11" s="3179"/>
      <c r="K11" s="3180">
        <f t="shared" si="5"/>
        <v>9.300000000000001E-3</v>
      </c>
      <c r="L11" s="3170">
        <f t="shared" si="5"/>
        <v>1.5E-3</v>
      </c>
      <c r="M11" s="3170">
        <f t="shared" si="5"/>
        <v>1E-4</v>
      </c>
      <c r="N11" s="3170">
        <f t="shared" si="5"/>
        <v>1.0500000000000001E-2</v>
      </c>
      <c r="O11" s="3170">
        <f t="shared" si="5"/>
        <v>1.0800000000000001E-2</v>
      </c>
      <c r="P11" s="3170">
        <f t="shared" si="15"/>
        <v>1E-4</v>
      </c>
      <c r="Q11" s="3179"/>
      <c r="R11" s="3181">
        <f>ROUND(IF([2]项目基本情况!B8="出让",SUMPRODUCT(PRODUCT(1+K11:K16)),SUMPRODUCT(PRODUCT(1+K11:K15))),4)</f>
        <v>1.0430999999999999</v>
      </c>
      <c r="S11" s="3181">
        <f>ROUND(IF([2]项目基本情况!B8="出让",SUMPRODUCT(PRODUCT(1+L11:L16)),SUMPRODUCT(PRODUCT(1+L11:L15))),4)</f>
        <v>1.0197000000000001</v>
      </c>
      <c r="T11" s="3181">
        <f>ROUND(IF([2]项目基本情况!B8="出让",SUMPRODUCT(PRODUCT(1+M11:M16)),SUMPRODUCT(PRODUCT(1+M11:M15))),4)</f>
        <v>1.0109999999999999</v>
      </c>
      <c r="U11" s="3181">
        <f>ROUND(IF([2]项目基本情况!B8="出让",SUMPRODUCT(PRODUCT(1+N11:N16)),SUMPRODUCT(PRODUCT(1+N11:N15))),4)</f>
        <v>1.0468999999999999</v>
      </c>
      <c r="V11" s="3181">
        <f>ROUND(IF([2]项目基本情况!B8="出让",SUMPRODUCT(PRODUCT(1+O11:O16)),SUMPRODUCT(PRODUCT(1+O11:O15))),4)</f>
        <v>1.0382</v>
      </c>
      <c r="W11" s="3181">
        <f t="shared" si="16"/>
        <v>1.0109999999999999</v>
      </c>
      <c r="X11" s="3179"/>
      <c r="Y11" s="3182">
        <f>IF(D11=0,0,ROUND(AVERAGE(D11:D16)/100,4))</f>
        <v>8.6999999999999994E-3</v>
      </c>
      <c r="Z11" s="3182">
        <f t="shared" ref="Z11:AC11" si="19">IF(E11=0,0,ROUND(AVERAGE(E11:E16)/100,4))</f>
        <v>3.5000000000000001E-3</v>
      </c>
      <c r="AA11" s="3182">
        <f t="shared" si="19"/>
        <v>1.4E-3</v>
      </c>
      <c r="AB11" s="3182">
        <f t="shared" si="19"/>
        <v>9.4999999999999998E-3</v>
      </c>
      <c r="AC11" s="3182">
        <f t="shared" si="19"/>
        <v>6.8999999999999999E-3</v>
      </c>
      <c r="AD11" s="3182">
        <f t="shared" si="7"/>
        <v>1.4E-3</v>
      </c>
    </row>
    <row r="12" spans="1:30" s="3183" customFormat="1" ht="12.75">
      <c r="A12" s="3174" t="s">
        <v>2821</v>
      </c>
      <c r="B12" s="3175">
        <v>2022</v>
      </c>
      <c r="C12" s="3176">
        <v>1</v>
      </c>
      <c r="D12" s="3177">
        <v>0.89</v>
      </c>
      <c r="E12" s="3177">
        <v>0.44</v>
      </c>
      <c r="F12" s="3177">
        <v>0.37</v>
      </c>
      <c r="G12" s="3177">
        <v>0.96</v>
      </c>
      <c r="H12" s="3194">
        <v>0.64</v>
      </c>
      <c r="I12" s="3178">
        <f t="shared" si="4"/>
        <v>0.37</v>
      </c>
      <c r="J12" s="3179"/>
      <c r="K12" s="3180">
        <f t="shared" si="5"/>
        <v>8.8999999999999999E-3</v>
      </c>
      <c r="L12" s="3170">
        <f t="shared" si="5"/>
        <v>4.4000000000000003E-3</v>
      </c>
      <c r="M12" s="3170">
        <f t="shared" si="5"/>
        <v>3.7000000000000002E-3</v>
      </c>
      <c r="N12" s="3170">
        <f t="shared" si="5"/>
        <v>9.5999999999999992E-3</v>
      </c>
      <c r="O12" s="3170">
        <f t="shared" si="5"/>
        <v>6.4000000000000003E-3</v>
      </c>
      <c r="P12" s="3170">
        <f t="shared" si="15"/>
        <v>3.7000000000000002E-3</v>
      </c>
      <c r="Q12" s="3179"/>
      <c r="R12" s="3181">
        <f>ROUND(IF([2]项目基本情况!B8="出让",SUMPRODUCT(PRODUCT(1+K12:K16)),SUMPRODUCT(PRODUCT(1+K12:K15))),4)</f>
        <v>1.0335000000000001</v>
      </c>
      <c r="S12" s="3181">
        <f>ROUND(IF([2]项目基本情况!B8="出让",SUMPRODUCT(PRODUCT(1+L12:L16)),SUMPRODUCT(PRODUCT(1+L12:L15))),4)</f>
        <v>1.0182</v>
      </c>
      <c r="T12" s="3181">
        <f>ROUND(IF([2]项目基本情况!B8="出让",SUMPRODUCT(PRODUCT(1+M12:M16)),SUMPRODUCT(PRODUCT(1+M12:M15))),4)</f>
        <v>1.0108999999999999</v>
      </c>
      <c r="U12" s="3181">
        <f>ROUND(IF([2]项目基本情况!B8="出让",SUMPRODUCT(PRODUCT(1+N12:N16)),SUMPRODUCT(PRODUCT(1+N12:N15))),4)</f>
        <v>1.0361</v>
      </c>
      <c r="V12" s="3181">
        <f>ROUND(IF([2]项目基本情况!B8="出让",SUMPRODUCT(PRODUCT(1+O12:O16)),SUMPRODUCT(PRODUCT(1+O12:O15))),4)</f>
        <v>1.0270999999999999</v>
      </c>
      <c r="W12" s="3181">
        <f t="shared" si="16"/>
        <v>1.0108999999999999</v>
      </c>
      <c r="X12" s="3179"/>
      <c r="Y12" s="3182">
        <f>IF(D12=0,0,ROUND(AVERAGE(D12:D16)/100,4))</f>
        <v>8.6E-3</v>
      </c>
      <c r="Z12" s="3182">
        <f t="shared" ref="Z12:AC12" si="20">IF(E12=0,0,ROUND(AVERAGE(E12:E16)/100,4))</f>
        <v>3.8999999999999998E-3</v>
      </c>
      <c r="AA12" s="3182">
        <f t="shared" si="20"/>
        <v>1.6999999999999999E-3</v>
      </c>
      <c r="AB12" s="3182">
        <f t="shared" si="20"/>
        <v>9.2999999999999992E-3</v>
      </c>
      <c r="AC12" s="3182">
        <f t="shared" si="20"/>
        <v>6.1000000000000004E-3</v>
      </c>
      <c r="AD12" s="3182">
        <f t="shared" si="7"/>
        <v>1.6999999999999999E-3</v>
      </c>
    </row>
    <row r="13" spans="1:30" s="3183" customFormat="1" ht="12.75">
      <c r="A13" s="3174" t="s">
        <v>2822</v>
      </c>
      <c r="B13" s="3175">
        <v>2021</v>
      </c>
      <c r="C13" s="3176">
        <v>4</v>
      </c>
      <c r="D13" s="3177">
        <v>1.03</v>
      </c>
      <c r="E13" s="3177">
        <v>0.24</v>
      </c>
      <c r="F13" s="3177">
        <v>7.0000000000000007E-2</v>
      </c>
      <c r="G13" s="3177">
        <v>1.17</v>
      </c>
      <c r="H13" s="3194">
        <v>0.55000000000000004</v>
      </c>
      <c r="I13" s="3178">
        <f t="shared" si="4"/>
        <v>7.0000000000000007E-2</v>
      </c>
      <c r="J13" s="3179"/>
      <c r="K13" s="3180">
        <f t="shared" si="5"/>
        <v>1.03E-2</v>
      </c>
      <c r="L13" s="3170">
        <f t="shared" si="5"/>
        <v>2.3999999999999998E-3</v>
      </c>
      <c r="M13" s="3170">
        <f t="shared" si="5"/>
        <v>7.000000000000001E-4</v>
      </c>
      <c r="N13" s="3170">
        <f t="shared" si="5"/>
        <v>1.1699999999999999E-2</v>
      </c>
      <c r="O13" s="3170">
        <f t="shared" si="5"/>
        <v>5.5000000000000005E-3</v>
      </c>
      <c r="P13" s="3170">
        <f t="shared" si="15"/>
        <v>7.000000000000001E-4</v>
      </c>
      <c r="Q13" s="3179"/>
      <c r="R13" s="3181">
        <f>ROUND(IF([2]项目基本情况!B8="出让",SUMPRODUCT(PRODUCT(1+K13:K16)),SUMPRODUCT(PRODUCT(1+K13:K15))),4)</f>
        <v>1.0244</v>
      </c>
      <c r="S13" s="3181">
        <f>ROUND(IF([2]项目基本情况!B8="出让",SUMPRODUCT(PRODUCT(1+L13:L16)),SUMPRODUCT(PRODUCT(1+L13:L15))),4)</f>
        <v>1.0138</v>
      </c>
      <c r="T13" s="3181">
        <f>ROUND(IF([2]项目基本情况!B8="出让",SUMPRODUCT(PRODUCT(1+M13:M16)),SUMPRODUCT(PRODUCT(1+M13:M15))),4)</f>
        <v>1.0072000000000001</v>
      </c>
      <c r="U13" s="3181">
        <f>ROUND(IF([2]项目基本情况!B8="出让",SUMPRODUCT(PRODUCT(1+N13:N16)),SUMPRODUCT(PRODUCT(1+N13:N15))),4)</f>
        <v>1.0262</v>
      </c>
      <c r="V13" s="3181">
        <f>ROUND(IF([2]项目基本情况!B8="出让",SUMPRODUCT(PRODUCT(1+O13:O16)),SUMPRODUCT(PRODUCT(1+O13:O15))),4)</f>
        <v>1.0205</v>
      </c>
      <c r="W13" s="3181">
        <f t="shared" si="16"/>
        <v>1.0072000000000001</v>
      </c>
      <c r="X13" s="3179"/>
      <c r="Y13" s="3182">
        <f>IF(D13=0,0,ROUND(AVERAGE(D13:D16)/100,4))</f>
        <v>8.5000000000000006E-3</v>
      </c>
      <c r="Z13" s="3182">
        <f t="shared" ref="Z13:AC13" si="21">IF(E13=0,0,ROUND(AVERAGE(E13:E16)/100,4))</f>
        <v>3.8E-3</v>
      </c>
      <c r="AA13" s="3182">
        <f t="shared" si="21"/>
        <v>1.1999999999999999E-3</v>
      </c>
      <c r="AB13" s="3182">
        <f t="shared" si="21"/>
        <v>9.2999999999999992E-3</v>
      </c>
      <c r="AC13" s="3182">
        <f t="shared" si="21"/>
        <v>6.0000000000000001E-3</v>
      </c>
      <c r="AD13" s="3182">
        <f t="shared" si="7"/>
        <v>1.1999999999999999E-3</v>
      </c>
    </row>
    <row r="14" spans="1:30" s="3183" customFormat="1" ht="12.75">
      <c r="A14" s="3174" t="s">
        <v>2823</v>
      </c>
      <c r="B14" s="3175">
        <v>2021</v>
      </c>
      <c r="C14" s="3176">
        <v>3</v>
      </c>
      <c r="D14" s="3177">
        <v>0.47</v>
      </c>
      <c r="E14" s="3177">
        <v>0.41</v>
      </c>
      <c r="F14" s="3177">
        <v>0.24</v>
      </c>
      <c r="G14" s="3177">
        <v>0.48</v>
      </c>
      <c r="H14" s="3194">
        <v>0.48</v>
      </c>
      <c r="I14" s="3178">
        <f t="shared" si="4"/>
        <v>0.24</v>
      </c>
      <c r="J14" s="3179"/>
      <c r="K14" s="3180">
        <f t="shared" si="5"/>
        <v>4.6999999999999993E-3</v>
      </c>
      <c r="L14" s="3170">
        <f t="shared" si="5"/>
        <v>4.0999999999999995E-3</v>
      </c>
      <c r="M14" s="3170">
        <f t="shared" si="5"/>
        <v>2.3999999999999998E-3</v>
      </c>
      <c r="N14" s="3170">
        <f t="shared" si="5"/>
        <v>4.7999999999999996E-3</v>
      </c>
      <c r="O14" s="3170">
        <f t="shared" si="5"/>
        <v>4.7999999999999996E-3</v>
      </c>
      <c r="P14" s="3170">
        <f t="shared" si="15"/>
        <v>2.3999999999999998E-3</v>
      </c>
      <c r="Q14" s="3179"/>
      <c r="R14" s="3181">
        <f>ROUND(IF([2]项目基本情况!B8="出让",SUMPRODUCT(PRODUCT(1+K14:K16)),SUMPRODUCT(PRODUCT(1+K14:K15))),4)</f>
        <v>1.0139</v>
      </c>
      <c r="S14" s="3181">
        <f>ROUND(IF([2]项目基本情况!B8="出让",SUMPRODUCT(PRODUCT(1+L14:L16)),SUMPRODUCT(PRODUCT(1+L14:L15))),4)</f>
        <v>1.0113000000000001</v>
      </c>
      <c r="T14" s="3181">
        <f>ROUND(IF([2]项目基本情况!B8="出让",SUMPRODUCT(PRODUCT(1+M14:M16)),SUMPRODUCT(PRODUCT(1+M14:M15))),4)</f>
        <v>1.0065</v>
      </c>
      <c r="U14" s="3181">
        <f>ROUND(IF([2]项目基本情况!B8="出让",SUMPRODUCT(PRODUCT(1+N14:N16)),SUMPRODUCT(PRODUCT(1+N14:N15))),4)</f>
        <v>1.0143</v>
      </c>
      <c r="V14" s="3181">
        <f>ROUND(IF([2]项目基本情况!B8="出让",SUMPRODUCT(PRODUCT(1+O14:O16)),SUMPRODUCT(PRODUCT(1+O14:O15))),4)</f>
        <v>1.0148999999999999</v>
      </c>
      <c r="W14" s="3181">
        <f t="shared" si="16"/>
        <v>1.0065</v>
      </c>
      <c r="X14" s="3179"/>
      <c r="Y14" s="3182">
        <f>IF(D14=0,0,ROUND(AVERAGE(D14:D16)/100,4))</f>
        <v>7.9000000000000008E-3</v>
      </c>
      <c r="Z14" s="3182">
        <f>IF(E14=0,0,ROUND(AVERAGE(E14:E16)/100,4))</f>
        <v>4.3E-3</v>
      </c>
      <c r="AA14" s="3182">
        <f>IF(F14=0,0,ROUND(AVERAGE(F14:F16)/100,4))</f>
        <v>1.2999999999999999E-3</v>
      </c>
      <c r="AB14" s="3182">
        <f>IF(G14=0,0,ROUND(AVERAGE(G14:G16)/100,4))</f>
        <v>8.5000000000000006E-3</v>
      </c>
      <c r="AC14" s="3182">
        <f>IF(H14=0,0,ROUND(AVERAGE(H14:H16)/100,4))</f>
        <v>6.1999999999999998E-3</v>
      </c>
      <c r="AD14" s="3182">
        <f t="shared" si="7"/>
        <v>1.2999999999999999E-3</v>
      </c>
    </row>
    <row r="15" spans="1:30" s="3183" customFormat="1" ht="12.75">
      <c r="A15" s="3174" t="s">
        <v>2824</v>
      </c>
      <c r="B15" s="3175">
        <v>2021</v>
      </c>
      <c r="C15" s="3176">
        <v>2</v>
      </c>
      <c r="D15" s="3177">
        <v>0.92</v>
      </c>
      <c r="E15" s="3177">
        <v>0.72</v>
      </c>
      <c r="F15" s="3177">
        <v>0.41</v>
      </c>
      <c r="G15" s="3177">
        <v>0.95</v>
      </c>
      <c r="H15" s="3194">
        <v>1.01</v>
      </c>
      <c r="I15" s="3178">
        <f t="shared" si="4"/>
        <v>0.41</v>
      </c>
      <c r="J15" s="3179"/>
      <c r="K15" s="3180">
        <f t="shared" si="5"/>
        <v>9.1999999999999998E-3</v>
      </c>
      <c r="L15" s="3170">
        <f t="shared" si="5"/>
        <v>7.1999999999999998E-3</v>
      </c>
      <c r="M15" s="3170">
        <f t="shared" si="5"/>
        <v>4.0999999999999995E-3</v>
      </c>
      <c r="N15" s="3170">
        <f t="shared" si="5"/>
        <v>9.4999999999999998E-3</v>
      </c>
      <c r="O15" s="3170">
        <f t="shared" si="5"/>
        <v>1.01E-2</v>
      </c>
      <c r="P15" s="3170">
        <f t="shared" si="15"/>
        <v>4.0999999999999995E-3</v>
      </c>
      <c r="Q15" s="3179"/>
      <c r="R15" s="3181">
        <f>ROUND(IF([2]项目基本情况!B8="出让",SUMPRODUCT(PRODUCT(1+K15:K16)),SUMPRODUCT(PRODUCT(1+K15:K15))),4)</f>
        <v>1.0092000000000001</v>
      </c>
      <c r="S15" s="3181">
        <f>ROUND(IF([2]项目基本情况!B8="出让",SUMPRODUCT(PRODUCT(1+L15:L16)),SUMPRODUCT(PRODUCT(1+L15:L15))),4)</f>
        <v>1.0072000000000001</v>
      </c>
      <c r="T15" s="3181">
        <f>ROUND(IF([2]项目基本情况!B8="出让",SUMPRODUCT(PRODUCT(1+M15:M16)),SUMPRODUCT(PRODUCT(1+M15:M15))),4)</f>
        <v>1.0041</v>
      </c>
      <c r="U15" s="3181">
        <f>ROUND(IF([2]项目基本情况!B8="出让",SUMPRODUCT(PRODUCT(1+N15:N16)),SUMPRODUCT(PRODUCT(1+N15:N15))),4)</f>
        <v>1.0095000000000001</v>
      </c>
      <c r="V15" s="3181">
        <f>ROUND(IF([2]项目基本情况!B8="出让",SUMPRODUCT(PRODUCT(1+O15:O16)),SUMPRODUCT(PRODUCT(1+O15:O15))),4)</f>
        <v>1.0101</v>
      </c>
      <c r="W15" s="3181">
        <f t="shared" si="16"/>
        <v>1.0041</v>
      </c>
      <c r="X15" s="3179"/>
      <c r="Y15" s="3182">
        <f>IF(D15=0,0,ROUND(AVERAGE(D15:D16)/100,4))</f>
        <v>9.4999999999999998E-3</v>
      </c>
      <c r="Z15" s="3182">
        <f>IF(E15=0,0,ROUND(AVERAGE(E15:E16)/100,4))</f>
        <v>4.4000000000000003E-3</v>
      </c>
      <c r="AA15" s="3182">
        <f>IF(F15=0,0,ROUND(AVERAGE(F15:F16)/100,4))</f>
        <v>8.0000000000000004E-4</v>
      </c>
      <c r="AB15" s="3182">
        <f>IF(G15=0,0,ROUND(AVERAGE(G15:G16)/100,4))</f>
        <v>1.03E-2</v>
      </c>
      <c r="AC15" s="3182">
        <f>IF(H15=0,0,ROUND(AVERAGE(H15:H16)/100,4))</f>
        <v>6.8999999999999999E-3</v>
      </c>
      <c r="AD15" s="3182">
        <f t="shared" si="7"/>
        <v>8.0000000000000004E-4</v>
      </c>
    </row>
    <row r="16" spans="1:30" s="3205" customFormat="1" thickBot="1">
      <c r="A16" s="3195" t="s">
        <v>2825</v>
      </c>
      <c r="B16" s="3196">
        <v>2021</v>
      </c>
      <c r="C16" s="3197">
        <v>1</v>
      </c>
      <c r="D16" s="3198">
        <v>0.97</v>
      </c>
      <c r="E16" s="3198">
        <v>0.16</v>
      </c>
      <c r="F16" s="3198">
        <v>-0.25</v>
      </c>
      <c r="G16" s="3198">
        <v>1.1100000000000001</v>
      </c>
      <c r="H16" s="3199">
        <v>0.36</v>
      </c>
      <c r="I16" s="3200">
        <f t="shared" si="4"/>
        <v>-0.25</v>
      </c>
      <c r="J16" s="3201"/>
      <c r="K16" s="3202">
        <f t="shared" si="5"/>
        <v>9.7000000000000003E-3</v>
      </c>
      <c r="L16" s="3203">
        <f t="shared" si="5"/>
        <v>1.6000000000000001E-3</v>
      </c>
      <c r="M16" s="3203">
        <f>F16/100</f>
        <v>-2.5000000000000001E-3</v>
      </c>
      <c r="N16" s="3203">
        <f t="shared" si="5"/>
        <v>1.11E-2</v>
      </c>
      <c r="O16" s="3203">
        <f t="shared" si="5"/>
        <v>3.5999999999999999E-3</v>
      </c>
      <c r="P16" s="3203">
        <f t="shared" si="15"/>
        <v>-2.5000000000000001E-3</v>
      </c>
      <c r="Q16" s="3201"/>
      <c r="R16" s="3204">
        <v>1</v>
      </c>
      <c r="S16" s="3204">
        <v>1</v>
      </c>
      <c r="T16" s="3204">
        <v>1</v>
      </c>
      <c r="U16" s="3204">
        <v>1</v>
      </c>
      <c r="V16" s="3204">
        <v>1</v>
      </c>
      <c r="W16" s="3204">
        <f t="shared" si="16"/>
        <v>1</v>
      </c>
      <c r="X16" s="3201"/>
      <c r="Y16" s="3203">
        <f>IF(D16=0,0,ROUND(AVERAGE(D16:D16)/100,4))</f>
        <v>9.7000000000000003E-3</v>
      </c>
      <c r="Z16" s="3203">
        <f>IF(E16=0,0,ROUND(AVERAGE(E16:E16)/100,4))</f>
        <v>1.6000000000000001E-3</v>
      </c>
      <c r="AA16" s="3203">
        <f>IF(F16=0,0,ROUND(AVERAGE(F16:F16)/100,4))</f>
        <v>-2.5000000000000001E-3</v>
      </c>
      <c r="AB16" s="3203">
        <f>IF(G16=0,0,ROUND(AVERAGE(G16:G16)/100,4))</f>
        <v>1.11E-2</v>
      </c>
      <c r="AC16" s="3203">
        <f>IF(H16=0,0,ROUND(AVERAGE(H16:H16)/100,4))</f>
        <v>3.5999999999999999E-3</v>
      </c>
      <c r="AD16" s="3203">
        <f>AA16</f>
        <v>-2.5000000000000001E-3</v>
      </c>
    </row>
    <row r="17" spans="1:30" s="3007" customFormat="1" ht="14.25" thickTop="1"/>
    <row r="18" spans="1:30" s="3007" customFormat="1">
      <c r="A18" s="3446" t="s">
        <v>3369</v>
      </c>
    </row>
    <row r="19" spans="1:30" s="3007" customFormat="1">
      <c r="I19" s="3206" t="s">
        <v>2826</v>
      </c>
    </row>
    <row r="20" spans="1:30" s="3007" customFormat="1"/>
    <row r="21" spans="1:30" s="3207" customFormat="1" ht="12.75">
      <c r="B21" s="3208" t="s">
        <v>2827</v>
      </c>
      <c r="C21" s="3209"/>
      <c r="D21" s="3209"/>
      <c r="E21" s="3209"/>
      <c r="F21" s="3209"/>
      <c r="G21" s="3209"/>
      <c r="H21" s="3209"/>
      <c r="I21" s="3209"/>
      <c r="J21" s="3163"/>
      <c r="K21" s="3209" t="s">
        <v>2828</v>
      </c>
      <c r="L21" s="3209"/>
      <c r="M21" s="3209"/>
      <c r="N21" s="3209"/>
      <c r="O21" s="3209"/>
      <c r="P21" s="3209"/>
      <c r="Q21" s="3163"/>
      <c r="R21" s="3787" t="s">
        <v>2829</v>
      </c>
      <c r="S21" s="3788"/>
      <c r="T21" s="3788"/>
      <c r="U21" s="3788"/>
      <c r="V21" s="3788"/>
      <c r="W21" s="3788"/>
      <c r="X21" s="3163"/>
      <c r="Y21" s="3787" t="s">
        <v>2830</v>
      </c>
      <c r="Z21" s="3788"/>
      <c r="AA21" s="3788"/>
      <c r="AB21" s="3788"/>
      <c r="AC21" s="3788"/>
      <c r="AD21" s="3788"/>
    </row>
    <row r="22" spans="1:30" s="3141" customFormat="1" ht="14.25" thickBot="1">
      <c r="B22" s="3142"/>
      <c r="C22" s="3143"/>
      <c r="D22" s="3144" t="s">
        <v>2831</v>
      </c>
      <c r="E22" s="3145" t="s">
        <v>2832</v>
      </c>
      <c r="F22" s="3145" t="s">
        <v>2833</v>
      </c>
      <c r="G22" s="3145" t="s">
        <v>2834</v>
      </c>
      <c r="H22" s="3145"/>
      <c r="I22" s="3145" t="s">
        <v>2835</v>
      </c>
      <c r="J22" s="3146"/>
      <c r="K22" s="3144" t="s">
        <v>2831</v>
      </c>
      <c r="L22" s="3145" t="s">
        <v>2832</v>
      </c>
      <c r="M22" s="3145" t="s">
        <v>2833</v>
      </c>
      <c r="N22" s="3145" t="s">
        <v>2834</v>
      </c>
      <c r="O22" s="3145"/>
      <c r="P22" s="3145" t="s">
        <v>2835</v>
      </c>
      <c r="Q22" s="3146"/>
      <c r="R22" s="3144" t="s">
        <v>2831</v>
      </c>
      <c r="S22" s="3145" t="s">
        <v>2832</v>
      </c>
      <c r="T22" s="3145" t="s">
        <v>2833</v>
      </c>
      <c r="U22" s="3145" t="s">
        <v>2834</v>
      </c>
      <c r="V22" s="3145"/>
      <c r="W22" s="3145" t="s">
        <v>2835</v>
      </c>
      <c r="X22" s="3146"/>
      <c r="Y22" s="3144" t="s">
        <v>2831</v>
      </c>
      <c r="Z22" s="3145" t="s">
        <v>2832</v>
      </c>
      <c r="AA22" s="3145" t="s">
        <v>2833</v>
      </c>
      <c r="AB22" s="3145" t="s">
        <v>2834</v>
      </c>
      <c r="AC22" s="3145"/>
      <c r="AD22" s="3145" t="s">
        <v>2835</v>
      </c>
    </row>
    <row r="23" spans="1:30" s="3159" customFormat="1" ht="12.75">
      <c r="A23" s="3147" t="s">
        <v>2836</v>
      </c>
      <c r="B23" s="3148"/>
      <c r="C23" s="3149"/>
      <c r="D23" s="3149"/>
      <c r="E23" s="3149">
        <f t="shared" ref="E23:G23" si="22">ROUND(AVERAGEIF(E24:E36,"&lt;&gt;0"),2)</f>
        <v>0.42</v>
      </c>
      <c r="F23" s="3149">
        <f t="shared" si="22"/>
        <v>0.3</v>
      </c>
      <c r="G23" s="3149">
        <f t="shared" si="22"/>
        <v>0.73</v>
      </c>
      <c r="H23" s="3149"/>
      <c r="I23" s="3149">
        <f>F23</f>
        <v>0.3</v>
      </c>
      <c r="J23" s="3150"/>
      <c r="K23" s="3151"/>
      <c r="L23" s="3152">
        <f t="shared" ref="L23:N23" si="23">ROUND(AVERAGEIF(L24:L36,"&lt;&gt;0"),4)</f>
        <v>4.1999999999999997E-3</v>
      </c>
      <c r="M23" s="3152">
        <f t="shared" si="23"/>
        <v>3.0000000000000001E-3</v>
      </c>
      <c r="N23" s="3152">
        <f t="shared" si="23"/>
        <v>7.3000000000000001E-3</v>
      </c>
      <c r="O23" s="3152"/>
      <c r="P23" s="3152">
        <f>M23</f>
        <v>3.0000000000000001E-3</v>
      </c>
      <c r="Q23" s="3150"/>
      <c r="R23" s="3153"/>
      <c r="S23" s="3154">
        <f>ROUND(SUMPRODUCT(PRODUCT(1+L24:L36)),4)</f>
        <v>1.038</v>
      </c>
      <c r="T23" s="3154">
        <f t="shared" ref="T23:U23" si="24">ROUND(SUMPRODUCT(PRODUCT(1+M24:M36)),4)</f>
        <v>1.0273000000000001</v>
      </c>
      <c r="U23" s="3154">
        <f t="shared" si="24"/>
        <v>1.0677000000000001</v>
      </c>
      <c r="V23" s="3154"/>
      <c r="W23" s="3153">
        <f>T23</f>
        <v>1.0273000000000001</v>
      </c>
      <c r="X23" s="3150"/>
      <c r="Y23" s="3155"/>
      <c r="Z23" s="3156">
        <f t="shared" ref="Z23:AB23" si="25">ROUND(AVERAGEIF(Z24:Z36,"&lt;&gt;0"),4)</f>
        <v>4.3E-3</v>
      </c>
      <c r="AA23" s="3157">
        <f t="shared" si="25"/>
        <v>3.5999999999999999E-3</v>
      </c>
      <c r="AB23" s="3155">
        <f t="shared" si="25"/>
        <v>8.8999999999999999E-3</v>
      </c>
      <c r="AC23" s="3158"/>
      <c r="AD23" s="3155">
        <f>AA23</f>
        <v>3.5999999999999999E-3</v>
      </c>
    </row>
    <row r="24" spans="1:30" s="3160" customFormat="1" ht="12.75">
      <c r="B24" s="3161"/>
      <c r="C24" s="3162"/>
      <c r="D24" s="3162"/>
      <c r="E24" s="3162"/>
      <c r="F24" s="3162"/>
      <c r="G24" s="3162"/>
      <c r="H24" s="3162"/>
      <c r="I24" s="3162"/>
      <c r="J24" s="3163"/>
      <c r="K24" s="3164"/>
      <c r="L24" s="3165"/>
      <c r="M24" s="3165"/>
      <c r="N24" s="3165"/>
      <c r="O24" s="3165"/>
      <c r="P24" s="3165"/>
      <c r="Q24" s="3163"/>
      <c r="R24" s="3166"/>
      <c r="S24" s="3167"/>
      <c r="T24" s="3168"/>
      <c r="U24" s="3166"/>
      <c r="V24" s="3169"/>
      <c r="W24" s="3166"/>
      <c r="X24" s="3163"/>
      <c r="Y24" s="3170"/>
      <c r="Z24" s="3171"/>
      <c r="AA24" s="3172"/>
      <c r="AB24" s="3170"/>
      <c r="AC24" s="3173"/>
      <c r="AD24" s="3170"/>
    </row>
    <row r="25" spans="1:30" s="3183" customFormat="1" ht="12.75">
      <c r="A25" s="3174" t="s">
        <v>3372</v>
      </c>
      <c r="B25" s="3175">
        <v>2023</v>
      </c>
      <c r="C25" s="3176">
        <v>4</v>
      </c>
      <c r="D25" s="3177"/>
      <c r="E25" s="3177">
        <v>0</v>
      </c>
      <c r="F25" s="3177">
        <v>0</v>
      </c>
      <c r="G25" s="3177">
        <v>0</v>
      </c>
      <c r="H25" s="3177"/>
      <c r="I25" s="3178">
        <f t="shared" ref="I25:I36" si="26">F25</f>
        <v>0</v>
      </c>
      <c r="J25" s="3179"/>
      <c r="K25" s="3180"/>
      <c r="L25" s="3170">
        <f t="shared" ref="L25:N36" si="27">E25/100</f>
        <v>0</v>
      </c>
      <c r="M25" s="3170">
        <f t="shared" si="27"/>
        <v>0</v>
      </c>
      <c r="N25" s="3170">
        <f t="shared" si="27"/>
        <v>0</v>
      </c>
      <c r="O25" s="3170"/>
      <c r="P25" s="3170">
        <f>M25</f>
        <v>0</v>
      </c>
      <c r="Q25" s="3179"/>
      <c r="R25" s="3181"/>
      <c r="S25" s="3181">
        <f>ROUND(IF([2]项目基本情况!$B$8="出让",SUMPRODUCT(PRODUCT(1+L25:L$36)),SUMPRODUCT(PRODUCT(1+L25:L$35))),4)</f>
        <v>1.0344</v>
      </c>
      <c r="T25" s="3181">
        <f>ROUND(IF([2]项目基本情况!$B$8="出让",SUMPRODUCT(PRODUCT(1+M25:M$36)),SUMPRODUCT(PRODUCT(1+M25:M$35))),4)</f>
        <v>1.0224</v>
      </c>
      <c r="U25" s="3181">
        <f>ROUND(IF([2]项目基本情况!$B$8="出让",SUMPRODUCT(PRODUCT(1+N25:N$36)),SUMPRODUCT(PRODUCT(1+N25:N$35))),4)</f>
        <v>1.0573999999999999</v>
      </c>
      <c r="V25" s="3181"/>
      <c r="W25" s="3181">
        <f>T25</f>
        <v>1.0224</v>
      </c>
      <c r="X25" s="3179"/>
      <c r="Y25" s="3182"/>
      <c r="Z25" s="3210">
        <f>IF(E25=0,0,ROUND(AVERAGE(E25:E36)/100,4))</f>
        <v>0</v>
      </c>
      <c r="AA25" s="3210">
        <f>IF(F25=0,0,ROUND(AVERAGE(F25:F36)/100,4))</f>
        <v>0</v>
      </c>
      <c r="AB25" s="3210">
        <f>IF(G25=0,0,ROUND(AVERAGE(G25:G36)/100,4))</f>
        <v>0</v>
      </c>
      <c r="AC25" s="3211"/>
      <c r="AD25" s="3182">
        <f>IF(I25=0,0,ROUND(AVERAGE(I25:I36)/100,4))</f>
        <v>0</v>
      </c>
    </row>
    <row r="26" spans="1:30" s="3183" customFormat="1" ht="12.75">
      <c r="A26" s="3174" t="s">
        <v>3373</v>
      </c>
      <c r="B26" s="3175">
        <v>2023</v>
      </c>
      <c r="C26" s="3176">
        <v>3</v>
      </c>
      <c r="D26" s="3177"/>
      <c r="E26" s="3177">
        <v>0</v>
      </c>
      <c r="F26" s="3177">
        <v>0</v>
      </c>
      <c r="G26" s="3177">
        <v>0</v>
      </c>
      <c r="H26" s="3194"/>
      <c r="I26" s="3178">
        <f t="shared" si="26"/>
        <v>0</v>
      </c>
      <c r="J26" s="3179"/>
      <c r="K26" s="3180"/>
      <c r="L26" s="3170">
        <f t="shared" ref="L26:L28" si="28">E26/100</f>
        <v>0</v>
      </c>
      <c r="M26" s="3170">
        <f t="shared" ref="M26:M28" si="29">F26/100</f>
        <v>0</v>
      </c>
      <c r="N26" s="3170">
        <f t="shared" ref="N26:N28" si="30">G26/100</f>
        <v>0</v>
      </c>
      <c r="O26" s="3170"/>
      <c r="P26" s="3170">
        <f t="shared" ref="P26:P28" si="31">M26</f>
        <v>0</v>
      </c>
      <c r="Q26" s="3179"/>
      <c r="R26" s="3181"/>
      <c r="S26" s="3181">
        <f>ROUND(IF([2]项目基本情况!$B$8="出让",SUMPRODUCT(PRODUCT(1+L26:L$36)),SUMPRODUCT(PRODUCT(1+L26:L$35))),4)</f>
        <v>1.0344</v>
      </c>
      <c r="T26" s="3181">
        <f>ROUND(IF([2]项目基本情况!$B$8="出让",SUMPRODUCT(PRODUCT(1+M26:M$36)),SUMPRODUCT(PRODUCT(1+M26:M$35))),4)</f>
        <v>1.0224</v>
      </c>
      <c r="U26" s="3181">
        <f>ROUND(IF([2]项目基本情况!$B$8="出让",SUMPRODUCT(PRODUCT(1+N26:N$36)),SUMPRODUCT(PRODUCT(1+N26:N$35))),4)</f>
        <v>1.0573999999999999</v>
      </c>
      <c r="V26" s="3181"/>
      <c r="W26" s="3181">
        <f t="shared" ref="W26:W28" si="32">T26</f>
        <v>1.0224</v>
      </c>
      <c r="X26" s="3179"/>
      <c r="Y26" s="3182"/>
      <c r="Z26" s="3210"/>
      <c r="AA26" s="3447"/>
      <c r="AB26" s="3447"/>
      <c r="AC26" s="3211"/>
      <c r="AD26" s="3182"/>
    </row>
    <row r="27" spans="1:30" s="3183" customFormat="1" ht="12.75">
      <c r="A27" s="3174" t="s">
        <v>3371</v>
      </c>
      <c r="B27" s="3175">
        <v>2023</v>
      </c>
      <c r="C27" s="3176">
        <v>2</v>
      </c>
      <c r="D27" s="3177"/>
      <c r="E27" s="3177">
        <v>0</v>
      </c>
      <c r="F27" s="3177">
        <v>0</v>
      </c>
      <c r="G27" s="3177">
        <v>0</v>
      </c>
      <c r="H27" s="3194"/>
      <c r="I27" s="3178">
        <f t="shared" si="26"/>
        <v>0</v>
      </c>
      <c r="J27" s="3179"/>
      <c r="K27" s="3180"/>
      <c r="L27" s="3170">
        <f t="shared" si="28"/>
        <v>0</v>
      </c>
      <c r="M27" s="3170">
        <f t="shared" si="29"/>
        <v>0</v>
      </c>
      <c r="N27" s="3170">
        <f t="shared" si="30"/>
        <v>0</v>
      </c>
      <c r="O27" s="3170"/>
      <c r="P27" s="3170">
        <f t="shared" si="31"/>
        <v>0</v>
      </c>
      <c r="Q27" s="3179"/>
      <c r="R27" s="3181"/>
      <c r="S27" s="3181">
        <f>ROUND(IF([2]项目基本情况!$B$8="出让",SUMPRODUCT(PRODUCT(1+L27:L$36)),SUMPRODUCT(PRODUCT(1+L27:L$35))),4)</f>
        <v>1.0344</v>
      </c>
      <c r="T27" s="3181">
        <f>ROUND(IF([2]项目基本情况!$B$8="出让",SUMPRODUCT(PRODUCT(1+M27:M$36)),SUMPRODUCT(PRODUCT(1+M27:M$35))),4)</f>
        <v>1.0224</v>
      </c>
      <c r="U27" s="3181">
        <f>ROUND(IF([2]项目基本情况!$B$8="出让",SUMPRODUCT(PRODUCT(1+N27:N$36)),SUMPRODUCT(PRODUCT(1+N27:N$35))),4)</f>
        <v>1.0573999999999999</v>
      </c>
      <c r="V27" s="3181"/>
      <c r="W27" s="3181">
        <f t="shared" si="32"/>
        <v>1.0224</v>
      </c>
      <c r="X27" s="3179"/>
      <c r="Y27" s="3182"/>
      <c r="Z27" s="3210"/>
      <c r="AA27" s="3447"/>
      <c r="AB27" s="3447"/>
      <c r="AC27" s="3211"/>
      <c r="AD27" s="3182"/>
    </row>
    <row r="28" spans="1:30" s="3193" customFormat="1" ht="12.75">
      <c r="A28" s="3184" t="s">
        <v>3374</v>
      </c>
      <c r="B28" s="3185">
        <v>2023</v>
      </c>
      <c r="C28" s="3186">
        <v>1</v>
      </c>
      <c r="D28" s="3187"/>
      <c r="E28" s="3187">
        <v>0.55000000000000004</v>
      </c>
      <c r="F28" s="3187">
        <v>0.59</v>
      </c>
      <c r="G28" s="3187">
        <v>0.64</v>
      </c>
      <c r="H28" s="3188"/>
      <c r="I28" s="3189">
        <f t="shared" si="26"/>
        <v>0.59</v>
      </c>
      <c r="J28" s="3190"/>
      <c r="K28" s="3191"/>
      <c r="L28" s="3192">
        <f t="shared" si="28"/>
        <v>5.5000000000000005E-3</v>
      </c>
      <c r="M28" s="3192">
        <f t="shared" si="29"/>
        <v>5.8999999999999999E-3</v>
      </c>
      <c r="N28" s="3192">
        <f t="shared" si="30"/>
        <v>6.4000000000000003E-3</v>
      </c>
      <c r="O28" s="3192"/>
      <c r="P28" s="3192">
        <f t="shared" si="31"/>
        <v>5.8999999999999999E-3</v>
      </c>
      <c r="Q28" s="3190"/>
      <c r="R28" s="3190"/>
      <c r="S28" s="3190">
        <f>ROUND(IF([2]项目基本情况!$B$8="出让",SUMPRODUCT(PRODUCT(1+L28:L$36)),SUMPRODUCT(PRODUCT(1+L28:L$35))),4)</f>
        <v>1.0344</v>
      </c>
      <c r="T28" s="3190">
        <f>ROUND(IF([2]项目基本情况!$B$8="出让",SUMPRODUCT(PRODUCT(1+M28:M$36)),SUMPRODUCT(PRODUCT(1+M28:M$35))),4)</f>
        <v>1.0224</v>
      </c>
      <c r="U28" s="3190">
        <f>ROUND(IF([2]项目基本情况!$B$8="出让",SUMPRODUCT(PRODUCT(1+N28:N$36)),SUMPRODUCT(PRODUCT(1+N28:N$35))),4)</f>
        <v>1.0573999999999999</v>
      </c>
      <c r="V28" s="3190"/>
      <c r="W28" s="3190">
        <f t="shared" si="32"/>
        <v>1.0224</v>
      </c>
      <c r="X28" s="3190"/>
      <c r="Y28" s="3192"/>
      <c r="Z28" s="3213"/>
      <c r="AA28" s="3214"/>
      <c r="AB28" s="3192"/>
      <c r="AC28" s="3215"/>
      <c r="AD28" s="3192"/>
    </row>
    <row r="29" spans="1:30" s="3183" customFormat="1" ht="12.75">
      <c r="A29" s="3174" t="s">
        <v>3375</v>
      </c>
      <c r="B29" s="3175">
        <v>2022</v>
      </c>
      <c r="C29" s="3176">
        <v>4</v>
      </c>
      <c r="D29" s="3177"/>
      <c r="E29" s="3177">
        <v>0.45</v>
      </c>
      <c r="F29" s="3177">
        <v>0.2</v>
      </c>
      <c r="G29" s="3177">
        <v>0.38</v>
      </c>
      <c r="H29" s="3194"/>
      <c r="I29" s="3178">
        <f t="shared" si="26"/>
        <v>0.2</v>
      </c>
      <c r="J29" s="3179"/>
      <c r="K29" s="3180"/>
      <c r="L29" s="3170">
        <f t="shared" si="27"/>
        <v>4.5000000000000005E-3</v>
      </c>
      <c r="M29" s="3170">
        <f t="shared" si="27"/>
        <v>2E-3</v>
      </c>
      <c r="N29" s="3170">
        <f t="shared" si="27"/>
        <v>3.8E-3</v>
      </c>
      <c r="O29" s="3170"/>
      <c r="P29" s="3170">
        <f t="shared" ref="P29:P36" si="33">M29</f>
        <v>2E-3</v>
      </c>
      <c r="Q29" s="3179"/>
      <c r="R29" s="3181"/>
      <c r="S29" s="3181">
        <f>ROUND(IF([2]项目基本情况!$B$8="出让",SUMPRODUCT(PRODUCT(1+L29:L$36)),SUMPRODUCT(PRODUCT(1+L29:L$35))),4)</f>
        <v>1.0286999999999999</v>
      </c>
      <c r="T29" s="3181">
        <f>ROUND(IF([2]项目基本情况!$B$8="出让",SUMPRODUCT(PRODUCT(1+M29:M$36)),SUMPRODUCT(PRODUCT(1+M29:M$35))),4)</f>
        <v>1.0164</v>
      </c>
      <c r="U29" s="3181">
        <f>ROUND(IF([2]项目基本情况!$B$8="出让",SUMPRODUCT(PRODUCT(1+N29:N$36)),SUMPRODUCT(PRODUCT(1+N29:N$35))),4)</f>
        <v>1.0506</v>
      </c>
      <c r="V29" s="3181"/>
      <c r="W29" s="3181">
        <f t="shared" ref="W29:W36" si="34">T29</f>
        <v>1.0164</v>
      </c>
      <c r="X29" s="3179"/>
      <c r="Y29" s="3182"/>
      <c r="Z29" s="3210">
        <f t="shared" ref="Z29:AD36" si="35">IF(E29=0,0,ROUND(AVERAGE(E29:E37)/100,4))</f>
        <v>4.0000000000000001E-3</v>
      </c>
      <c r="AA29" s="3212">
        <f t="shared" si="35"/>
        <v>2.5999999999999999E-3</v>
      </c>
      <c r="AB29" s="3182">
        <f t="shared" si="35"/>
        <v>7.4000000000000003E-3</v>
      </c>
      <c r="AC29" s="3211"/>
      <c r="AD29" s="3182">
        <f t="shared" si="35"/>
        <v>2.5999999999999999E-3</v>
      </c>
    </row>
    <row r="30" spans="1:30" s="3183" customFormat="1" ht="12.75">
      <c r="A30" s="3174" t="s">
        <v>3368</v>
      </c>
      <c r="B30" s="3175">
        <v>2022</v>
      </c>
      <c r="C30" s="3176">
        <v>3</v>
      </c>
      <c r="D30" s="3177"/>
      <c r="E30" s="3177">
        <v>0.3</v>
      </c>
      <c r="F30" s="3177">
        <v>0.28999999999999998</v>
      </c>
      <c r="G30" s="3177">
        <v>0.83</v>
      </c>
      <c r="H30" s="3194"/>
      <c r="I30" s="3178">
        <f t="shared" si="26"/>
        <v>0.28999999999999998</v>
      </c>
      <c r="J30" s="3179"/>
      <c r="K30" s="3180"/>
      <c r="L30" s="3170">
        <f t="shared" si="27"/>
        <v>3.0000000000000001E-3</v>
      </c>
      <c r="M30" s="3170">
        <f t="shared" si="27"/>
        <v>2.8999999999999998E-3</v>
      </c>
      <c r="N30" s="3170">
        <f t="shared" si="27"/>
        <v>8.3000000000000001E-3</v>
      </c>
      <c r="O30" s="3170"/>
      <c r="P30" s="3170">
        <f t="shared" si="33"/>
        <v>2.8999999999999998E-3</v>
      </c>
      <c r="Q30" s="3179"/>
      <c r="R30" s="3181"/>
      <c r="S30" s="3181">
        <f>ROUND(IF([2]项目基本情况!$B$8="出让",SUMPRODUCT(PRODUCT(1+L30:L$36)),SUMPRODUCT(PRODUCT(1+L30:L$35))),4)</f>
        <v>1.0241</v>
      </c>
      <c r="T30" s="3181">
        <f>ROUND(IF([2]项目基本情况!$B$8="出让",SUMPRODUCT(PRODUCT(1+M30:M$36)),SUMPRODUCT(PRODUCT(1+M30:M$35))),4)</f>
        <v>1.0144</v>
      </c>
      <c r="U30" s="3181">
        <f>ROUND(IF([2]项目基本情况!$B$8="出让",SUMPRODUCT(PRODUCT(1+N30:N$36)),SUMPRODUCT(PRODUCT(1+N30:N$35))),4)</f>
        <v>1.0467</v>
      </c>
      <c r="V30" s="3181"/>
      <c r="W30" s="3181">
        <f t="shared" si="34"/>
        <v>1.0144</v>
      </c>
      <c r="X30" s="3179"/>
      <c r="Y30" s="3182"/>
      <c r="Z30" s="3210">
        <f t="shared" si="35"/>
        <v>3.8999999999999998E-3</v>
      </c>
      <c r="AA30" s="3212">
        <f t="shared" si="35"/>
        <v>2.7000000000000001E-3</v>
      </c>
      <c r="AB30" s="3182">
        <f t="shared" si="35"/>
        <v>7.9000000000000008E-3</v>
      </c>
      <c r="AC30" s="3211"/>
      <c r="AD30" s="3182">
        <f t="shared" si="35"/>
        <v>2.7000000000000001E-3</v>
      </c>
    </row>
    <row r="31" spans="1:30" s="3183" customFormat="1" ht="12.75">
      <c r="A31" s="3174" t="s">
        <v>3358</v>
      </c>
      <c r="B31" s="3175">
        <v>2022</v>
      </c>
      <c r="C31" s="3176">
        <v>2</v>
      </c>
      <c r="D31" s="3177"/>
      <c r="E31" s="3177">
        <v>-0.11</v>
      </c>
      <c r="F31" s="3177">
        <v>-0.13</v>
      </c>
      <c r="G31" s="3177">
        <v>0.53</v>
      </c>
      <c r="H31" s="3194"/>
      <c r="I31" s="3178">
        <f t="shared" si="26"/>
        <v>-0.13</v>
      </c>
      <c r="J31" s="3179"/>
      <c r="K31" s="3180"/>
      <c r="L31" s="3170">
        <f t="shared" si="27"/>
        <v>-1.1000000000000001E-3</v>
      </c>
      <c r="M31" s="3170">
        <f t="shared" si="27"/>
        <v>-1.2999999999999999E-3</v>
      </c>
      <c r="N31" s="3170">
        <f t="shared" si="27"/>
        <v>5.3E-3</v>
      </c>
      <c r="O31" s="3170"/>
      <c r="P31" s="3170">
        <f t="shared" si="33"/>
        <v>-1.2999999999999999E-3</v>
      </c>
      <c r="Q31" s="3179"/>
      <c r="R31" s="3181"/>
      <c r="S31" s="3181">
        <f>ROUND(IF([2]项目基本情况!$B$8="出让",SUMPRODUCT(PRODUCT(1+L31:L$36)),SUMPRODUCT(PRODUCT(1+L31:L$35))),4)</f>
        <v>1.0210999999999999</v>
      </c>
      <c r="T31" s="3181">
        <f>ROUND(IF([2]项目基本情况!$B$8="出让",SUMPRODUCT(PRODUCT(1+M31:M$36)),SUMPRODUCT(PRODUCT(1+M31:M$35))),4)</f>
        <v>1.0114000000000001</v>
      </c>
      <c r="U31" s="3181">
        <f>ROUND(IF([2]项目基本情况!$B$8="出让",SUMPRODUCT(PRODUCT(1+N31:N$36)),SUMPRODUCT(PRODUCT(1+N31:N$35))),4)</f>
        <v>1.0381</v>
      </c>
      <c r="V31" s="3181"/>
      <c r="W31" s="3181">
        <f t="shared" si="34"/>
        <v>1.0114000000000001</v>
      </c>
      <c r="X31" s="3179"/>
      <c r="Y31" s="3182"/>
      <c r="Z31" s="3210">
        <f t="shared" si="35"/>
        <v>4.1000000000000003E-3</v>
      </c>
      <c r="AA31" s="3212">
        <f t="shared" si="35"/>
        <v>2.7000000000000001E-3</v>
      </c>
      <c r="AB31" s="3182">
        <f t="shared" si="35"/>
        <v>7.9000000000000008E-3</v>
      </c>
      <c r="AC31" s="3211"/>
      <c r="AD31" s="3182">
        <f t="shared" si="35"/>
        <v>2.7000000000000001E-3</v>
      </c>
    </row>
    <row r="32" spans="1:30" s="3183" customFormat="1" ht="12.75">
      <c r="A32" s="3174" t="s">
        <v>2837</v>
      </c>
      <c r="B32" s="3175">
        <v>2022</v>
      </c>
      <c r="C32" s="3176">
        <v>1</v>
      </c>
      <c r="D32" s="3177"/>
      <c r="E32" s="3177">
        <v>0.6</v>
      </c>
      <c r="F32" s="3177">
        <v>0.45</v>
      </c>
      <c r="G32" s="3177">
        <v>0.53</v>
      </c>
      <c r="H32" s="3194"/>
      <c r="I32" s="3178">
        <f t="shared" si="26"/>
        <v>0.45</v>
      </c>
      <c r="J32" s="3179"/>
      <c r="K32" s="3180"/>
      <c r="L32" s="3170">
        <f t="shared" si="27"/>
        <v>6.0000000000000001E-3</v>
      </c>
      <c r="M32" s="3170">
        <f t="shared" si="27"/>
        <v>4.5000000000000005E-3</v>
      </c>
      <c r="N32" s="3170">
        <f t="shared" si="27"/>
        <v>5.3E-3</v>
      </c>
      <c r="O32" s="3170"/>
      <c r="P32" s="3170">
        <f t="shared" si="33"/>
        <v>4.5000000000000005E-3</v>
      </c>
      <c r="Q32" s="3179"/>
      <c r="R32" s="3181"/>
      <c r="S32" s="3181">
        <f>ROUND(IF([2]项目基本情况!$B$8="出让",SUMPRODUCT(PRODUCT(1+L32:L$36)),SUMPRODUCT(PRODUCT(1+L32:L$35))),4)</f>
        <v>1.0222</v>
      </c>
      <c r="T32" s="3181">
        <f>ROUND(IF([2]项目基本情况!$B$8="出让",SUMPRODUCT(PRODUCT(1+M32:M$36)),SUMPRODUCT(PRODUCT(1+M32:M$35))),4)</f>
        <v>1.0127999999999999</v>
      </c>
      <c r="U32" s="3181">
        <f>ROUND(IF([2]项目基本情况!$B$8="出让",SUMPRODUCT(PRODUCT(1+N32:N$36)),SUMPRODUCT(PRODUCT(1+N32:N$35))),4)</f>
        <v>1.0326</v>
      </c>
      <c r="V32" s="3181"/>
      <c r="W32" s="3181">
        <f t="shared" si="34"/>
        <v>1.0127999999999999</v>
      </c>
      <c r="X32" s="3179"/>
      <c r="Y32" s="3182"/>
      <c r="Z32" s="3210">
        <f t="shared" si="35"/>
        <v>5.1000000000000004E-3</v>
      </c>
      <c r="AA32" s="3212">
        <f t="shared" si="35"/>
        <v>3.5000000000000001E-3</v>
      </c>
      <c r="AB32" s="3182">
        <f t="shared" si="35"/>
        <v>8.3999999999999995E-3</v>
      </c>
      <c r="AC32" s="3211"/>
      <c r="AD32" s="3182">
        <f t="shared" si="35"/>
        <v>3.5000000000000001E-3</v>
      </c>
    </row>
    <row r="33" spans="1:30" s="3183" customFormat="1" ht="12.75">
      <c r="A33" s="3174" t="s">
        <v>2838</v>
      </c>
      <c r="B33" s="3175">
        <v>2021</v>
      </c>
      <c r="C33" s="3176">
        <v>4</v>
      </c>
      <c r="D33" s="3177"/>
      <c r="E33" s="3177">
        <v>0.57999999999999996</v>
      </c>
      <c r="F33" s="3177">
        <v>0.08</v>
      </c>
      <c r="G33" s="3177">
        <v>0.68</v>
      </c>
      <c r="H33" s="3194"/>
      <c r="I33" s="3178">
        <f t="shared" si="26"/>
        <v>0.08</v>
      </c>
      <c r="J33" s="3179"/>
      <c r="K33" s="3180"/>
      <c r="L33" s="3170">
        <f t="shared" si="27"/>
        <v>5.7999999999999996E-3</v>
      </c>
      <c r="M33" s="3170">
        <f t="shared" si="27"/>
        <v>8.0000000000000004E-4</v>
      </c>
      <c r="N33" s="3170">
        <f t="shared" si="27"/>
        <v>6.8000000000000005E-3</v>
      </c>
      <c r="O33" s="3170"/>
      <c r="P33" s="3170">
        <f t="shared" si="33"/>
        <v>8.0000000000000004E-4</v>
      </c>
      <c r="Q33" s="3179"/>
      <c r="R33" s="3181"/>
      <c r="S33" s="3181">
        <f>ROUND(IF([2]项目基本情况!$B$8="出让",SUMPRODUCT(PRODUCT(1+L33:L$36)),SUMPRODUCT(PRODUCT(1+L33:L$35))),4)</f>
        <v>1.0161</v>
      </c>
      <c r="T33" s="3181">
        <f>ROUND(IF([2]项目基本情况!$B$8="出让",SUMPRODUCT(PRODUCT(1+M33:M$36)),SUMPRODUCT(PRODUCT(1+M33:M$35))),4)</f>
        <v>1.0082</v>
      </c>
      <c r="U33" s="3181">
        <f>ROUND(IF([2]项目基本情况!$B$8="出让",SUMPRODUCT(PRODUCT(1+N33:N$36)),SUMPRODUCT(PRODUCT(1+N33:N$35))),4)</f>
        <v>1.0270999999999999</v>
      </c>
      <c r="V33" s="3181"/>
      <c r="W33" s="3181">
        <f t="shared" si="34"/>
        <v>1.0082</v>
      </c>
      <c r="X33" s="3179"/>
      <c r="Y33" s="3182"/>
      <c r="Z33" s="3210">
        <f t="shared" si="35"/>
        <v>4.8999999999999998E-3</v>
      </c>
      <c r="AA33" s="3212">
        <f t="shared" si="35"/>
        <v>3.3E-3</v>
      </c>
      <c r="AB33" s="3182">
        <f t="shared" si="35"/>
        <v>9.1999999999999998E-3</v>
      </c>
      <c r="AC33" s="3211"/>
      <c r="AD33" s="3182">
        <f t="shared" si="35"/>
        <v>3.3E-3</v>
      </c>
    </row>
    <row r="34" spans="1:30" s="3183" customFormat="1" ht="12.75">
      <c r="A34" s="3174" t="s">
        <v>2839</v>
      </c>
      <c r="B34" s="3175">
        <v>2021</v>
      </c>
      <c r="C34" s="3176">
        <v>3</v>
      </c>
      <c r="D34" s="3177"/>
      <c r="E34" s="3177">
        <v>0.47</v>
      </c>
      <c r="F34" s="3177">
        <v>0.28000000000000003</v>
      </c>
      <c r="G34" s="3177">
        <v>0.91</v>
      </c>
      <c r="H34" s="3194"/>
      <c r="I34" s="3178">
        <f t="shared" si="26"/>
        <v>0.28000000000000003</v>
      </c>
      <c r="J34" s="3179"/>
      <c r="K34" s="3180"/>
      <c r="L34" s="3170">
        <f t="shared" si="27"/>
        <v>4.6999999999999993E-3</v>
      </c>
      <c r="M34" s="3170">
        <f t="shared" si="27"/>
        <v>2.8000000000000004E-3</v>
      </c>
      <c r="N34" s="3170">
        <f t="shared" si="27"/>
        <v>9.1000000000000004E-3</v>
      </c>
      <c r="O34" s="3170"/>
      <c r="P34" s="3170">
        <f t="shared" si="33"/>
        <v>2.8000000000000004E-3</v>
      </c>
      <c r="Q34" s="3179"/>
      <c r="R34" s="3181"/>
      <c r="S34" s="3181">
        <f>ROUND(IF([2]项目基本情况!$B$8="出让",SUMPRODUCT(PRODUCT(1+L34:L$36)),SUMPRODUCT(PRODUCT(1+L34:L$35))),4)</f>
        <v>1.0102</v>
      </c>
      <c r="T34" s="3181">
        <f>ROUND(IF([2]项目基本情况!$B$8="出让",SUMPRODUCT(PRODUCT(1+M34:M$36)),SUMPRODUCT(PRODUCT(1+M34:M$35))),4)</f>
        <v>1.0074000000000001</v>
      </c>
      <c r="U34" s="3181">
        <f>ROUND(IF([2]项目基本情况!$B$8="出让",SUMPRODUCT(PRODUCT(1+N34:N$36)),SUMPRODUCT(PRODUCT(1+N34:N$35))),4)</f>
        <v>1.0202</v>
      </c>
      <c r="V34" s="3181"/>
      <c r="W34" s="3181">
        <f t="shared" si="34"/>
        <v>1.0074000000000001</v>
      </c>
      <c r="X34" s="3179"/>
      <c r="Y34" s="3182"/>
      <c r="Z34" s="3210">
        <f t="shared" si="35"/>
        <v>4.5999999999999999E-3</v>
      </c>
      <c r="AA34" s="3212">
        <f t="shared" si="35"/>
        <v>4.1000000000000003E-3</v>
      </c>
      <c r="AB34" s="3182">
        <f t="shared" si="35"/>
        <v>0.01</v>
      </c>
      <c r="AC34" s="3211"/>
      <c r="AD34" s="3182">
        <f t="shared" si="35"/>
        <v>4.1000000000000003E-3</v>
      </c>
    </row>
    <row r="35" spans="1:30" s="3183" customFormat="1" ht="12.75">
      <c r="A35" s="3174" t="s">
        <v>2840</v>
      </c>
      <c r="B35" s="3175">
        <v>2021</v>
      </c>
      <c r="C35" s="3176">
        <v>2</v>
      </c>
      <c r="D35" s="3177"/>
      <c r="E35" s="3177">
        <v>0.55000000000000004</v>
      </c>
      <c r="F35" s="3177">
        <v>0.46</v>
      </c>
      <c r="G35" s="3177">
        <v>1.1000000000000001</v>
      </c>
      <c r="H35" s="3194"/>
      <c r="I35" s="3178">
        <f t="shared" si="26"/>
        <v>0.46</v>
      </c>
      <c r="J35" s="3179"/>
      <c r="K35" s="3180"/>
      <c r="L35" s="3170">
        <f t="shared" si="27"/>
        <v>5.5000000000000005E-3</v>
      </c>
      <c r="M35" s="3170">
        <f t="shared" si="27"/>
        <v>4.5999999999999999E-3</v>
      </c>
      <c r="N35" s="3170">
        <f t="shared" si="27"/>
        <v>1.1000000000000001E-2</v>
      </c>
      <c r="O35" s="3170"/>
      <c r="P35" s="3170">
        <f t="shared" si="33"/>
        <v>4.5999999999999999E-3</v>
      </c>
      <c r="Q35" s="3179"/>
      <c r="R35" s="3181"/>
      <c r="S35" s="3181">
        <f>ROUND(IF([2]项目基本情况!$B$8="出让",SUMPRODUCT(PRODUCT(1+L35:L$36)),SUMPRODUCT(PRODUCT(1+L35:L$35))),4)</f>
        <v>1.0055000000000001</v>
      </c>
      <c r="T35" s="3181">
        <f>ROUND(IF([2]项目基本情况!$B$8="出让",SUMPRODUCT(PRODUCT(1+M35:M$36)),SUMPRODUCT(PRODUCT(1+M35:M$35))),4)</f>
        <v>1.0045999999999999</v>
      </c>
      <c r="U35" s="3181">
        <f>ROUND(IF([2]项目基本情况!$B$8="出让",SUMPRODUCT(PRODUCT(1+N35:N$36)),SUMPRODUCT(PRODUCT(1+N35:N$35))),4)</f>
        <v>1.0109999999999999</v>
      </c>
      <c r="V35" s="3181"/>
      <c r="W35" s="3181">
        <f t="shared" si="34"/>
        <v>1.0045999999999999</v>
      </c>
      <c r="X35" s="3179"/>
      <c r="Y35" s="3182"/>
      <c r="Z35" s="3210">
        <f t="shared" si="35"/>
        <v>4.4999999999999997E-3</v>
      </c>
      <c r="AA35" s="3212">
        <f t="shared" si="35"/>
        <v>4.7000000000000002E-3</v>
      </c>
      <c r="AB35" s="3182">
        <f t="shared" si="35"/>
        <v>1.04E-2</v>
      </c>
      <c r="AC35" s="3211"/>
      <c r="AD35" s="3182">
        <f t="shared" si="35"/>
        <v>4.7000000000000002E-3</v>
      </c>
    </row>
    <row r="36" spans="1:30" s="3205" customFormat="1" thickBot="1">
      <c r="A36" s="3195" t="s">
        <v>2825</v>
      </c>
      <c r="B36" s="3196">
        <v>2021</v>
      </c>
      <c r="C36" s="3197">
        <v>1</v>
      </c>
      <c r="D36" s="3198"/>
      <c r="E36" s="3198">
        <v>0.35</v>
      </c>
      <c r="F36" s="3198">
        <v>0.48</v>
      </c>
      <c r="G36" s="3198">
        <v>0.98</v>
      </c>
      <c r="H36" s="3199"/>
      <c r="I36" s="3200">
        <f t="shared" si="26"/>
        <v>0.48</v>
      </c>
      <c r="J36" s="3201"/>
      <c r="K36" s="3202"/>
      <c r="L36" s="3203">
        <f t="shared" si="27"/>
        <v>3.4999999999999996E-3</v>
      </c>
      <c r="M36" s="3203">
        <f>F36/100</f>
        <v>4.7999999999999996E-3</v>
      </c>
      <c r="N36" s="3203">
        <f t="shared" si="27"/>
        <v>9.7999999999999997E-3</v>
      </c>
      <c r="O36" s="3203"/>
      <c r="P36" s="3203">
        <f t="shared" si="33"/>
        <v>4.7999999999999996E-3</v>
      </c>
      <c r="Q36" s="3201"/>
      <c r="R36" s="3204"/>
      <c r="S36" s="3204">
        <v>1</v>
      </c>
      <c r="T36" s="3204">
        <v>1</v>
      </c>
      <c r="U36" s="3204">
        <v>1</v>
      </c>
      <c r="V36" s="3204"/>
      <c r="W36" s="3204">
        <f t="shared" si="34"/>
        <v>1</v>
      </c>
      <c r="X36" s="3201"/>
      <c r="Y36" s="3203"/>
      <c r="Z36" s="3216">
        <f t="shared" si="35"/>
        <v>3.5000000000000001E-3</v>
      </c>
      <c r="AA36" s="3217">
        <f t="shared" si="35"/>
        <v>4.7999999999999996E-3</v>
      </c>
      <c r="AB36" s="3203">
        <f t="shared" si="35"/>
        <v>9.7999999999999997E-3</v>
      </c>
      <c r="AC36" s="3218"/>
      <c r="AD36" s="3203">
        <f t="shared" si="35"/>
        <v>4.7999999999999996E-3</v>
      </c>
    </row>
    <row r="37" spans="1:30" ht="14.25" thickTop="1"/>
    <row r="38" spans="1:30">
      <c r="A38" s="3446" t="s">
        <v>3370</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94" t="s">
        <v>452</v>
      </c>
      <c r="C1" s="3794"/>
      <c r="D1" s="3794"/>
      <c r="E1" s="3794"/>
      <c r="F1" s="3794"/>
      <c r="G1" s="3793" t="s">
        <v>453</v>
      </c>
      <c r="H1" s="3793"/>
      <c r="I1" s="3793"/>
      <c r="J1" s="3793"/>
      <c r="K1" s="3793"/>
      <c r="L1" s="3793"/>
      <c r="N1" s="3793" t="s">
        <v>454</v>
      </c>
      <c r="O1" s="3793"/>
      <c r="P1" s="3793"/>
      <c r="Q1" s="3793"/>
      <c r="S1" s="3793" t="s">
        <v>455</v>
      </c>
      <c r="T1" s="3793"/>
      <c r="U1" s="3793"/>
      <c r="V1" s="3793"/>
      <c r="X1" s="3792" t="s">
        <v>456</v>
      </c>
      <c r="Y1" s="3793"/>
      <c r="Z1" s="3793"/>
      <c r="AA1" s="3793"/>
      <c r="AB1" s="3793"/>
      <c r="AD1" s="3792" t="s">
        <v>457</v>
      </c>
      <c r="AE1" s="3793"/>
      <c r="AF1" s="3793"/>
      <c r="AG1" s="3793"/>
      <c r="AH1" s="3793"/>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2112</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3366</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4">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3363</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4">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2113</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3364</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4">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3365</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4">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2437</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3">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2314</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8">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2313</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7">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2312</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1">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2310</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0">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2309</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7">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2128</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2126</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2125</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2124</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2122</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2121</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2123</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90">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2119</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90"/>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2118</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90"/>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2111</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9"/>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2109</v>
      </c>
      <c r="B25" s="2220">
        <v>439</v>
      </c>
      <c r="C25" s="2220">
        <v>327</v>
      </c>
      <c r="D25" s="2220">
        <f>C25</f>
        <v>327</v>
      </c>
      <c r="E25" s="2220">
        <v>627</v>
      </c>
      <c r="F25" s="2221">
        <v>283</v>
      </c>
      <c r="G25" s="3795">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2110</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90"/>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90"/>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9"/>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95">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90"/>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90"/>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91"/>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9">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90"/>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90"/>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91"/>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9">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90"/>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90"/>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91"/>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96">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97"/>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97"/>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98"/>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9">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90"/>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90"/>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91"/>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9">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90">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90">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91">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9">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90">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90">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91">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9">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90">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90">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91">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9">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90">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90">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91">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9">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90">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90">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91">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9">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90">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90">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91">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9">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90">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90">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91">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9">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90">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90">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91">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9">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90">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90">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91">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9">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90">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90">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91">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45044</v>
      </c>
      <c r="D1" s="1302" t="s">
        <v>603</v>
      </c>
      <c r="E1" s="1297">
        <f>'数据-取费表'!B22</f>
        <v>2</v>
      </c>
      <c r="F1" s="1302" t="s">
        <v>604</v>
      </c>
      <c r="G1" s="1298">
        <f ca="1">INDIRECT("d"&amp;$K$1)/100</f>
        <v>3.6499999999999998E-2</v>
      </c>
      <c r="H1" s="1302" t="s">
        <v>634</v>
      </c>
      <c r="I1" s="1298">
        <f ca="1">F4/100</f>
        <v>1.4999999999999999E-2</v>
      </c>
      <c r="J1" s="1303">
        <f>IF(C1&gt;C13,0,MATCH(C1,C$13:C$109,-1))+IF(SUMIF(C13:C109,C1,D13:D109)=0,13,12)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19">
        <v>44795</v>
      </c>
      <c r="D13" s="2820">
        <v>3.65</v>
      </c>
      <c r="E13" s="2820">
        <f>D13</f>
        <v>3.65</v>
      </c>
      <c r="F13" s="2820">
        <f>D13</f>
        <v>3.65</v>
      </c>
      <c r="G13" s="2820">
        <f>D13</f>
        <v>3.65</v>
      </c>
      <c r="H13" s="2820">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4"/>
      <c r="C14" s="2816">
        <v>44701</v>
      </c>
      <c r="D14" s="2815">
        <v>3.7</v>
      </c>
      <c r="E14" s="2815">
        <f>D14</f>
        <v>3.7</v>
      </c>
      <c r="F14" s="2815">
        <f>D14</f>
        <v>3.7</v>
      </c>
      <c r="G14" s="2815">
        <f>D14</f>
        <v>3.7</v>
      </c>
      <c r="H14" s="2815">
        <v>4.45</v>
      </c>
      <c r="I14" s="2820"/>
      <c r="J14" s="2820"/>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4"/>
      <c r="C15" s="2816">
        <v>44581</v>
      </c>
      <c r="D15" s="2815">
        <v>3.7</v>
      </c>
      <c r="E15" s="2815">
        <f>D15</f>
        <v>3.7</v>
      </c>
      <c r="F15" s="2815">
        <f>D15</f>
        <v>3.7</v>
      </c>
      <c r="G15" s="2815">
        <f>D15</f>
        <v>3.7</v>
      </c>
      <c r="H15" s="2815">
        <v>4.5999999999999996</v>
      </c>
      <c r="I15" s="2820"/>
      <c r="J15" s="2820"/>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5"/>
      <c r="C16" s="2816">
        <v>44550</v>
      </c>
      <c r="D16" s="2815">
        <v>3.8</v>
      </c>
      <c r="E16" s="2815">
        <f>D16</f>
        <v>3.8</v>
      </c>
      <c r="F16" s="2815">
        <f>D16</f>
        <v>3.8</v>
      </c>
      <c r="G16" s="2815">
        <f>D16</f>
        <v>3.8</v>
      </c>
      <c r="H16" s="2815">
        <v>4.6500000000000004</v>
      </c>
      <c r="I16" s="2815"/>
      <c r="J16" s="2820"/>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5"/>
      <c r="C17" s="2816">
        <v>43941</v>
      </c>
      <c r="D17" s="2815">
        <v>3.85</v>
      </c>
      <c r="E17" s="2815">
        <v>3.85</v>
      </c>
      <c r="F17" s="2815">
        <v>3.85</v>
      </c>
      <c r="G17" s="2815">
        <v>3.85</v>
      </c>
      <c r="H17" s="2815">
        <v>4.6500000000000004</v>
      </c>
      <c r="I17" s="2815"/>
      <c r="J17" s="2815"/>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5"/>
      <c r="C18" s="2816">
        <v>43881</v>
      </c>
      <c r="D18" s="2815">
        <v>4.05</v>
      </c>
      <c r="E18" s="2815">
        <v>4.05</v>
      </c>
      <c r="F18" s="2815">
        <v>4.05</v>
      </c>
      <c r="G18" s="2815">
        <v>4.05</v>
      </c>
      <c r="H18" s="2815">
        <v>4.75</v>
      </c>
      <c r="I18" s="2815"/>
      <c r="J18" s="2815"/>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4"/>
      <c r="B19" s="2815"/>
      <c r="C19" s="2816">
        <v>43789</v>
      </c>
      <c r="D19" s="2815">
        <v>4.1500000000000004</v>
      </c>
      <c r="E19" s="2815">
        <v>4.1500000000000004</v>
      </c>
      <c r="F19" s="2815">
        <v>4.1500000000000004</v>
      </c>
      <c r="G19" s="2815">
        <v>4.1500000000000004</v>
      </c>
      <c r="H19" s="2815">
        <v>4.8</v>
      </c>
      <c r="I19" s="2815"/>
      <c r="J19" s="2815"/>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5"/>
      <c r="C20" s="2816">
        <v>43728</v>
      </c>
      <c r="D20" s="2815">
        <v>4.2</v>
      </c>
      <c r="E20" s="2815">
        <v>4.2</v>
      </c>
      <c r="F20" s="2815">
        <v>4.2</v>
      </c>
      <c r="G20" s="2815">
        <v>4.2</v>
      </c>
      <c r="H20" s="2815">
        <v>4.8499999999999996</v>
      </c>
      <c r="I20" s="2815"/>
      <c r="J20" s="2815"/>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4" t="s">
        <v>2311</v>
      </c>
      <c r="C21" s="2817">
        <v>43697</v>
      </c>
      <c r="D21" s="2818">
        <v>4.25</v>
      </c>
      <c r="E21" s="2818">
        <v>4.25</v>
      </c>
      <c r="F21" s="2818">
        <v>4.25</v>
      </c>
      <c r="G21" s="2818">
        <v>4.25</v>
      </c>
      <c r="H21" s="2818">
        <v>4.8499999999999996</v>
      </c>
      <c r="I21" s="2818"/>
      <c r="J21" s="2818"/>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821"/>
      <c r="B22" s="2822"/>
      <c r="C22" s="2823">
        <v>42301</v>
      </c>
      <c r="D22" s="2824">
        <v>4.3499999999999996</v>
      </c>
      <c r="E22" s="2824">
        <v>4.3499999999999996</v>
      </c>
      <c r="F22" s="2824">
        <v>4.75</v>
      </c>
      <c r="G22" s="2824">
        <v>4.75</v>
      </c>
      <c r="H22" s="2824">
        <v>4.9000000000000004</v>
      </c>
      <c r="I22" s="2824"/>
      <c r="J22" s="2824"/>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9" t="str">
        <f>IF(项目基本情况!B9="房地产市场价值","估价结果一览表","结果表-2")</f>
        <v>结果表-2</v>
      </c>
      <c r="B1" s="3479"/>
      <c r="C1" s="3479"/>
      <c r="D1" s="3479"/>
      <c r="E1" s="3479"/>
      <c r="F1" s="3479"/>
      <c r="G1" s="3479"/>
      <c r="H1" s="3479"/>
      <c r="I1" s="3479"/>
    </row>
    <row r="2" spans="1:9" ht="30" customHeight="1" thickTop="1">
      <c r="A2" s="3480" t="s">
        <v>928</v>
      </c>
      <c r="B2" s="3480" t="s">
        <v>929</v>
      </c>
      <c r="C2" s="3480" t="s">
        <v>930</v>
      </c>
      <c r="D2" s="3480" t="str">
        <f>结果表!D116</f>
        <v>出让国有建设用地使用权价值</v>
      </c>
      <c r="E2" s="3480"/>
      <c r="F2" s="3480" t="str">
        <f>结果表!F116</f>
        <v>在建建筑物价值</v>
      </c>
      <c r="G2" s="3480"/>
      <c r="H2" s="3480" t="str">
        <f>IF(项目基本情况!B9="房地产市场价值","房地产市场价值","房地产价值")</f>
        <v>房地产价值</v>
      </c>
      <c r="I2" s="3480"/>
    </row>
    <row r="3" spans="1:9" ht="15">
      <c r="A3" s="3475"/>
      <c r="B3" s="3475"/>
      <c r="C3" s="3475"/>
      <c r="D3" s="854" t="s">
        <v>925</v>
      </c>
      <c r="E3" s="854" t="s">
        <v>931</v>
      </c>
      <c r="F3" s="854" t="s">
        <v>925</v>
      </c>
      <c r="G3" s="854" t="s">
        <v>926</v>
      </c>
      <c r="H3" s="854" t="s">
        <v>925</v>
      </c>
      <c r="I3" s="854" t="s">
        <v>926</v>
      </c>
    </row>
    <row r="4" spans="1:9" ht="30">
      <c r="A4" s="1505" t="str">
        <f>项目基本情况!S2</f>
        <v>北京市出让国有建设用地使用权及在建建筑物房地产</v>
      </c>
      <c r="B4" s="854">
        <f>项目基本情况!C17</f>
        <v>34689.100000000006</v>
      </c>
      <c r="C4" s="854">
        <f>项目基本情况!C18</f>
        <v>23254.45</v>
      </c>
      <c r="D4" s="854">
        <f ca="1">结果表!D118</f>
        <v>3603</v>
      </c>
      <c r="E4" s="854">
        <f ca="1">结果表!E118</f>
        <v>1039</v>
      </c>
      <c r="F4" s="854">
        <f ca="1">结果表!F118</f>
        <v>9546</v>
      </c>
      <c r="G4" s="854">
        <f ca="1">结果表!G118</f>
        <v>2752</v>
      </c>
      <c r="H4" s="854">
        <f ca="1">结果表!H118</f>
        <v>13149</v>
      </c>
      <c r="I4" s="854">
        <f ca="1">结果表!I118</f>
        <v>3791</v>
      </c>
    </row>
    <row r="5" spans="1:9" ht="30" customHeight="1">
      <c r="A5" s="3475" t="s">
        <v>927</v>
      </c>
      <c r="B5" s="3475"/>
      <c r="C5" s="3475"/>
      <c r="D5" s="3475" t="str">
        <f ca="1">结果表!D119</f>
        <v>叁仟陆佰零叁万元整</v>
      </c>
      <c r="E5" s="3475"/>
      <c r="F5" s="3475" t="str">
        <f ca="1">结果表!F119</f>
        <v>玖仟伍佰肆拾陆万元整</v>
      </c>
      <c r="G5" s="3475"/>
      <c r="H5" s="3475" t="str">
        <f ca="1">结果表!H119</f>
        <v>壹亿叁仟壹佰肆拾玖万元整</v>
      </c>
      <c r="I5" s="3475"/>
    </row>
    <row r="6" spans="1:9" ht="15.75">
      <c r="A6" s="3474" t="str">
        <f>结果表!A120</f>
        <v>估价师知悉的法定优先受偿款</v>
      </c>
      <c r="B6" s="3474"/>
      <c r="C6" s="3474"/>
      <c r="D6" s="3474">
        <f>结果表!D120</f>
        <v>0</v>
      </c>
      <c r="E6" s="3474"/>
      <c r="F6" s="3474"/>
      <c r="G6" s="3474"/>
      <c r="H6" s="3474"/>
      <c r="I6" s="3474"/>
    </row>
    <row r="7" spans="1:9" ht="15">
      <c r="A7" s="3475" t="s">
        <v>927</v>
      </c>
      <c r="B7" s="3475"/>
      <c r="C7" s="3475"/>
      <c r="D7" s="3476" t="str">
        <f>结果表!D121</f>
        <v>零元整</v>
      </c>
      <c r="E7" s="3477"/>
      <c r="F7" s="3477"/>
      <c r="G7" s="3477"/>
      <c r="H7" s="3477"/>
      <c r="I7" s="3478"/>
    </row>
    <row r="8" spans="1:9" ht="15.75">
      <c r="A8" s="3474" t="str">
        <f>结果表!A122</f>
        <v>房地产抵押价值</v>
      </c>
      <c r="B8" s="3474"/>
      <c r="C8" s="3474"/>
      <c r="D8" s="3474">
        <f ca="1">结果表!D122</f>
        <v>13149</v>
      </c>
      <c r="E8" s="3474"/>
      <c r="F8" s="3474"/>
      <c r="G8" s="3474"/>
      <c r="H8" s="3474"/>
      <c r="I8" s="3474"/>
    </row>
    <row r="9" spans="1:9" ht="15">
      <c r="A9" s="3475" t="s">
        <v>927</v>
      </c>
      <c r="B9" s="3475"/>
      <c r="C9" s="3475"/>
      <c r="D9" s="3475" t="str">
        <f ca="1">结果表!D123</f>
        <v>壹亿叁仟壹佰肆拾玖万元整</v>
      </c>
      <c r="E9" s="3475"/>
      <c r="F9" s="3475"/>
      <c r="G9" s="3475"/>
      <c r="H9" s="3475"/>
      <c r="I9" s="3475"/>
    </row>
    <row r="10" spans="1:9" ht="15.75">
      <c r="A10" s="3474" t="str">
        <f>结果表!A124</f>
        <v/>
      </c>
      <c r="B10" s="3474"/>
      <c r="C10" s="3474"/>
      <c r="D10" s="3474" t="str">
        <f>结果表!D124</f>
        <v>——</v>
      </c>
      <c r="E10" s="3474"/>
      <c r="F10" s="3474"/>
      <c r="G10" s="3474"/>
      <c r="H10" s="3474"/>
      <c r="I10" s="3474"/>
    </row>
    <row r="11" spans="1:9" ht="15">
      <c r="A11" s="3475" t="s">
        <v>927</v>
      </c>
      <c r="B11" s="3475"/>
      <c r="C11" s="3475"/>
      <c r="D11" s="3475" t="e">
        <f>结果表!D125</f>
        <v>#VALUE!</v>
      </c>
      <c r="E11" s="3475"/>
      <c r="F11" s="3475"/>
      <c r="G11" s="3475"/>
      <c r="H11" s="3475"/>
      <c r="I11" s="3475"/>
    </row>
    <row r="12" spans="1:9" ht="15.75">
      <c r="A12" s="3474" t="str">
        <f>结果表!A126</f>
        <v/>
      </c>
      <c r="B12" s="3474"/>
      <c r="C12" s="3474"/>
      <c r="D12" s="3474" t="str">
        <f>结果表!D126</f>
        <v>——</v>
      </c>
      <c r="E12" s="3474"/>
      <c r="F12" s="3474"/>
      <c r="G12" s="3474"/>
      <c r="H12" s="3474"/>
      <c r="I12" s="3474"/>
    </row>
    <row r="13" spans="1:9" ht="15.75" thickBot="1">
      <c r="A13" s="3472" t="s">
        <v>927</v>
      </c>
      <c r="B13" s="3472"/>
      <c r="C13" s="3472"/>
      <c r="D13" s="3472" t="e">
        <f>结果表!D127</f>
        <v>#VALUE!</v>
      </c>
      <c r="E13" s="3472"/>
      <c r="F13" s="3472"/>
      <c r="G13" s="3472"/>
      <c r="H13" s="3472"/>
      <c r="I13" s="3472"/>
    </row>
    <row r="14" spans="1:9" ht="15" thickTop="1">
      <c r="A14" s="3473" t="s">
        <v>932</v>
      </c>
      <c r="B14" s="3473"/>
      <c r="C14" s="3473"/>
      <c r="D14" s="3473"/>
      <c r="E14" s="3473"/>
      <c r="F14" s="3473"/>
      <c r="G14" s="3473"/>
      <c r="H14" s="3473"/>
      <c r="I14" s="3473"/>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87" t="s">
        <v>949</v>
      </c>
      <c r="B1" s="3487"/>
      <c r="C1" s="3487"/>
      <c r="D1" s="3487"/>
    </row>
    <row r="2" spans="1:4" ht="18">
      <c r="A2" s="3488" t="s">
        <v>933</v>
      </c>
      <c r="B2" s="3488"/>
      <c r="C2" s="3488"/>
      <c r="D2" s="3488"/>
    </row>
    <row r="3" spans="1:4" ht="18.75">
      <c r="A3" s="1509" t="s">
        <v>934</v>
      </c>
      <c r="B3" s="1509" t="s">
        <v>935</v>
      </c>
      <c r="C3" s="1509" t="s">
        <v>936</v>
      </c>
      <c r="D3" s="1509" t="s">
        <v>937</v>
      </c>
    </row>
    <row r="4" spans="1:4" ht="56.25" customHeight="1">
      <c r="A4" s="1510" t="str">
        <f>项目基本情况!B4</f>
        <v>郑燚</v>
      </c>
      <c r="B4" s="1511">
        <f ca="1">项目基本情况!C4</f>
        <v>1120070131</v>
      </c>
      <c r="C4" s="1512"/>
      <c r="D4" s="1513" t="s">
        <v>938</v>
      </c>
    </row>
    <row r="5" spans="1:4" ht="56.25" customHeight="1">
      <c r="A5" s="1510" t="str">
        <f>项目基本情况!D4</f>
        <v>崔锴</v>
      </c>
      <c r="B5" s="1511">
        <f ca="1">项目基本情况!E4</f>
        <v>1120100036</v>
      </c>
      <c r="C5" s="1514"/>
      <c r="D5" s="1513" t="s">
        <v>938</v>
      </c>
    </row>
    <row r="6" spans="1:4" ht="18">
      <c r="A6" s="3488" t="s">
        <v>939</v>
      </c>
      <c r="B6" s="3488"/>
      <c r="C6" s="3488"/>
      <c r="D6" s="3488"/>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9" t="s">
        <v>942</v>
      </c>
      <c r="B11" s="3481"/>
      <c r="C11" s="3481"/>
      <c r="D11" s="3481"/>
    </row>
    <row r="12" spans="1:4" ht="15.75">
      <c r="A12" s="348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6"/>
      <c r="C12" s="3486"/>
      <c r="D12" s="3486"/>
    </row>
    <row r="13" spans="1:4" ht="30" customHeight="1">
      <c r="A13" s="348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6"/>
      <c r="C13" s="3486"/>
      <c r="D13" s="3486"/>
    </row>
    <row r="14" spans="1:4" ht="15.75" customHeight="1">
      <c r="A14" s="3481" t="str">
        <f>IF(项目基本情况!B8="抵押","4.本次评估估价师所知悉的法定优先受偿款情况说明如下：","——")</f>
        <v>4.本次评估估价师所知悉的法定优先受偿款情况说明如下：</v>
      </c>
      <c r="B14" s="3486"/>
      <c r="C14" s="3486"/>
      <c r="D14" s="3486"/>
    </row>
    <row r="15" spans="1:4" ht="42" customHeight="1">
      <c r="A15" s="348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1"/>
      <c r="C15" s="3481"/>
      <c r="D15" s="3481"/>
    </row>
    <row r="16" spans="1:4" ht="30" customHeight="1">
      <c r="A16" s="3483" t="s">
        <v>943</v>
      </c>
      <c r="B16" s="3483"/>
      <c r="C16" s="3483"/>
      <c r="D16" s="3483"/>
    </row>
    <row r="17" spans="1:4" ht="144" customHeight="1">
      <c r="A17" s="3483" t="s">
        <v>944</v>
      </c>
      <c r="B17" s="3483"/>
      <c r="C17" s="3483"/>
      <c r="D17" s="3483"/>
    </row>
    <row r="18" spans="1:4" ht="15.75" customHeight="1">
      <c r="A18" s="3481" t="str">
        <f>IF(项目基本情况!B8="抵押",结果表!K120,"——")</f>
        <v>故，本次评估不存在估价师知悉的法定优先受偿款</v>
      </c>
      <c r="B18" s="3481"/>
      <c r="C18" s="3481"/>
      <c r="D18" s="3481"/>
    </row>
    <row r="19" spans="1:4" ht="46.5" customHeight="1">
      <c r="A19" s="348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1"/>
      <c r="C19" s="3481"/>
      <c r="D19" s="3481"/>
    </row>
    <row r="20" spans="1:4" ht="57.75" customHeight="1">
      <c r="A20" s="348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1"/>
      <c r="C20" s="3481"/>
      <c r="D20" s="3481"/>
    </row>
    <row r="21" spans="1:4" ht="57.75" customHeight="1">
      <c r="A21" s="348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4"/>
      <c r="C21" s="3484"/>
      <c r="D21" s="3484"/>
    </row>
    <row r="22" spans="1:4" ht="18.75" customHeight="1">
      <c r="A22" s="3485" t="s">
        <v>945</v>
      </c>
      <c r="B22" s="3485"/>
      <c r="C22" s="3485"/>
      <c r="D22" s="3485"/>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82">
        <v>42551</v>
      </c>
      <c r="D31" s="348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95" t="s">
        <v>956</v>
      </c>
      <c r="B15" s="3490" t="s">
        <v>109</v>
      </c>
      <c r="C15" s="3491"/>
    </row>
    <row r="16" spans="1:7" ht="13.5">
      <c r="A16" s="3496"/>
      <c r="B16" s="3490" t="s">
        <v>42</v>
      </c>
      <c r="C16" s="3491"/>
    </row>
    <row r="17" spans="1:3" ht="13.5">
      <c r="A17" s="3496"/>
      <c r="B17" s="3493" t="s">
        <v>957</v>
      </c>
      <c r="C17" s="1532" t="s">
        <v>956</v>
      </c>
    </row>
    <row r="18" spans="1:3" ht="13.5">
      <c r="A18" s="3496"/>
      <c r="B18" s="3493"/>
      <c r="C18" s="1532" t="s">
        <v>958</v>
      </c>
    </row>
    <row r="19" spans="1:3" ht="13.5">
      <c r="A19" s="3496"/>
      <c r="B19" s="3493"/>
      <c r="C19" s="1532" t="s">
        <v>959</v>
      </c>
    </row>
    <row r="20" spans="1:3" ht="13.5">
      <c r="A20" s="3497"/>
      <c r="B20" s="3492" t="s">
        <v>960</v>
      </c>
      <c r="C20" s="3491"/>
    </row>
    <row r="21" spans="1:3" ht="13.5">
      <c r="A21" s="1533" t="s">
        <v>961</v>
      </c>
      <c r="B21" s="1534"/>
      <c r="C21" s="1535"/>
    </row>
    <row r="22" spans="1:3" ht="13.5">
      <c r="A22" s="3494" t="s">
        <v>962</v>
      </c>
      <c r="B22" s="3492" t="s">
        <v>963</v>
      </c>
      <c r="C22" s="3491"/>
    </row>
    <row r="23" spans="1:3" ht="13.5">
      <c r="A23" s="3494"/>
      <c r="B23" s="3492" t="s">
        <v>964</v>
      </c>
      <c r="C23" s="3491"/>
    </row>
    <row r="24" spans="1:3" ht="13.5">
      <c r="A24" s="3494"/>
      <c r="B24" s="3492" t="s">
        <v>965</v>
      </c>
      <c r="C24" s="3491"/>
    </row>
    <row r="25" spans="1:3" ht="13.5">
      <c r="A25" s="3494"/>
      <c r="B25" s="3493" t="s">
        <v>966</v>
      </c>
      <c r="C25" s="1532" t="s">
        <v>967</v>
      </c>
    </row>
    <row r="26" spans="1:3" ht="13.5">
      <c r="A26" s="3494"/>
      <c r="B26" s="3493"/>
      <c r="C26" s="1532" t="s">
        <v>968</v>
      </c>
    </row>
    <row r="27" spans="1:3" ht="13.5">
      <c r="A27" s="3494"/>
      <c r="B27" s="3493"/>
      <c r="C27" s="1532" t="s">
        <v>969</v>
      </c>
    </row>
    <row r="28" spans="1:3" ht="13.5">
      <c r="A28" s="3494"/>
      <c r="B28" s="3493"/>
      <c r="C28" s="1532" t="s">
        <v>970</v>
      </c>
    </row>
    <row r="29" spans="1:3" ht="13.5">
      <c r="A29" s="3494"/>
      <c r="B29" s="3493"/>
      <c r="C29" s="1532" t="s">
        <v>971</v>
      </c>
    </row>
    <row r="30" spans="1:3" ht="13.5">
      <c r="A30" s="3494"/>
      <c r="B30" s="3493"/>
      <c r="C30" s="1532" t="s">
        <v>972</v>
      </c>
    </row>
    <row r="31" spans="1:3" ht="13.5">
      <c r="A31" s="3494"/>
      <c r="B31" s="3493"/>
      <c r="C31" s="1532" t="s">
        <v>973</v>
      </c>
    </row>
    <row r="32" spans="1:3" ht="13.5">
      <c r="A32" s="3494"/>
      <c r="B32" s="3493"/>
      <c r="C32" s="1532" t="s">
        <v>974</v>
      </c>
    </row>
    <row r="33" spans="1:3" ht="13.5">
      <c r="A33" s="3494"/>
      <c r="B33" s="3493"/>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2137</v>
      </c>
      <c r="B2" s="2339">
        <f ca="1">TODAY()</f>
        <v>45054</v>
      </c>
      <c r="C2" s="2340" t="s">
        <v>2138</v>
      </c>
      <c r="D2" s="2340"/>
      <c r="E2" s="2340"/>
      <c r="F2" s="2336"/>
      <c r="G2" s="2336"/>
      <c r="H2" s="2336"/>
    </row>
    <row r="3" spans="1:8" ht="24" customHeight="1">
      <c r="A3" s="2341" t="s">
        <v>2139</v>
      </c>
      <c r="B3" s="2342" t="s">
        <v>2140</v>
      </c>
      <c r="C3" s="2342" t="s">
        <v>2141</v>
      </c>
      <c r="D3" s="2343" t="s">
        <v>2142</v>
      </c>
      <c r="E3" s="2344" t="s">
        <v>2143</v>
      </c>
      <c r="F3" s="1304" t="s">
        <v>2144</v>
      </c>
      <c r="G3" s="2342" t="s">
        <v>2141</v>
      </c>
      <c r="H3" s="2343" t="s">
        <v>2145</v>
      </c>
    </row>
    <row r="4" spans="1:8" ht="24" customHeight="1">
      <c r="A4" s="1304" t="s">
        <v>2146</v>
      </c>
      <c r="B4" s="1304">
        <f ca="1">IF(C4&lt;B2,"已过期",1119970066)</f>
        <v>1119970066</v>
      </c>
      <c r="C4" s="2345">
        <v>45937</v>
      </c>
      <c r="D4" s="2346" t="str">
        <f ca="1">A4&amp;"（注册号："&amp;B4&amp;"）"</f>
        <v>梁津（注册号：1119970066）</v>
      </c>
      <c r="E4" s="2347" t="s">
        <v>2146</v>
      </c>
      <c r="F4" s="1304">
        <f ca="1">IF(G4&lt;B2,"已过期",96010014)</f>
        <v>96010014</v>
      </c>
      <c r="G4" s="2348">
        <v>47118</v>
      </c>
      <c r="H4" s="2349" t="str">
        <f ca="1">E4&amp;"（注册号："&amp;F4&amp;"）"</f>
        <v>梁津（注册号：96010014）</v>
      </c>
    </row>
    <row r="5" spans="1:8" ht="24" customHeight="1">
      <c r="A5" s="1304" t="s">
        <v>2147</v>
      </c>
      <c r="B5" s="1304">
        <f ca="1">IF(C5&lt;B2,"已过期",1119970111)</f>
        <v>1119970111</v>
      </c>
      <c r="C5" s="2345">
        <v>45937</v>
      </c>
      <c r="D5" s="2346" t="str">
        <f t="shared" ref="D5:D15" ca="1" si="0">A5&amp;"（注册号："&amp;B5&amp;"）"</f>
        <v>叶凌（注册号：1119970111）</v>
      </c>
      <c r="E5" s="2347" t="s">
        <v>2147</v>
      </c>
      <c r="F5" s="1304">
        <f ca="1">IF(G5&lt;B2,"已过期",94010078)</f>
        <v>94010078</v>
      </c>
      <c r="G5" s="2348">
        <v>46387</v>
      </c>
      <c r="H5" s="2349" t="str">
        <f t="shared" ref="H5:H16" ca="1" si="1">E5&amp;"（注册号："&amp;F5&amp;"）"</f>
        <v>叶凌（注册号：94010078）</v>
      </c>
    </row>
    <row r="6" spans="1:8" ht="24" customHeight="1">
      <c r="A6" s="1304" t="s">
        <v>2148</v>
      </c>
      <c r="B6" s="1304">
        <f ca="1">IF(C6&lt;B2,"已过期",1120050019)</f>
        <v>1120050019</v>
      </c>
      <c r="C6" s="2345">
        <v>45410</v>
      </c>
      <c r="D6" s="2346" t="str">
        <f t="shared" ca="1" si="0"/>
        <v>王鹏（注册号：1120050019）</v>
      </c>
      <c r="E6" s="2347" t="s">
        <v>2148</v>
      </c>
      <c r="F6" s="1304">
        <f ca="1">IF(G6&lt;B2,"已过期",2002110030)</f>
        <v>2002110030</v>
      </c>
      <c r="G6" s="2348">
        <v>46387</v>
      </c>
      <c r="H6" s="2349" t="str">
        <f t="shared" ca="1" si="1"/>
        <v>王鹏（注册号：2002110030）</v>
      </c>
    </row>
    <row r="7" spans="1:8" ht="24" customHeight="1">
      <c r="A7" s="1304" t="s">
        <v>2149</v>
      </c>
      <c r="B7" s="1304">
        <f ca="1">IF(C7&lt;B2,"已过期",1120000080)</f>
        <v>1120000080</v>
      </c>
      <c r="C7" s="2345">
        <v>45937</v>
      </c>
      <c r="D7" s="2346" t="str">
        <f t="shared" ca="1" si="0"/>
        <v>欧红伟（注册号：1120000080）</v>
      </c>
      <c r="E7" s="2347" t="s">
        <v>2149</v>
      </c>
      <c r="F7" s="1304">
        <f ca="1">IF(G7&lt;B2,"已过期",2000110082)</f>
        <v>2000110082</v>
      </c>
      <c r="G7" s="2348">
        <v>46387</v>
      </c>
      <c r="H7" s="2349" t="str">
        <f t="shared" ca="1" si="1"/>
        <v>欧红伟（注册号：2000110082）</v>
      </c>
    </row>
    <row r="8" spans="1:8" ht="24" customHeight="1">
      <c r="A8" s="1304" t="s">
        <v>2150</v>
      </c>
      <c r="B8" s="1304">
        <f ca="1">IF(C8&lt;B2,"已过期",1419970001)</f>
        <v>1419970001</v>
      </c>
      <c r="C8" s="2345">
        <v>45937</v>
      </c>
      <c r="D8" s="2346" t="str">
        <f t="shared" ca="1" si="0"/>
        <v>吴薇（注册号：1419970001）</v>
      </c>
      <c r="E8" s="2347" t="s">
        <v>2150</v>
      </c>
      <c r="F8" s="1304">
        <f ca="1">IF(G8&lt;B2,"已过期",2002110125)</f>
        <v>2002110125</v>
      </c>
      <c r="G8" s="2348">
        <v>47118</v>
      </c>
      <c r="H8" s="2349" t="str">
        <f t="shared" ca="1" si="1"/>
        <v>吴薇（注册号：2002110125）</v>
      </c>
    </row>
    <row r="9" spans="1:8" ht="24" customHeight="1">
      <c r="A9" s="1304" t="s">
        <v>2151</v>
      </c>
      <c r="B9" s="1304">
        <f ca="1">IF(C9&lt;B2,"已过期",1120060040)</f>
        <v>1120060040</v>
      </c>
      <c r="C9" s="2350">
        <v>45592</v>
      </c>
      <c r="D9" s="2346" t="str">
        <f t="shared" ca="1" si="0"/>
        <v>陈颖（注册号：1120060040）</v>
      </c>
      <c r="E9" s="2347" t="s">
        <v>2151</v>
      </c>
      <c r="F9" s="1304">
        <f ca="1">IF(G9&lt;B2,"已过期",2004110096)</f>
        <v>2004110096</v>
      </c>
      <c r="G9" s="2348">
        <v>47118</v>
      </c>
      <c r="H9" s="2349" t="str">
        <f t="shared" ca="1" si="1"/>
        <v>陈颖（注册号：2004110096）</v>
      </c>
    </row>
    <row r="10" spans="1:8" ht="24" customHeight="1">
      <c r="A10" s="1304" t="s">
        <v>2152</v>
      </c>
      <c r="B10" s="1304">
        <f ca="1">IF(C10&lt;B2,"已过期",1120100036)</f>
        <v>1120100036</v>
      </c>
      <c r="C10" s="2350">
        <v>45752</v>
      </c>
      <c r="D10" s="2346" t="str">
        <f t="shared" ca="1" si="0"/>
        <v>崔锴（注册号：1120100036）</v>
      </c>
      <c r="E10" s="2347" t="s">
        <v>2152</v>
      </c>
      <c r="F10" s="1304">
        <f ca="1">IF(G10&lt;B2,"已过期",2010110070)</f>
        <v>2010110070</v>
      </c>
      <c r="G10" s="2348">
        <v>47907</v>
      </c>
      <c r="H10" s="2349" t="str">
        <f t="shared" ca="1" si="1"/>
        <v>崔锴（注册号：2010110070）</v>
      </c>
    </row>
    <row r="11" spans="1:8" ht="24" customHeight="1">
      <c r="A11" s="1304" t="s">
        <v>2153</v>
      </c>
      <c r="B11" s="1304">
        <f ca="1">IF(C11&lt;B2,"已过期",1120070131)</f>
        <v>1120070131</v>
      </c>
      <c r="C11" s="2345">
        <v>45937</v>
      </c>
      <c r="D11" s="2346" t="str">
        <f t="shared" ca="1" si="0"/>
        <v>郑燚（注册号：1120070131）</v>
      </c>
      <c r="E11" s="2347" t="s">
        <v>2153</v>
      </c>
      <c r="F11" s="1304">
        <f ca="1">IF(G11&lt;B2,"已过期",2014110011)</f>
        <v>2014110011</v>
      </c>
      <c r="G11" s="2348">
        <v>49302</v>
      </c>
      <c r="H11" s="2349" t="str">
        <f t="shared" ca="1" si="1"/>
        <v>郑燚（注册号：2014110011）</v>
      </c>
    </row>
    <row r="12" spans="1:8" ht="24" customHeight="1">
      <c r="A12" s="1304" t="s">
        <v>2154</v>
      </c>
      <c r="B12" s="1304">
        <f ca="1">IF(C12&lt;B2,"已过期",1120040230)</f>
        <v>1120040230</v>
      </c>
      <c r="C12" s="2350">
        <v>45937</v>
      </c>
      <c r="D12" s="2346" t="str">
        <f t="shared" ca="1" si="0"/>
        <v>苏海（注册号：1120040230）</v>
      </c>
      <c r="E12" s="2347" t="s">
        <v>2154</v>
      </c>
      <c r="F12" s="1304">
        <f ca="1">IF(G12&lt;B2,"已过期",98030020)</f>
        <v>98030020</v>
      </c>
      <c r="G12" s="2348">
        <v>47118</v>
      </c>
      <c r="H12" s="2349" t="str">
        <f t="shared" ca="1" si="1"/>
        <v>苏海（注册号：98030020）</v>
      </c>
    </row>
    <row r="13" spans="1:8" ht="24" customHeight="1">
      <c r="A13" s="1304" t="s">
        <v>2155</v>
      </c>
      <c r="B13" s="1304">
        <f ca="1">IF(C13&lt;B2,"已过期",1120020033)</f>
        <v>1120020033</v>
      </c>
      <c r="C13" s="2345">
        <v>45375</v>
      </c>
      <c r="D13" s="2346" t="str">
        <f t="shared" ca="1" si="0"/>
        <v>刘敬东（注册号：1120020033）</v>
      </c>
      <c r="E13" s="2347" t="s">
        <v>2155</v>
      </c>
      <c r="F13" s="1304">
        <f ca="1">IF(G13&lt;B2,"已过期",2000110137)</f>
        <v>2000110137</v>
      </c>
      <c r="G13" s="2348">
        <v>46387</v>
      </c>
      <c r="H13" s="2349" t="str">
        <f t="shared" ca="1" si="1"/>
        <v>刘敬东（注册号：2000110137）</v>
      </c>
    </row>
    <row r="14" spans="1:8" ht="24" customHeight="1">
      <c r="A14" s="1304" t="s">
        <v>2156</v>
      </c>
      <c r="B14" s="1304" t="str">
        <f ca="1">IF(C14&lt;B2,"已过期",1119980106)</f>
        <v>已过期</v>
      </c>
      <c r="C14" s="2350">
        <v>44969</v>
      </c>
      <c r="D14" s="2346" t="str">
        <f t="shared" ca="1" si="0"/>
        <v>刘俊财（注册号：已过期）</v>
      </c>
      <c r="E14" s="2347" t="s">
        <v>2156</v>
      </c>
      <c r="F14" s="1304">
        <f ca="1">IF(G14&lt;B2,"已过期",96010063)</f>
        <v>96010063</v>
      </c>
      <c r="G14" s="2348">
        <v>47483</v>
      </c>
      <c r="H14" s="2349" t="str">
        <f t="shared" ca="1" si="1"/>
        <v>刘俊财（注册号：96010063）</v>
      </c>
    </row>
    <row r="15" spans="1:8" ht="24" customHeight="1">
      <c r="A15" s="1304" t="s">
        <v>2438</v>
      </c>
      <c r="B15" s="1304">
        <v>1120210056</v>
      </c>
      <c r="C15" s="2350">
        <v>45410</v>
      </c>
      <c r="D15" s="2346" t="str">
        <f t="shared" si="0"/>
        <v>宁小鳗（注册号：1120210056）</v>
      </c>
      <c r="E15" s="2347" t="s">
        <v>2157</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8" t="s">
        <v>2158</v>
      </c>
      <c r="B17" s="3498"/>
      <c r="C17" s="3498"/>
      <c r="D17" s="3498"/>
      <c r="E17" s="3498"/>
      <c r="F17" s="3498"/>
      <c r="G17" s="3498"/>
      <c r="H17" s="3498"/>
    </row>
    <row r="18" spans="1:8" ht="24" customHeight="1">
      <c r="A18" s="3499" t="s">
        <v>2159</v>
      </c>
      <c r="B18" s="3499"/>
      <c r="C18" s="3499"/>
      <c r="D18" s="2343"/>
      <c r="E18" s="3500" t="s">
        <v>2160</v>
      </c>
      <c r="F18" s="3499"/>
      <c r="G18" s="3499"/>
    </row>
    <row r="19" spans="1:8" s="2354" customFormat="1" ht="24" customHeight="1">
      <c r="A19" s="2353" t="s">
        <v>2161</v>
      </c>
      <c r="B19" s="2342" t="s">
        <v>2162</v>
      </c>
      <c r="C19" s="2342" t="s">
        <v>2141</v>
      </c>
      <c r="D19" s="2343"/>
      <c r="E19" s="2347" t="s">
        <v>2161</v>
      </c>
      <c r="F19" s="2342" t="s">
        <v>2162</v>
      </c>
      <c r="G19" s="2342" t="s">
        <v>2141</v>
      </c>
    </row>
    <row r="20" spans="1:8" s="2354" customFormat="1" ht="24" customHeight="1">
      <c r="A20" s="2355" t="s">
        <v>2163</v>
      </c>
      <c r="B20" s="2355" t="s">
        <v>2164</v>
      </c>
      <c r="C20" s="2348">
        <v>45898</v>
      </c>
      <c r="D20" s="2356"/>
      <c r="E20" s="2357" t="s">
        <v>2165</v>
      </c>
      <c r="F20" s="2360" t="s">
        <v>2439</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土地案例</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1-xingke-317</cp:lastModifiedBy>
  <cp:lastPrinted>2017-03-01T09:15:43Z</cp:lastPrinted>
  <dcterms:created xsi:type="dcterms:W3CDTF">2015-07-13T07:17:23Z</dcterms:created>
  <dcterms:modified xsi:type="dcterms:W3CDTF">2023-05-08T08:12:55Z</dcterms:modified>
</cp:coreProperties>
</file>