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4\"/>
    </mc:Choice>
  </mc:AlternateContent>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汇总）" sheetId="70" state="hidden" r:id="rId24"/>
    <sheet name="酒店收入计算" sheetId="66" state="hidden" r:id="rId25"/>
    <sheet name="比较法-住宅" sheetId="21" state="hidden" r:id="rId26"/>
    <sheet name="收益法 (元)" sheetId="67"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2">收益法!$A$1:$AK$69</definedName>
    <definedName name="_xlnm.Print_Area" localSheetId="26">'收益法 (元)'!$A$1:$F$43</definedName>
    <definedName name="_xlnm.Print_Area" localSheetId="13">'数据-汇总表'!$A$1:$I$32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G25" i="77" l="1"/>
  <c r="G24" i="77"/>
  <c r="C15" i="74"/>
  <c r="D77" i="33"/>
  <c r="E77" i="33" s="1"/>
  <c r="D87" i="33"/>
  <c r="E87" i="33" s="1"/>
  <c r="D91" i="33"/>
  <c r="E91" i="33" s="1"/>
  <c r="F91" i="33" s="1"/>
  <c r="G91" i="33" s="1"/>
  <c r="H91" i="33" s="1"/>
  <c r="I91" i="33" s="1"/>
  <c r="J91" i="33" s="1"/>
  <c r="K91" i="33" s="1"/>
  <c r="L91" i="33" s="1"/>
  <c r="M91" i="33" s="1"/>
  <c r="F21" i="67"/>
  <c r="B15" i="74"/>
  <c r="I47" i="33"/>
  <c r="G47" i="33"/>
  <c r="T47" i="33" s="1"/>
  <c r="E47" i="33"/>
  <c r="N6" i="1"/>
  <c r="D111" i="33"/>
  <c r="E111" i="33" s="1"/>
  <c r="F111" i="33" s="1"/>
  <c r="G111" i="33" s="1"/>
  <c r="R47" i="33"/>
  <c r="V47" i="33"/>
  <c r="F33" i="67"/>
  <c r="M47" i="67"/>
  <c r="D4" i="31"/>
  <c r="E4" i="31"/>
  <c r="F4" i="31"/>
  <c r="G4" i="31"/>
  <c r="H4" i="31"/>
  <c r="C4" i="31"/>
  <c r="D3" i="31"/>
  <c r="E3" i="31"/>
  <c r="F3" i="31"/>
  <c r="G3" i="31"/>
  <c r="H3" i="31"/>
  <c r="C3" i="31"/>
  <c r="B25" i="31"/>
  <c r="B26" i="31"/>
  <c r="B27" i="31"/>
  <c r="B28" i="31"/>
  <c r="B29" i="31"/>
  <c r="B30" i="31"/>
  <c r="B31" i="31"/>
  <c r="B32" i="31"/>
  <c r="B33" i="31"/>
  <c r="B34" i="31"/>
  <c r="B35" i="31"/>
  <c r="B36" i="31"/>
  <c r="B37" i="31"/>
  <c r="B38" i="31"/>
  <c r="B39" i="31"/>
  <c r="B40" i="31"/>
  <c r="B41" i="31"/>
  <c r="B24" i="31"/>
  <c r="A40" i="31"/>
  <c r="A41" i="31"/>
  <c r="A25" i="31"/>
  <c r="A26" i="31"/>
  <c r="A27" i="31"/>
  <c r="A28" i="31"/>
  <c r="A29" i="31"/>
  <c r="A30" i="31"/>
  <c r="A31" i="31"/>
  <c r="A32" i="31"/>
  <c r="A33" i="31"/>
  <c r="A34" i="31"/>
  <c r="A35" i="31"/>
  <c r="A36" i="31"/>
  <c r="A37" i="31"/>
  <c r="A38" i="31"/>
  <c r="A39" i="31"/>
  <c r="A24" i="31"/>
  <c r="A3" i="3"/>
  <c r="I13" i="3"/>
  <c r="C33" i="33" s="1"/>
  <c r="J20" i="77"/>
  <c r="F19" i="6"/>
  <c r="C15" i="3"/>
  <c r="C16" i="3"/>
  <c r="C17" i="3"/>
  <c r="C18" i="3"/>
  <c r="C19" i="3"/>
  <c r="C20" i="3"/>
  <c r="C21" i="3"/>
  <c r="C22" i="3"/>
  <c r="C23" i="3"/>
  <c r="C24" i="3"/>
  <c r="C25" i="3"/>
  <c r="C26" i="3"/>
  <c r="C27" i="3"/>
  <c r="C28" i="3"/>
  <c r="C29" i="3"/>
  <c r="C30" i="3"/>
  <c r="C14" i="3"/>
  <c r="C13" i="3"/>
  <c r="G20" i="77"/>
  <c r="N6" i="71"/>
  <c r="N5" i="71"/>
  <c r="N7" i="71"/>
  <c r="B7" i="71" s="1"/>
  <c r="B6" i="71" s="1"/>
  <c r="B5" i="71" s="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C6" i="71" s="1"/>
  <c r="C5" i="71" s="1"/>
  <c r="D5" i="71" s="1"/>
  <c r="D6" i="71"/>
  <c r="B2" i="1"/>
  <c r="G19" i="43"/>
  <c r="D8" i="71"/>
  <c r="C11" i="71"/>
  <c r="C10" i="71" s="1"/>
  <c r="E11" i="71"/>
  <c r="E10" i="71" s="1"/>
  <c r="E9" i="71" s="1"/>
  <c r="D12" i="71"/>
  <c r="B13" i="71"/>
  <c r="C13" i="71"/>
  <c r="D13" i="71" s="1"/>
  <c r="E13" i="71"/>
  <c r="E14" i="71" s="1"/>
  <c r="E15" i="71" s="1"/>
  <c r="F13" i="71"/>
  <c r="B14" i="71"/>
  <c r="B15" i="71" s="1"/>
  <c r="F14" i="71"/>
  <c r="F15" i="71" s="1"/>
  <c r="D16" i="71"/>
  <c r="B17" i="71"/>
  <c r="C17" i="71"/>
  <c r="D17" i="71" s="1"/>
  <c r="E17" i="71"/>
  <c r="E18" i="71" s="1"/>
  <c r="E19" i="71" s="1"/>
  <c r="F17" i="71"/>
  <c r="B18" i="71"/>
  <c r="B19" i="71" s="1"/>
  <c r="F18" i="71"/>
  <c r="F19" i="71" s="1"/>
  <c r="D20" i="71"/>
  <c r="B21" i="71"/>
  <c r="C21" i="71"/>
  <c r="D21" i="71" s="1"/>
  <c r="E21" i="71"/>
  <c r="E22" i="71" s="1"/>
  <c r="E23" i="71" s="1"/>
  <c r="F21" i="71"/>
  <c r="B22" i="71"/>
  <c r="B23" i="71" s="1"/>
  <c r="F22" i="71"/>
  <c r="F23" i="71" s="1"/>
  <c r="M19" i="43"/>
  <c r="G2" i="43"/>
  <c r="C6" i="43"/>
  <c r="C5" i="43" s="1"/>
  <c r="G17" i="43"/>
  <c r="H17" i="43"/>
  <c r="I17" i="43"/>
  <c r="J17" i="43"/>
  <c r="C17" i="43"/>
  <c r="C16" i="43"/>
  <c r="G20" i="43"/>
  <c r="C20" i="43" s="1"/>
  <c r="J20" i="43"/>
  <c r="I20" i="43"/>
  <c r="C24" i="43"/>
  <c r="F39" i="43"/>
  <c r="F38" i="43"/>
  <c r="F37" i="43"/>
  <c r="D5" i="43"/>
  <c r="F36" i="43"/>
  <c r="F35" i="43"/>
  <c r="F34" i="43"/>
  <c r="A6" i="1"/>
  <c r="G1" i="67" s="1"/>
  <c r="J50" i="67"/>
  <c r="J51" i="67"/>
  <c r="M47" i="15"/>
  <c r="C18" i="43"/>
  <c r="AD5" i="3"/>
  <c r="AH5" i="3"/>
  <c r="AL5" i="3"/>
  <c r="AP5" i="3"/>
  <c r="I5" i="3"/>
  <c r="I4" i="6" s="1"/>
  <c r="G3" i="43" s="1"/>
  <c r="F33" i="43"/>
  <c r="H33" i="43"/>
  <c r="D1" i="43"/>
  <c r="C10" i="43"/>
  <c r="C11" i="43" s="1"/>
  <c r="E10" i="43"/>
  <c r="C9" i="43"/>
  <c r="C15" i="43"/>
  <c r="D15" i="43"/>
  <c r="E15" i="43"/>
  <c r="F15" i="43"/>
  <c r="C12" i="43"/>
  <c r="C99" i="43"/>
  <c r="C100" i="43"/>
  <c r="C108" i="43"/>
  <c r="B113" i="43"/>
  <c r="G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I115" i="43"/>
  <c r="J115" i="43" s="1"/>
  <c r="K115" i="43" s="1"/>
  <c r="L115" i="43" s="1"/>
  <c r="M115" i="43" s="1"/>
  <c r="I117" i="43"/>
  <c r="J117" i="43" s="1"/>
  <c r="K117" i="43" s="1"/>
  <c r="L117" i="43" s="1"/>
  <c r="M117" i="43"/>
  <c r="G118" i="43"/>
  <c r="H118" i="43" s="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B66" i="72" s="1"/>
  <c r="A22" i="51"/>
  <c r="A21" i="51"/>
  <c r="B16" i="72" s="1"/>
  <c r="A20" i="51"/>
  <c r="L20" i="4"/>
  <c r="A15" i="62" s="1"/>
  <c r="L21" i="4"/>
  <c r="L22" i="4"/>
  <c r="A14" i="62"/>
  <c r="B60" i="72" s="1"/>
  <c r="A13" i="62"/>
  <c r="A19" i="62"/>
  <c r="A12" i="62"/>
  <c r="A120" i="9"/>
  <c r="H2" i="52"/>
  <c r="A1" i="52"/>
  <c r="A3" i="53"/>
  <c r="A15" i="51"/>
  <c r="C76" i="9"/>
  <c r="I107" i="40"/>
  <c r="K6" i="4"/>
  <c r="M56" i="9" s="1"/>
  <c r="B22" i="31"/>
  <c r="N56" i="9"/>
  <c r="K56" i="9"/>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65" i="72"/>
  <c r="B59" i="72"/>
  <c r="B58" i="72"/>
  <c r="B67" i="72"/>
  <c r="B12"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E62" i="71"/>
  <c r="E61" i="71" s="1"/>
  <c r="D63" i="71"/>
  <c r="C70" i="71"/>
  <c r="D70" i="71" s="1"/>
  <c r="T11" i="71"/>
  <c r="S11" i="71"/>
  <c r="AB3" i="71"/>
  <c r="AB8" i="71"/>
  <c r="AB9" i="71"/>
  <c r="AB10" i="71"/>
  <c r="AB11" i="71"/>
  <c r="AA3" i="71"/>
  <c r="AA8" i="71"/>
  <c r="AA9" i="71"/>
  <c r="AA10" i="71"/>
  <c r="AA11" i="71"/>
  <c r="C49" i="71"/>
  <c r="O49" i="71" s="1"/>
  <c r="O50" i="71"/>
  <c r="D50" i="71"/>
  <c r="D58" i="71"/>
  <c r="C57" i="71"/>
  <c r="D57" i="71"/>
  <c r="C69" i="71"/>
  <c r="D69" i="71" s="1"/>
  <c r="P50" i="71"/>
  <c r="C27" i="71"/>
  <c r="T27" i="71" s="1"/>
  <c r="V11" i="71"/>
  <c r="D49" i="71"/>
  <c r="D2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D46" i="67"/>
  <c r="F61" i="67"/>
  <c r="F23" i="67"/>
  <c r="D24"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K10" i="1" s="1"/>
  <c r="A11" i="1"/>
  <c r="A12" i="1"/>
  <c r="A13" i="1"/>
  <c r="B11" i="1"/>
  <c r="E11" i="1"/>
  <c r="B7" i="1"/>
  <c r="E7"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5" i="33"/>
  <c r="E85" i="33" s="1"/>
  <c r="D81" i="33"/>
  <c r="E81" i="33" s="1"/>
  <c r="D79" i="33"/>
  <c r="E79" i="33" s="1"/>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s="1"/>
  <c r="AC41" i="33"/>
  <c r="W41" i="33"/>
  <c r="Q41" i="33"/>
  <c r="Z41" i="33" s="1"/>
  <c r="Q40" i="33"/>
  <c r="Z40" i="33" s="1"/>
  <c r="J40" i="33"/>
  <c r="AC40" i="33" s="1"/>
  <c r="H40" i="33"/>
  <c r="AB40" i="33" s="1"/>
  <c r="AA40" i="33"/>
  <c r="Q39" i="33"/>
  <c r="Z39" i="33"/>
  <c r="J39" i="33"/>
  <c r="AC39" i="33"/>
  <c r="Q38" i="33"/>
  <c r="Z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s="1"/>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c r="F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AC43" i="39"/>
  <c r="W43" i="39"/>
  <c r="U45" i="39"/>
  <c r="AB45" i="39"/>
  <c r="AB44" i="39"/>
  <c r="U44" i="39"/>
  <c r="G101" i="39"/>
  <c r="H37" i="39"/>
  <c r="AB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D9" i="53" s="1"/>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81" i="43"/>
  <c r="H83" i="43"/>
  <c r="F48" i="43"/>
  <c r="H52" i="43"/>
  <c r="N7" i="43"/>
  <c r="F70" i="43"/>
  <c r="H73" i="43" s="1"/>
  <c r="M6" i="43"/>
  <c r="M11" i="43"/>
  <c r="E17" i="43"/>
  <c r="F6" i="1"/>
  <c r="U17" i="39"/>
  <c r="S14" i="35"/>
  <c r="U43" i="21"/>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4" i="43"/>
  <c r="H50" i="43"/>
  <c r="H49" i="43"/>
  <c r="H48" i="43"/>
  <c r="F23" i="39"/>
  <c r="AA23" i="39" s="1"/>
  <c r="H27" i="36"/>
  <c r="F27" i="36"/>
  <c r="AA27" i="36" s="1"/>
  <c r="H33" i="34"/>
  <c r="F32" i="37"/>
  <c r="AA32" i="37" s="1"/>
  <c r="G96" i="37"/>
  <c r="H96" i="37" s="1"/>
  <c r="I96" i="37"/>
  <c r="J96" i="37" s="1"/>
  <c r="K96" i="37" s="1"/>
  <c r="L96" i="37" s="1"/>
  <c r="M96" i="37" s="1"/>
  <c r="F20" i="36"/>
  <c r="AA20" i="36"/>
  <c r="J33" i="34"/>
  <c r="AC33" i="34"/>
  <c r="H23" i="39"/>
  <c r="U23" i="39"/>
  <c r="D48" i="9"/>
  <c r="M52" i="9"/>
  <c r="H86" i="43"/>
  <c r="H82" i="43"/>
  <c r="H87" i="43"/>
  <c r="K9" i="1"/>
  <c r="M9" i="1" s="1"/>
  <c r="O9" i="1"/>
  <c r="P9" i="1"/>
  <c r="AE9" i="1"/>
  <c r="D93" i="9"/>
  <c r="E12" i="6"/>
  <c r="K6" i="1"/>
  <c r="E13" i="6"/>
  <c r="G29" i="6"/>
  <c r="AC26" i="33"/>
  <c r="W26" i="33"/>
  <c r="W27" i="34"/>
  <c r="AC27" i="34"/>
  <c r="AB34" i="36"/>
  <c r="AB33" i="36"/>
  <c r="AC12" i="39"/>
  <c r="W12" i="39"/>
  <c r="AC39" i="40"/>
  <c r="K101" i="43"/>
  <c r="F101" i="43"/>
  <c r="N101" i="43"/>
  <c r="G101" i="43"/>
  <c r="J101" i="43"/>
  <c r="N104" i="46"/>
  <c r="W12" i="33"/>
  <c r="AC12" i="33"/>
  <c r="S32" i="36"/>
  <c r="F28" i="6"/>
  <c r="U30" i="33"/>
  <c r="AC13" i="34"/>
  <c r="AA47" i="34"/>
  <c r="W28" i="37"/>
  <c r="S19" i="39"/>
  <c r="F12" i="33"/>
  <c r="AA12" i="33" s="1"/>
  <c r="H12" i="39"/>
  <c r="AB12" i="39"/>
  <c r="F39" i="40"/>
  <c r="S12" i="1"/>
  <c r="AQ12" i="1" s="1"/>
  <c r="R12" i="1"/>
  <c r="B12" i="1"/>
  <c r="E12" i="1" s="1"/>
  <c r="S10" i="1"/>
  <c r="R10" i="1"/>
  <c r="B10" i="1"/>
  <c r="E10" i="1"/>
  <c r="D1" i="66"/>
  <c r="E10" i="66"/>
  <c r="K12" i="1"/>
  <c r="M12" i="1"/>
  <c r="O12" i="1"/>
  <c r="P12" i="1"/>
  <c r="S13" i="1"/>
  <c r="AR13" i="1"/>
  <c r="R13" i="1"/>
  <c r="S11" i="1"/>
  <c r="AQ11" i="1" s="1"/>
  <c r="R11" i="1"/>
  <c r="S9" i="1"/>
  <c r="AR9" i="1"/>
  <c r="R9" i="1"/>
  <c r="C42" i="1"/>
  <c r="H100" i="43"/>
  <c r="C30" i="66"/>
  <c r="E26" i="66" s="1"/>
  <c r="AC34" i="33"/>
  <c r="B41" i="1"/>
  <c r="J100" i="43"/>
  <c r="AB37" i="40"/>
  <c r="S35" i="40"/>
  <c r="U35" i="40"/>
  <c r="AC36" i="40"/>
  <c r="AA32" i="40"/>
  <c r="S17" i="40"/>
  <c r="S23" i="40"/>
  <c r="AC17" i="40"/>
  <c r="AC15" i="40"/>
  <c r="S30" i="40"/>
  <c r="S28" i="40"/>
  <c r="U21" i="40"/>
  <c r="W42" i="39"/>
  <c r="U37" i="39"/>
  <c r="W39" i="39"/>
  <c r="S43" i="39"/>
  <c r="S37" i="39"/>
  <c r="U35" i="39"/>
  <c r="F32" i="39"/>
  <c r="S32" i="39" s="1"/>
  <c r="G107" i="39"/>
  <c r="H107" i="39" s="1"/>
  <c r="U25" i="39"/>
  <c r="AB27" i="39"/>
  <c r="U31" i="39"/>
  <c r="S25" i="39"/>
  <c r="J21" i="39"/>
  <c r="F21" i="39"/>
  <c r="S21" i="39" s="1"/>
  <c r="H21" i="39"/>
  <c r="U21" i="39" s="1"/>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AB26" i="35" s="1"/>
  <c r="AB40" i="37"/>
  <c r="S25" i="37"/>
  <c r="W27" i="37"/>
  <c r="S26" i="37"/>
  <c r="AC9" i="37"/>
  <c r="AC29" i="37"/>
  <c r="U29" i="37"/>
  <c r="S32" i="37"/>
  <c r="AB31" i="37"/>
  <c r="W30" i="37"/>
  <c r="S36" i="37"/>
  <c r="AA38" i="37"/>
  <c r="U32" i="37"/>
  <c r="W38" i="37"/>
  <c r="AC35" i="37"/>
  <c r="W39" i="37"/>
  <c r="S30" i="37"/>
  <c r="S37"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29" i="33"/>
  <c r="AB29"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J32" i="33"/>
  <c r="AC32" i="33" s="1"/>
  <c r="S46" i="33"/>
  <c r="W43" i="33"/>
  <c r="S43" i="33"/>
  <c r="J23" i="33"/>
  <c r="F85" i="33"/>
  <c r="G85" i="33" s="1"/>
  <c r="H23" i="33"/>
  <c r="F81" i="33"/>
  <c r="F19" i="33"/>
  <c r="S19" i="33"/>
  <c r="W19" i="33"/>
  <c r="J17" i="33"/>
  <c r="AC17" i="33" s="1"/>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F34" i="67"/>
  <c r="M20" i="67"/>
  <c r="F34" i="15"/>
  <c r="F62" i="15"/>
  <c r="E11" i="6"/>
  <c r="J56" i="9"/>
  <c r="J57" i="9"/>
  <c r="J59" i="9" s="1"/>
  <c r="A24" i="51"/>
  <c r="B18" i="72"/>
  <c r="U29" i="34"/>
  <c r="E14" i="6"/>
  <c r="E5" i="6"/>
  <c r="G102" i="43"/>
  <c r="P10" i="1"/>
  <c r="H22" i="43"/>
  <c r="L101" i="43"/>
  <c r="H101" i="43"/>
  <c r="M101" i="43"/>
  <c r="I101" i="43"/>
  <c r="E101" i="43"/>
  <c r="E32" i="6"/>
  <c r="L19" i="6"/>
  <c r="L27" i="6" s="1"/>
  <c r="G1" i="68"/>
  <c r="K1" i="12"/>
  <c r="N103" i="43"/>
  <c r="N106" i="43"/>
  <c r="J103" i="43"/>
  <c r="F107" i="43"/>
  <c r="F106" i="43"/>
  <c r="K102" i="43"/>
  <c r="G107" i="43"/>
  <c r="G104" i="43"/>
  <c r="G106" i="43"/>
  <c r="K105" i="43"/>
  <c r="H102" i="43"/>
  <c r="L102" i="43"/>
  <c r="E103" i="43"/>
  <c r="H103" i="43"/>
  <c r="L103" i="43"/>
  <c r="H104" i="43"/>
  <c r="I104" i="43"/>
  <c r="L104" i="43"/>
  <c r="E105" i="43"/>
  <c r="H105" i="43"/>
  <c r="L105" i="43"/>
  <c r="H106" i="43"/>
  <c r="I106" i="43"/>
  <c r="L106" i="43"/>
  <c r="H107" i="43"/>
  <c r="I107" i="43"/>
  <c r="L107" i="43"/>
  <c r="S2" i="43"/>
  <c r="AR12" i="1"/>
  <c r="T12" i="1"/>
  <c r="T10" i="1"/>
  <c r="E19" i="69"/>
  <c r="E19" i="68"/>
  <c r="E19" i="11"/>
  <c r="E1" i="73"/>
  <c r="K1" i="73" s="1"/>
  <c r="G41" i="69"/>
  <c r="G22" i="69"/>
  <c r="G41" i="68"/>
  <c r="G22" i="68"/>
  <c r="G27" i="12"/>
  <c r="G26" i="12"/>
  <c r="G41" i="11"/>
  <c r="G22" i="11"/>
  <c r="G25" i="12"/>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B25" i="72"/>
  <c r="G6" i="1"/>
  <c r="H85" i="43"/>
  <c r="H81" i="43"/>
  <c r="H84" i="43"/>
  <c r="H88" i="43"/>
  <c r="H53" i="43"/>
  <c r="H54" i="43"/>
  <c r="H70" i="43"/>
  <c r="M7" i="43"/>
  <c r="N6" i="43"/>
  <c r="M2" i="43"/>
  <c r="M10" i="43"/>
  <c r="N3" i="43"/>
  <c r="N11" i="43"/>
  <c r="M9" i="43"/>
  <c r="N12" i="43"/>
  <c r="N5" i="43"/>
  <c r="M5" i="43"/>
  <c r="M12" i="43"/>
  <c r="M4" i="43"/>
  <c r="B19" i="53"/>
  <c r="B37" i="72" s="1"/>
  <c r="C7" i="39"/>
  <c r="C68" i="39" s="1"/>
  <c r="C70" i="39" s="1"/>
  <c r="C7" i="35"/>
  <c r="C7" i="33"/>
  <c r="C7" i="21"/>
  <c r="C7" i="40"/>
  <c r="C63" i="40"/>
  <c r="D63" i="40" s="1"/>
  <c r="M47" i="9"/>
  <c r="T35" i="4"/>
  <c r="C46" i="36"/>
  <c r="D46" i="36"/>
  <c r="C59" i="34"/>
  <c r="D59" i="34" s="1"/>
  <c r="C52" i="37"/>
  <c r="A4" i="51"/>
  <c r="B6" i="72" s="1"/>
  <c r="C48" i="35"/>
  <c r="D48" i="35" s="1"/>
  <c r="E48" i="35" s="1"/>
  <c r="C58" i="21"/>
  <c r="D58" i="21" s="1"/>
  <c r="E58" i="21" s="1"/>
  <c r="C94" i="9"/>
  <c r="C4" i="12"/>
  <c r="C92" i="9"/>
  <c r="H62" i="43"/>
  <c r="H66" i="43"/>
  <c r="H61" i="43"/>
  <c r="H65" i="43"/>
  <c r="H60" i="43"/>
  <c r="H64" i="43"/>
  <c r="H59" i="43"/>
  <c r="H63" i="43"/>
  <c r="H67" i="43"/>
  <c r="H55" i="43"/>
  <c r="H51" i="43"/>
  <c r="H56" i="43"/>
  <c r="H72" i="43"/>
  <c r="L20" i="6"/>
  <c r="E56" i="39"/>
  <c r="B6" i="1"/>
  <c r="E6" i="1" s="1"/>
  <c r="S8" i="1"/>
  <c r="K11" i="1"/>
  <c r="M11" i="1"/>
  <c r="O11" i="1"/>
  <c r="P11" i="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I54" i="15"/>
  <c r="AQ13" i="1"/>
  <c r="M6" i="1"/>
  <c r="O6" i="1"/>
  <c r="P6" i="1"/>
  <c r="F52" i="9"/>
  <c r="M18" i="67"/>
  <c r="F28" i="15"/>
  <c r="T11" i="1"/>
  <c r="AQ9" i="1"/>
  <c r="AR11" i="1"/>
  <c r="C28" i="15"/>
  <c r="T9" i="1"/>
  <c r="T13" i="1"/>
  <c r="C77" i="9"/>
  <c r="D9" i="68"/>
  <c r="C9" i="68" s="1"/>
  <c r="S7" i="1"/>
  <c r="E7" i="70"/>
  <c r="AA39" i="40"/>
  <c r="S39" i="40"/>
  <c r="S12" i="33"/>
  <c r="D68" i="9"/>
  <c r="J32" i="39"/>
  <c r="W32" i="39" s="1"/>
  <c r="I107" i="39"/>
  <c r="J107" i="39" s="1"/>
  <c r="K107" i="39"/>
  <c r="L107" i="39" s="1"/>
  <c r="M107" i="39" s="1"/>
  <c r="H32" i="39"/>
  <c r="AA32" i="39"/>
  <c r="AB21" i="39"/>
  <c r="AA21" i="39"/>
  <c r="AC21" i="39"/>
  <c r="W21" i="39"/>
  <c r="AB9" i="35"/>
  <c r="AA9" i="35"/>
  <c r="S9"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c r="K111" i="33" s="1"/>
  <c r="L111" i="33" s="1"/>
  <c r="M111" i="33" s="1"/>
  <c r="W32" i="33"/>
  <c r="AB23" i="33"/>
  <c r="U23" i="33"/>
  <c r="F23" i="33"/>
  <c r="S23" i="33" s="1"/>
  <c r="AC23" i="33"/>
  <c r="W23" i="33"/>
  <c r="AA19" i="33"/>
  <c r="H19" i="33"/>
  <c r="G81" i="33"/>
  <c r="H17" i="33"/>
  <c r="AB17" i="33" s="1"/>
  <c r="F17" i="33"/>
  <c r="W17" i="33"/>
  <c r="U10" i="33"/>
  <c r="AB10" i="33"/>
  <c r="AC10" i="33"/>
  <c r="AC37" i="21"/>
  <c r="U33" i="21"/>
  <c r="S37" i="21"/>
  <c r="AB15" i="21"/>
  <c r="J23" i="21"/>
  <c r="F85" i="21"/>
  <c r="G85" i="21" s="1"/>
  <c r="H23" i="21"/>
  <c r="AB23" i="21" s="1"/>
  <c r="D6" i="52"/>
  <c r="D121" i="9"/>
  <c r="D7" i="52"/>
  <c r="K120" i="9"/>
  <c r="S6" i="43"/>
  <c r="S4" i="43"/>
  <c r="S3" i="43"/>
  <c r="S7" i="43"/>
  <c r="O14" i="1"/>
  <c r="O16" i="1" s="1"/>
  <c r="P14" i="1"/>
  <c r="J61" i="9"/>
  <c r="H109" i="43"/>
  <c r="AQ7" i="1"/>
  <c r="O19" i="43"/>
  <c r="F58" i="21"/>
  <c r="G58" i="21" s="1"/>
  <c r="F48" i="35"/>
  <c r="G48" i="35" s="1"/>
  <c r="H48" i="35"/>
  <c r="I48" i="35" s="1"/>
  <c r="J48" i="35" s="1"/>
  <c r="E59" i="34"/>
  <c r="F59" i="34" s="1"/>
  <c r="G16" i="1"/>
  <c r="H10" i="40" s="1"/>
  <c r="U10" i="40"/>
  <c r="AP7" i="1"/>
  <c r="M7" i="1"/>
  <c r="O7" i="1"/>
  <c r="Q16" i="1"/>
  <c r="F27" i="69" s="1"/>
  <c r="C29" i="69" s="1"/>
  <c r="D27" i="69" s="1"/>
  <c r="H16" i="1"/>
  <c r="AB45" i="21"/>
  <c r="S33" i="21"/>
  <c r="AA33" i="21"/>
  <c r="AC32" i="21"/>
  <c r="U9" i="21"/>
  <c r="AA32" i="21"/>
  <c r="S32" i="21"/>
  <c r="W9" i="21"/>
  <c r="AC9" i="21"/>
  <c r="AB32" i="21"/>
  <c r="U32" i="21"/>
  <c r="S10" i="21"/>
  <c r="C36" i="69"/>
  <c r="F31" i="15"/>
  <c r="M17" i="15"/>
  <c r="F59" i="67"/>
  <c r="F59" i="15"/>
  <c r="F31" i="67"/>
  <c r="M17" i="67"/>
  <c r="T7" i="1"/>
  <c r="AR7" i="1"/>
  <c r="A18" i="62"/>
  <c r="B64" i="72"/>
  <c r="D3" i="33"/>
  <c r="U32" i="39"/>
  <c r="AB32" i="39"/>
  <c r="W19" i="37"/>
  <c r="AC19" i="37"/>
  <c r="W23" i="37"/>
  <c r="AB11" i="37"/>
  <c r="U11" i="37"/>
  <c r="H63" i="37"/>
  <c r="I63" i="37" s="1"/>
  <c r="J63" i="37"/>
  <c r="K63" i="37" s="1"/>
  <c r="L63" i="37" s="1"/>
  <c r="M63" i="37" s="1"/>
  <c r="J11" i="37"/>
  <c r="AC11" i="37" s="1"/>
  <c r="AC10" i="37"/>
  <c r="U11" i="34"/>
  <c r="AB11" i="34"/>
  <c r="W10" i="34"/>
  <c r="J11" i="34"/>
  <c r="AB19" i="33"/>
  <c r="U19" i="33"/>
  <c r="AA17" i="33"/>
  <c r="S17" i="33"/>
  <c r="U17" i="33"/>
  <c r="AC23" i="21"/>
  <c r="W23" i="21"/>
  <c r="C47" i="69"/>
  <c r="D45" i="69" s="1"/>
  <c r="F27" i="68"/>
  <c r="C29" i="68" s="1"/>
  <c r="D27" i="68" s="1"/>
  <c r="P7" i="1"/>
  <c r="P16" i="1" s="1"/>
  <c r="C11" i="12" s="1"/>
  <c r="AB10" i="40"/>
  <c r="F10" i="39"/>
  <c r="S10" i="39" s="1"/>
  <c r="G59" i="34"/>
  <c r="H59" i="34" s="1"/>
  <c r="E63" i="40"/>
  <c r="E65" i="40" s="1"/>
  <c r="D65" i="40"/>
  <c r="J10" i="40"/>
  <c r="W10" i="40"/>
  <c r="C5" i="68"/>
  <c r="F10" i="40"/>
  <c r="AA10" i="40" s="1"/>
  <c r="H10" i="39"/>
  <c r="J10" i="39"/>
  <c r="W10" i="39" s="1"/>
  <c r="W11" i="37"/>
  <c r="W11" i="34"/>
  <c r="AC11" i="34"/>
  <c r="R7" i="1"/>
  <c r="C13" i="12"/>
  <c r="F34" i="11"/>
  <c r="F11" i="12"/>
  <c r="C23" i="12" s="1"/>
  <c r="F34" i="68"/>
  <c r="C36" i="68" s="1"/>
  <c r="AC10" i="40"/>
  <c r="F63" i="40"/>
  <c r="G63" i="40" s="1"/>
  <c r="S10" i="40"/>
  <c r="AC10" i="39"/>
  <c r="U10" i="39"/>
  <c r="AB10" i="39"/>
  <c r="C36" i="11"/>
  <c r="R8" i="1"/>
  <c r="F65" i="40"/>
  <c r="AE7" i="1"/>
  <c r="AE8" i="1"/>
  <c r="AG6" i="1"/>
  <c r="L46" i="15"/>
  <c r="H109" i="9"/>
  <c r="H110" i="9"/>
  <c r="D18" i="53" s="1"/>
  <c r="B35" i="72" s="1"/>
  <c r="D124" i="9"/>
  <c r="D16" i="53"/>
  <c r="B34" i="72" s="1"/>
  <c r="D10" i="52"/>
  <c r="H14" i="74"/>
  <c r="D125" i="9"/>
  <c r="D11" i="52"/>
  <c r="B7" i="74"/>
  <c r="H112" i="9"/>
  <c r="D21" i="53" s="1"/>
  <c r="B39" i="72" s="1"/>
  <c r="H111" i="9"/>
  <c r="D126" i="9"/>
  <c r="I14" i="74" s="1"/>
  <c r="B8" i="74" s="1"/>
  <c r="D19" i="53"/>
  <c r="D59" i="9"/>
  <c r="M55" i="9" s="1"/>
  <c r="B38" i="72"/>
  <c r="D20" i="53"/>
  <c r="B40" i="72"/>
  <c r="AD3" i="71"/>
  <c r="P21" i="43"/>
  <c r="P22" i="43"/>
  <c r="P23" i="43"/>
  <c r="B71" i="39" s="1"/>
  <c r="P24" i="43"/>
  <c r="B66" i="40" s="1"/>
  <c r="P25" i="43"/>
  <c r="C23" i="43"/>
  <c r="C21" i="43"/>
  <c r="E12" i="76"/>
  <c r="E11" i="76"/>
  <c r="B13" i="76"/>
  <c r="AO12" i="1"/>
  <c r="F4" i="73"/>
  <c r="F3" i="73"/>
  <c r="C76" i="67"/>
  <c r="M29" i="67"/>
  <c r="AO7" i="1"/>
  <c r="E2" i="68"/>
  <c r="D2" i="33"/>
  <c r="E2" i="69"/>
  <c r="E10" i="76"/>
  <c r="E13" i="76"/>
  <c r="B11" i="76"/>
  <c r="AO13" i="1"/>
  <c r="B9" i="76"/>
  <c r="F6" i="73"/>
  <c r="AO10" i="1"/>
  <c r="L47" i="67"/>
  <c r="M22" i="67"/>
  <c r="D2" i="37"/>
  <c r="D35" i="9"/>
  <c r="D2" i="35"/>
  <c r="E8" i="76"/>
  <c r="E9" i="76"/>
  <c r="B8" i="76"/>
  <c r="AO9" i="1"/>
  <c r="B10" i="76"/>
  <c r="F5" i="73"/>
  <c r="AO11" i="1"/>
  <c r="M26" i="67"/>
  <c r="M28" i="67"/>
  <c r="D2" i="21"/>
  <c r="AO8" i="1"/>
  <c r="D34" i="9"/>
  <c r="J15" i="67"/>
  <c r="F8" i="67"/>
  <c r="E7" i="76"/>
  <c r="B7" i="76"/>
  <c r="B12" i="76"/>
  <c r="D5" i="73"/>
  <c r="D4" i="73"/>
  <c r="M24" i="67"/>
  <c r="M23" i="67"/>
  <c r="M27" i="67"/>
  <c r="D2" i="34"/>
  <c r="D2" i="36"/>
  <c r="F20" i="31"/>
  <c r="J15" i="33" l="1"/>
  <c r="F77" i="33"/>
  <c r="G77" i="33" s="1"/>
  <c r="E21" i="49"/>
  <c r="E4" i="49"/>
  <c r="E22" i="49"/>
  <c r="B6" i="49"/>
  <c r="B9" i="49"/>
  <c r="C4" i="4" s="1"/>
  <c r="B4" i="62" s="1"/>
  <c r="B71" i="72" s="1"/>
  <c r="B7" i="49"/>
  <c r="E9" i="49"/>
  <c r="B11" i="49"/>
  <c r="B5" i="49"/>
  <c r="B14" i="49"/>
  <c r="B22" i="49"/>
  <c r="E11" i="49"/>
  <c r="B8" i="49"/>
  <c r="B4" i="49"/>
  <c r="E5" i="49"/>
  <c r="E10" i="49"/>
  <c r="E8" i="49"/>
  <c r="E16" i="49"/>
  <c r="B13" i="49"/>
  <c r="E4" i="4" s="1"/>
  <c r="B5" i="62" s="1"/>
  <c r="B73" i="72" s="1"/>
  <c r="E6" i="49"/>
  <c r="E7" i="49"/>
  <c r="B16" i="49"/>
  <c r="B10" i="49"/>
  <c r="B8" i="70"/>
  <c r="B7" i="70"/>
  <c r="N59" i="67"/>
  <c r="M59" i="67"/>
  <c r="L59" i="67"/>
  <c r="Q71" i="67"/>
  <c r="B10" i="70"/>
  <c r="B11" i="70"/>
  <c r="E20" i="43"/>
  <c r="I1" i="73"/>
  <c r="B39" i="1" s="1"/>
  <c r="B12" i="70"/>
  <c r="B13" i="70"/>
  <c r="B9" i="70"/>
  <c r="F51" i="67"/>
  <c r="H63" i="40"/>
  <c r="G65" i="40"/>
  <c r="C12" i="12"/>
  <c r="C15" i="12"/>
  <c r="H7" i="34"/>
  <c r="I59" i="34"/>
  <c r="J59" i="34" s="1"/>
  <c r="K59" i="34" s="1"/>
  <c r="L59" i="34" s="1"/>
  <c r="M59" i="34" s="1"/>
  <c r="N59" i="34" s="1"/>
  <c r="O59" i="34" s="1"/>
  <c r="J7" i="34"/>
  <c r="K48" i="35"/>
  <c r="L48" i="35" s="1"/>
  <c r="M48" i="35" s="1"/>
  <c r="N48" i="35" s="1"/>
  <c r="O48" i="35" s="1"/>
  <c r="J7" i="35"/>
  <c r="H58" i="21"/>
  <c r="I58" i="21" s="1"/>
  <c r="J58" i="21" s="1"/>
  <c r="K58" i="21" s="1"/>
  <c r="L58" i="21" s="1"/>
  <c r="M58" i="21" s="1"/>
  <c r="N58" i="21" s="1"/>
  <c r="O58" i="21" s="1"/>
  <c r="F7" i="21"/>
  <c r="AA13" i="21"/>
  <c r="S13" i="21"/>
  <c r="AR8" i="1"/>
  <c r="T8" i="1"/>
  <c r="E102" i="43"/>
  <c r="E109" i="43"/>
  <c r="M109" i="43"/>
  <c r="M102" i="43"/>
  <c r="M103" i="43"/>
  <c r="M105" i="43"/>
  <c r="M106" i="43"/>
  <c r="D9" i="11"/>
  <c r="C9" i="11" s="1"/>
  <c r="D9" i="69"/>
  <c r="D19" i="12"/>
  <c r="C19" i="12" s="1"/>
  <c r="F62" i="67"/>
  <c r="S23" i="21"/>
  <c r="AA23" i="21"/>
  <c r="W15" i="21"/>
  <c r="AC15" i="21"/>
  <c r="F30" i="6"/>
  <c r="E28" i="6"/>
  <c r="G105" i="43"/>
  <c r="G103" i="43"/>
  <c r="F104" i="43"/>
  <c r="F102" i="43"/>
  <c r="F103" i="43"/>
  <c r="F105" i="43"/>
  <c r="F109" i="43"/>
  <c r="E58" i="40"/>
  <c r="E63" i="39"/>
  <c r="G30" i="6"/>
  <c r="G31" i="6" s="1"/>
  <c r="E51" i="40"/>
  <c r="F27" i="6"/>
  <c r="F31" i="6" s="1"/>
  <c r="E29" i="6"/>
  <c r="K15" i="1" s="1"/>
  <c r="H32" i="33"/>
  <c r="F32" i="33"/>
  <c r="F101" i="33"/>
  <c r="G101" i="33" s="1"/>
  <c r="H101" i="33" s="1"/>
  <c r="I101" i="33" s="1"/>
  <c r="J101" i="33" s="1"/>
  <c r="K101" i="33" s="1"/>
  <c r="L101" i="33" s="1"/>
  <c r="M101" i="33" s="1"/>
  <c r="AC9" i="34"/>
  <c r="W9" i="34"/>
  <c r="AC24" i="35"/>
  <c r="W24" i="35"/>
  <c r="AC34" i="35"/>
  <c r="W34" i="35"/>
  <c r="AC37" i="39"/>
  <c r="W37" i="39"/>
  <c r="W32" i="40"/>
  <c r="AC32" i="40"/>
  <c r="F26" i="35"/>
  <c r="J26" i="35"/>
  <c r="D12" i="52"/>
  <c r="D127" i="9"/>
  <c r="D13" i="52" s="1"/>
  <c r="D17" i="53"/>
  <c r="B36" i="72" s="1"/>
  <c r="H7" i="21"/>
  <c r="F7" i="34"/>
  <c r="J7" i="21"/>
  <c r="AA10" i="39"/>
  <c r="C47" i="68"/>
  <c r="D45" i="68" s="1"/>
  <c r="F27" i="11"/>
  <c r="F7" i="35"/>
  <c r="H7" i="35"/>
  <c r="F28" i="12"/>
  <c r="U23" i="21"/>
  <c r="AA23" i="33"/>
  <c r="AC32" i="39"/>
  <c r="W33" i="21"/>
  <c r="C65" i="40"/>
  <c r="AQ8" i="1"/>
  <c r="D68" i="39"/>
  <c r="D52" i="37"/>
  <c r="E46" i="36"/>
  <c r="G7" i="33"/>
  <c r="H7" i="33" s="1"/>
  <c r="E7" i="33"/>
  <c r="I7" i="33"/>
  <c r="J7" i="33" s="1"/>
  <c r="C58" i="33"/>
  <c r="D58" i="33" s="1"/>
  <c r="E58" i="33" s="1"/>
  <c r="F58" i="33" s="1"/>
  <c r="G58" i="33" s="1"/>
  <c r="H58" i="33" s="1"/>
  <c r="I58" i="33" s="1"/>
  <c r="J58" i="33" s="1"/>
  <c r="K58" i="33" s="1"/>
  <c r="L58" i="33" s="1"/>
  <c r="M58" i="33" s="1"/>
  <c r="N58" i="33" s="1"/>
  <c r="O58" i="33" s="1"/>
  <c r="M107" i="43"/>
  <c r="E107" i="43"/>
  <c r="E106" i="43"/>
  <c r="M104" i="43"/>
  <c r="E104" i="43"/>
  <c r="I109" i="43"/>
  <c r="I102" i="43"/>
  <c r="I103" i="43"/>
  <c r="I105" i="43"/>
  <c r="E64" i="39"/>
  <c r="E59" i="40"/>
  <c r="E61" i="39"/>
  <c r="E56" i="40"/>
  <c r="W17" i="37"/>
  <c r="AC17" i="37"/>
  <c r="F53" i="9"/>
  <c r="F30" i="68"/>
  <c r="F30" i="11"/>
  <c r="F28" i="67"/>
  <c r="C28" i="67" s="1"/>
  <c r="F31" i="12"/>
  <c r="C31" i="12" s="1"/>
  <c r="F32" i="67"/>
  <c r="F60" i="67" s="1"/>
  <c r="F30" i="69"/>
  <c r="F32" i="15"/>
  <c r="F60" i="15" s="1"/>
  <c r="M18" i="15"/>
  <c r="F54" i="9"/>
  <c r="C74" i="9"/>
  <c r="C24" i="12"/>
  <c r="AQ10" i="1"/>
  <c r="AR10" i="1"/>
  <c r="J104" i="43"/>
  <c r="J105" i="43"/>
  <c r="J107" i="43"/>
  <c r="J102" i="43"/>
  <c r="J106" i="43"/>
  <c r="J109" i="43"/>
  <c r="N102" i="43"/>
  <c r="N105" i="43"/>
  <c r="N104" i="43"/>
  <c r="N107" i="43"/>
  <c r="N109" i="43"/>
  <c r="K103" i="43"/>
  <c r="K107" i="43"/>
  <c r="K104" i="43"/>
  <c r="K106" i="43"/>
  <c r="E57" i="40"/>
  <c r="E62" i="39"/>
  <c r="U33" i="34"/>
  <c r="AB33" i="34"/>
  <c r="U27" i="36"/>
  <c r="AB27" i="36"/>
  <c r="W45" i="21"/>
  <c r="AC45" i="21"/>
  <c r="S12" i="34"/>
  <c r="AA12" i="34"/>
  <c r="U25" i="37"/>
  <c r="AB25" i="37"/>
  <c r="AC12" i="40"/>
  <c r="W12" i="40"/>
  <c r="S38" i="40"/>
  <c r="AA38" i="40"/>
  <c r="A19" i="51"/>
  <c r="B14" i="72" s="1"/>
  <c r="S11" i="36"/>
  <c r="AB11" i="36"/>
  <c r="AA14" i="33"/>
  <c r="AA44" i="33"/>
  <c r="F38" i="33"/>
  <c r="H38" i="33"/>
  <c r="J38" i="33"/>
  <c r="H27" i="33"/>
  <c r="F27" i="33"/>
  <c r="J27" i="33"/>
  <c r="H9" i="34"/>
  <c r="F34" i="35"/>
  <c r="H34" i="35"/>
  <c r="J36" i="35"/>
  <c r="F3" i="35"/>
  <c r="K108" i="43"/>
  <c r="K109" i="43" s="1"/>
  <c r="K100" i="43"/>
  <c r="G108" i="43"/>
  <c r="G109" i="43" s="1"/>
  <c r="G100" i="43"/>
  <c r="P48" i="71"/>
  <c r="P49" i="71"/>
  <c r="D38" i="71"/>
  <c r="C39" i="71"/>
  <c r="C46" i="71"/>
  <c r="D45" i="71"/>
  <c r="G5" i="3"/>
  <c r="B3" i="3" s="1"/>
  <c r="AB34" i="33"/>
  <c r="AA40" i="34"/>
  <c r="AB20" i="35"/>
  <c r="AC20" i="36"/>
  <c r="H77" i="43"/>
  <c r="H76" i="43"/>
  <c r="H71" i="43"/>
  <c r="H78" i="43"/>
  <c r="B24" i="72"/>
  <c r="E10" i="6"/>
  <c r="E16" i="6" s="1"/>
  <c r="AA35" i="33"/>
  <c r="AC39" i="34"/>
  <c r="U44" i="34"/>
  <c r="AC15" i="37"/>
  <c r="S15" i="39"/>
  <c r="AB19" i="40"/>
  <c r="AA27" i="40"/>
  <c r="AA19" i="40"/>
  <c r="AB27" i="40"/>
  <c r="AA34" i="33"/>
  <c r="AA39" i="34"/>
  <c r="E15" i="6"/>
  <c r="H75" i="43"/>
  <c r="S15" i="37"/>
  <c r="AC11" i="39"/>
  <c r="AA25" i="21"/>
  <c r="U43" i="33"/>
  <c r="H38" i="40"/>
  <c r="J38" i="40"/>
  <c r="H39" i="40"/>
  <c r="I100" i="43"/>
  <c r="L108" i="43"/>
  <c r="L109" i="43" s="1"/>
  <c r="L100" i="43"/>
  <c r="D34" i="71"/>
  <c r="C35" i="71"/>
  <c r="D42" i="71"/>
  <c r="C43" i="71"/>
  <c r="Q49" i="71"/>
  <c r="Q48" i="71"/>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0" i="3"/>
  <c r="AZ460" i="3"/>
  <c r="BA459" i="3"/>
  <c r="AZ459" i="3" s="1"/>
  <c r="BL452" i="3"/>
  <c r="AZ452" i="3" s="1"/>
  <c r="BA451" i="3"/>
  <c r="AZ451" i="3" s="1"/>
  <c r="BL444" i="3"/>
  <c r="AZ444" i="3"/>
  <c r="BA443" i="3"/>
  <c r="AZ443" i="3" s="1"/>
  <c r="BL436" i="3"/>
  <c r="AZ436" i="3" s="1"/>
  <c r="BA435" i="3"/>
  <c r="AZ435" i="3" s="1"/>
  <c r="BL428" i="3"/>
  <c r="AZ428" i="3"/>
  <c r="BA427" i="3"/>
  <c r="AZ427" i="3" s="1"/>
  <c r="BL420" i="3"/>
  <c r="AZ420" i="3" s="1"/>
  <c r="BA419" i="3"/>
  <c r="AZ419" i="3" s="1"/>
  <c r="BL412" i="3"/>
  <c r="AZ412" i="3"/>
  <c r="BA411" i="3"/>
  <c r="AZ411" i="3" s="1"/>
  <c r="BL404" i="3"/>
  <c r="AZ404" i="3" s="1"/>
  <c r="BA403" i="3"/>
  <c r="AZ403" i="3" s="1"/>
  <c r="BL396" i="3"/>
  <c r="AZ396" i="3"/>
  <c r="BA395" i="3"/>
  <c r="AZ395" i="3" s="1"/>
  <c r="BL388" i="3"/>
  <c r="AZ388" i="3" s="1"/>
  <c r="BA387" i="3"/>
  <c r="AZ387" i="3" s="1"/>
  <c r="BL380" i="3"/>
  <c r="AZ380" i="3"/>
  <c r="BA379" i="3"/>
  <c r="AZ379" i="3" s="1"/>
  <c r="BL372" i="3"/>
  <c r="AZ372" i="3" s="1"/>
  <c r="BA371" i="3"/>
  <c r="AZ371" i="3" s="1"/>
  <c r="BL364" i="3"/>
  <c r="AZ364" i="3"/>
  <c r="BA363" i="3"/>
  <c r="AZ363" i="3" s="1"/>
  <c r="BL348" i="3"/>
  <c r="AZ348" i="3" s="1"/>
  <c r="BA347" i="3"/>
  <c r="AZ347" i="3" s="1"/>
  <c r="G1" i="15"/>
  <c r="S18" i="35"/>
  <c r="S29" i="39"/>
  <c r="C29" i="39"/>
  <c r="B66" i="43"/>
  <c r="O48" i="71"/>
  <c r="C66" i="71"/>
  <c r="C62" i="71"/>
  <c r="C54" i="71"/>
  <c r="Q50" i="71"/>
  <c r="B50" i="71"/>
  <c r="AH10" i="43"/>
  <c r="AD10" i="43"/>
  <c r="Z10" i="43"/>
  <c r="AG10" i="43"/>
  <c r="AC10" i="43"/>
  <c r="P74" i="67"/>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56" i="3"/>
  <c r="AZ356" i="3" s="1"/>
  <c r="BA355" i="3"/>
  <c r="AZ355"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0" i="3"/>
  <c r="AZ360" i="3" s="1"/>
  <c r="BA359" i="3"/>
  <c r="AZ359" i="3" s="1"/>
  <c r="BL352" i="3"/>
  <c r="AZ352" i="3"/>
  <c r="BA351" i="3"/>
  <c r="AZ351" i="3" s="1"/>
  <c r="BL344" i="3"/>
  <c r="AZ344" i="3" s="1"/>
  <c r="AZ342" i="3"/>
  <c r="AZ334" i="3"/>
  <c r="AZ326" i="3"/>
  <c r="AZ318" i="3"/>
  <c r="AZ310" i="3"/>
  <c r="AZ302" i="3"/>
  <c r="AZ294" i="3"/>
  <c r="AZ286" i="3"/>
  <c r="AZ278" i="3"/>
  <c r="AZ270" i="3"/>
  <c r="AZ262" i="3"/>
  <c r="AZ254" i="3"/>
  <c r="AZ246" i="3"/>
  <c r="AZ238" i="3"/>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L180" i="3"/>
  <c r="AZ180" i="3" s="1"/>
  <c r="BA179" i="3"/>
  <c r="AZ179" i="3" s="1"/>
  <c r="BL172" i="3"/>
  <c r="AZ172" i="3"/>
  <c r="BA171" i="3"/>
  <c r="AZ171" i="3" s="1"/>
  <c r="BL164" i="3"/>
  <c r="AZ164" i="3" s="1"/>
  <c r="BA163" i="3"/>
  <c r="AZ163" i="3" s="1"/>
  <c r="BL156" i="3"/>
  <c r="AZ156" i="3"/>
  <c r="BA155" i="3"/>
  <c r="AZ155" i="3" s="1"/>
  <c r="BL148" i="3"/>
  <c r="AZ148" i="3" s="1"/>
  <c r="BA147" i="3"/>
  <c r="AZ147" i="3" s="1"/>
  <c r="BL140" i="3"/>
  <c r="AZ140" i="3"/>
  <c r="BA139" i="3"/>
  <c r="AZ139" i="3" s="1"/>
  <c r="BL132" i="3"/>
  <c r="AZ132" i="3" s="1"/>
  <c r="BA131" i="3"/>
  <c r="AZ131"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BA341" i="3"/>
  <c r="AZ341" i="3" s="1"/>
  <c r="BL338" i="3"/>
  <c r="AZ338" i="3" s="1"/>
  <c r="BA337" i="3"/>
  <c r="AZ337" i="3" s="1"/>
  <c r="BL334" i="3"/>
  <c r="BA333" i="3"/>
  <c r="AZ333" i="3" s="1"/>
  <c r="BL330" i="3"/>
  <c r="AZ330" i="3" s="1"/>
  <c r="BA329" i="3"/>
  <c r="AZ329" i="3" s="1"/>
  <c r="BL326" i="3"/>
  <c r="BA325" i="3"/>
  <c r="AZ325" i="3" s="1"/>
  <c r="BL322" i="3"/>
  <c r="AZ322" i="3" s="1"/>
  <c r="BA321" i="3"/>
  <c r="AZ321" i="3" s="1"/>
  <c r="BL318" i="3"/>
  <c r="BA317" i="3"/>
  <c r="AZ317" i="3" s="1"/>
  <c r="BL314" i="3"/>
  <c r="AZ314" i="3" s="1"/>
  <c r="BA313" i="3"/>
  <c r="AZ313" i="3" s="1"/>
  <c r="BL310" i="3"/>
  <c r="BA309" i="3"/>
  <c r="AZ309" i="3" s="1"/>
  <c r="BL306" i="3"/>
  <c r="AZ306" i="3" s="1"/>
  <c r="BA305" i="3"/>
  <c r="AZ305" i="3" s="1"/>
  <c r="BL302" i="3"/>
  <c r="BA301" i="3"/>
  <c r="AZ301" i="3" s="1"/>
  <c r="BL298" i="3"/>
  <c r="AZ298" i="3" s="1"/>
  <c r="BA297" i="3"/>
  <c r="AZ297" i="3" s="1"/>
  <c r="BL294" i="3"/>
  <c r="BA293" i="3"/>
  <c r="AZ293" i="3" s="1"/>
  <c r="BL290" i="3"/>
  <c r="AZ290" i="3" s="1"/>
  <c r="BA289" i="3"/>
  <c r="AZ289" i="3" s="1"/>
  <c r="BL286" i="3"/>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BA261" i="3"/>
  <c r="AZ261" i="3" s="1"/>
  <c r="BL258" i="3"/>
  <c r="AZ258" i="3" s="1"/>
  <c r="BA257" i="3"/>
  <c r="AZ257" i="3" s="1"/>
  <c r="BL254" i="3"/>
  <c r="BA253" i="3"/>
  <c r="AZ253" i="3" s="1"/>
  <c r="BL250" i="3"/>
  <c r="AZ250" i="3" s="1"/>
  <c r="BA249" i="3"/>
  <c r="AZ249" i="3" s="1"/>
  <c r="BL246" i="3"/>
  <c r="BA245" i="3"/>
  <c r="AZ245" i="3" s="1"/>
  <c r="BL242" i="3"/>
  <c r="AZ242" i="3" s="1"/>
  <c r="BA241" i="3"/>
  <c r="AZ241" i="3" s="1"/>
  <c r="BL238" i="3"/>
  <c r="BA237" i="3"/>
  <c r="AZ237" i="3" s="1"/>
  <c r="BL232" i="3"/>
  <c r="AZ232" i="3"/>
  <c r="BA231" i="3"/>
  <c r="AZ231" i="3" s="1"/>
  <c r="BL224" i="3"/>
  <c r="AZ224" i="3" s="1"/>
  <c r="BA223" i="3"/>
  <c r="AZ223" i="3" s="1"/>
  <c r="BL216" i="3"/>
  <c r="AZ216" i="3"/>
  <c r="BA215" i="3"/>
  <c r="AZ215" i="3" s="1"/>
  <c r="BL208" i="3"/>
  <c r="AZ208" i="3" s="1"/>
  <c r="BA207" i="3"/>
  <c r="AZ207" i="3" s="1"/>
  <c r="BL200" i="3"/>
  <c r="AZ200" i="3"/>
  <c r="BA199" i="3"/>
  <c r="AZ199" i="3" s="1"/>
  <c r="BL192" i="3"/>
  <c r="AZ192" i="3" s="1"/>
  <c r="BA191" i="3"/>
  <c r="AZ191" i="3" s="1"/>
  <c r="BL184" i="3"/>
  <c r="AZ184" i="3"/>
  <c r="BA183" i="3"/>
  <c r="AZ183" i="3" s="1"/>
  <c r="BL176" i="3"/>
  <c r="AZ176" i="3" s="1"/>
  <c r="BA175" i="3"/>
  <c r="AZ175" i="3" s="1"/>
  <c r="BL168" i="3"/>
  <c r="AZ168" i="3"/>
  <c r="BA167" i="3"/>
  <c r="AZ167" i="3" s="1"/>
  <c r="BL160" i="3"/>
  <c r="AZ160" i="3" s="1"/>
  <c r="BA159" i="3"/>
  <c r="AZ159" i="3" s="1"/>
  <c r="BL152" i="3"/>
  <c r="AZ152" i="3"/>
  <c r="BA151" i="3"/>
  <c r="AZ151" i="3" s="1"/>
  <c r="BL144" i="3"/>
  <c r="AZ144" i="3" s="1"/>
  <c r="BA143" i="3"/>
  <c r="AZ143" i="3" s="1"/>
  <c r="BL136" i="3"/>
  <c r="AZ136" i="3"/>
  <c r="BA135" i="3"/>
  <c r="AZ135" i="3" s="1"/>
  <c r="BL128" i="3"/>
  <c r="AZ128" i="3" s="1"/>
  <c r="AZ124" i="3"/>
  <c r="AZ116" i="3"/>
  <c r="AZ108" i="3"/>
  <c r="AZ100" i="3"/>
  <c r="AZ92" i="3"/>
  <c r="AZ84" i="3"/>
  <c r="AZ76" i="3"/>
  <c r="AZ68" i="3"/>
  <c r="AZ60" i="3"/>
  <c r="AZ52" i="3"/>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39" i="3"/>
  <c r="AZ39" i="3" s="1"/>
  <c r="BA38" i="3"/>
  <c r="AZ38" i="3" s="1"/>
  <c r="BL31" i="3"/>
  <c r="AZ31" i="3"/>
  <c r="BA30" i="3"/>
  <c r="AZ30" i="3" s="1"/>
  <c r="BL23" i="3"/>
  <c r="AZ23" i="3" s="1"/>
  <c r="BA22" i="3"/>
  <c r="AZ22" i="3" s="1"/>
  <c r="BL15" i="3"/>
  <c r="AZ15" i="3"/>
  <c r="BA14" i="3"/>
  <c r="BA127" i="3"/>
  <c r="AZ127" i="3" s="1"/>
  <c r="BL124" i="3"/>
  <c r="BA123" i="3"/>
  <c r="AZ123" i="3" s="1"/>
  <c r="BL120" i="3"/>
  <c r="AZ120"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BA79" i="3"/>
  <c r="AZ79" i="3" s="1"/>
  <c r="BL76" i="3"/>
  <c r="BA75" i="3"/>
  <c r="AZ75" i="3" s="1"/>
  <c r="BL72" i="3"/>
  <c r="AZ72" i="3" s="1"/>
  <c r="BA71" i="3"/>
  <c r="AZ71" i="3" s="1"/>
  <c r="BL68" i="3"/>
  <c r="BA67" i="3"/>
  <c r="AZ67" i="3" s="1"/>
  <c r="BL64" i="3"/>
  <c r="AZ64" i="3" s="1"/>
  <c r="BA63" i="3"/>
  <c r="AZ63" i="3" s="1"/>
  <c r="BL60" i="3"/>
  <c r="BA59" i="3"/>
  <c r="AZ59" i="3" s="1"/>
  <c r="BL56" i="3"/>
  <c r="AZ56" i="3" s="1"/>
  <c r="BA55" i="3"/>
  <c r="AZ55" i="3" s="1"/>
  <c r="BL52" i="3"/>
  <c r="BA51" i="3"/>
  <c r="AZ51" i="3" s="1"/>
  <c r="BL48" i="3"/>
  <c r="AZ48" i="3" s="1"/>
  <c r="BA47" i="3"/>
  <c r="AZ47" i="3" s="1"/>
  <c r="BL43" i="3"/>
  <c r="AZ43" i="3"/>
  <c r="BA42" i="3"/>
  <c r="AZ42" i="3" s="1"/>
  <c r="BL35" i="3"/>
  <c r="AZ35" i="3" s="1"/>
  <c r="BA34" i="3"/>
  <c r="AZ34" i="3" s="1"/>
  <c r="BL27" i="3"/>
  <c r="AZ27" i="3"/>
  <c r="BA26" i="3"/>
  <c r="AZ26" i="3" s="1"/>
  <c r="BL19" i="3"/>
  <c r="AZ19" i="3" s="1"/>
  <c r="BA18" i="3"/>
  <c r="AZ18" i="3" s="1"/>
  <c r="D100" i="43"/>
  <c r="D108" i="43"/>
  <c r="D109" i="43" s="1"/>
  <c r="B115" i="43"/>
  <c r="C115" i="43" s="1"/>
  <c r="B116" i="43"/>
  <c r="C116" i="43" s="1"/>
  <c r="B117" i="43"/>
  <c r="C117" i="43" s="1"/>
  <c r="B118" i="43"/>
  <c r="C118" i="43" s="1"/>
  <c r="D115" i="43"/>
  <c r="E115" i="43" s="1"/>
  <c r="F115" i="43" s="1"/>
  <c r="G115" i="43" s="1"/>
  <c r="H115" i="43" s="1"/>
  <c r="D116" i="43"/>
  <c r="E116" i="43" s="1"/>
  <c r="F116" i="43" s="1"/>
  <c r="G116" i="43" s="1"/>
  <c r="H116" i="43" s="1"/>
  <c r="D117" i="43"/>
  <c r="E117" i="43" s="1"/>
  <c r="F117" i="43" s="1"/>
  <c r="G117" i="43" s="1"/>
  <c r="H117" i="43" s="1"/>
  <c r="D118" i="43"/>
  <c r="E118" i="43" s="1"/>
  <c r="F118" i="43" s="1"/>
  <c r="I116" i="43"/>
  <c r="J116" i="43" s="1"/>
  <c r="K116" i="43" s="1"/>
  <c r="L116" i="43" s="1"/>
  <c r="M116" i="43" s="1"/>
  <c r="I118" i="43"/>
  <c r="J118" i="43" s="1"/>
  <c r="K118" i="43" s="1"/>
  <c r="L118" i="43" s="1"/>
  <c r="M118" i="4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D102" i="43"/>
  <c r="D104" i="43"/>
  <c r="D106" i="43"/>
  <c r="E9" i="43"/>
  <c r="E11" i="43"/>
  <c r="C101" i="43"/>
  <c r="E22" i="43"/>
  <c r="F22" i="43"/>
  <c r="C9" i="71"/>
  <c r="D9" i="71" s="1"/>
  <c r="D10" i="71"/>
  <c r="E8" i="43"/>
  <c r="C7" i="43" s="1"/>
  <c r="C22" i="71"/>
  <c r="C18" i="71"/>
  <c r="C14" i="71"/>
  <c r="D11" i="71"/>
  <c r="U11" i="71" s="1"/>
  <c r="D7" i="71"/>
  <c r="U7" i="71" s="1"/>
  <c r="E5" i="71"/>
  <c r="C36" i="33"/>
  <c r="Y6" i="1"/>
  <c r="F87" i="33"/>
  <c r="H25" i="33" s="1"/>
  <c r="AA5" i="71"/>
  <c r="F15" i="33"/>
  <c r="H15" i="33"/>
  <c r="G1" i="73"/>
  <c r="F7" i="73"/>
  <c r="D3" i="73"/>
  <c r="M9" i="67"/>
  <c r="D6" i="73"/>
  <c r="F43" i="67"/>
  <c r="F42" i="67"/>
  <c r="D7" i="73"/>
  <c r="M6" i="67"/>
  <c r="F36" i="67"/>
  <c r="F13" i="67"/>
  <c r="M8" i="67"/>
  <c r="F7" i="67"/>
  <c r="L48" i="67"/>
  <c r="F9" i="67"/>
  <c r="F40" i="67"/>
  <c r="F6" i="67"/>
  <c r="F37" i="67"/>
  <c r="F38" i="67"/>
  <c r="F16" i="67"/>
  <c r="F26" i="67"/>
  <c r="B40" i="1" l="1"/>
  <c r="F24" i="15" s="1"/>
  <c r="C24" i="15" s="1"/>
  <c r="AC15" i="33"/>
  <c r="W15" i="33"/>
  <c r="K4" i="4"/>
  <c r="B46" i="48" s="1"/>
  <c r="B4" i="72" s="1"/>
  <c r="F70" i="67"/>
  <c r="C6" i="67"/>
  <c r="F71" i="67"/>
  <c r="F64" i="67"/>
  <c r="I54" i="67"/>
  <c r="L56" i="67"/>
  <c r="J57" i="67"/>
  <c r="J55" i="67" s="1"/>
  <c r="J58" i="67" s="1"/>
  <c r="Q50" i="67" s="1"/>
  <c r="J59" i="67"/>
  <c r="L57" i="67"/>
  <c r="L60" i="67"/>
  <c r="J53" i="67"/>
  <c r="L58" i="67"/>
  <c r="J60" i="67"/>
  <c r="Q48" i="67" s="1"/>
  <c r="C27" i="67"/>
  <c r="F66" i="67"/>
  <c r="F68" i="67"/>
  <c r="M7" i="67"/>
  <c r="J6" i="67" s="1"/>
  <c r="F50" i="67"/>
  <c r="F65" i="67"/>
  <c r="AB15" i="33"/>
  <c r="U15" i="33"/>
  <c r="F25" i="33"/>
  <c r="J25" i="33"/>
  <c r="G87" i="33"/>
  <c r="H87" i="33" s="1"/>
  <c r="I87" i="33" s="1"/>
  <c r="J87" i="33" s="1"/>
  <c r="K87" i="33" s="1"/>
  <c r="L87" i="33" s="1"/>
  <c r="M87" i="33" s="1"/>
  <c r="H36" i="33"/>
  <c r="F36" i="33"/>
  <c r="J36" i="33"/>
  <c r="D14" i="71"/>
  <c r="C15" i="71"/>
  <c r="D22" i="71"/>
  <c r="C23" i="71"/>
  <c r="C103" i="43"/>
  <c r="C105" i="43"/>
  <c r="C107" i="43"/>
  <c r="C104" i="43"/>
  <c r="C106" i="43"/>
  <c r="C102" i="43"/>
  <c r="AZ13" i="3"/>
  <c r="BL5" i="3"/>
  <c r="C61" i="71"/>
  <c r="D61" i="71" s="1"/>
  <c r="D62" i="71"/>
  <c r="T43" i="71"/>
  <c r="D43" i="71"/>
  <c r="T35" i="71"/>
  <c r="D35" i="71"/>
  <c r="W38" i="40"/>
  <c r="AC38"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71"/>
  <c r="D46" i="71"/>
  <c r="AC36" i="35"/>
  <c r="W36" i="35"/>
  <c r="AA34" i="35"/>
  <c r="S34" i="35"/>
  <c r="AC27" i="33"/>
  <c r="W27" i="33"/>
  <c r="AB27" i="33"/>
  <c r="U27" i="33"/>
  <c r="AB38" i="33"/>
  <c r="U38" i="33"/>
  <c r="C29" i="12"/>
  <c r="D28" i="12" s="1"/>
  <c r="C48" i="68"/>
  <c r="C30" i="68"/>
  <c r="W7" i="33"/>
  <c r="AC7" i="33"/>
  <c r="AB7" i="33"/>
  <c r="U7" i="33"/>
  <c r="F46" i="36"/>
  <c r="G46" i="36" s="1"/>
  <c r="H46" i="36" s="1"/>
  <c r="I46" i="36" s="1"/>
  <c r="J46" i="36" s="1"/>
  <c r="K46" i="36" s="1"/>
  <c r="L46" i="36" s="1"/>
  <c r="M46" i="36" s="1"/>
  <c r="N46" i="36" s="1"/>
  <c r="O46" i="36" s="1"/>
  <c r="H7" i="36"/>
  <c r="J7" i="36"/>
  <c r="E52" i="37"/>
  <c r="F52" i="37" s="1"/>
  <c r="G52" i="37" s="1"/>
  <c r="H52" i="37" s="1"/>
  <c r="I52" i="37" s="1"/>
  <c r="J52" i="37" s="1"/>
  <c r="K52" i="37" s="1"/>
  <c r="L52" i="37" s="1"/>
  <c r="M52" i="37" s="1"/>
  <c r="N52" i="37" s="1"/>
  <c r="O52" i="37" s="1"/>
  <c r="J7" i="37"/>
  <c r="F7" i="37"/>
  <c r="D70" i="39"/>
  <c r="E68" i="39"/>
  <c r="AB7" i="35"/>
  <c r="T38" i="35" s="1"/>
  <c r="G38" i="35" s="1"/>
  <c r="U7" i="35"/>
  <c r="C47" i="11"/>
  <c r="D45" i="11" s="1"/>
  <c r="C29" i="11"/>
  <c r="D27" i="11" s="1"/>
  <c r="S7" i="34"/>
  <c r="AA7" i="34"/>
  <c r="R49" i="34" s="1"/>
  <c r="AC26" i="35"/>
  <c r="W26" i="35"/>
  <c r="U32" i="33"/>
  <c r="AB32" i="33"/>
  <c r="C9" i="69"/>
  <c r="S7" i="21"/>
  <c r="AA7" i="21"/>
  <c r="R48" i="21" s="1"/>
  <c r="AC7" i="35"/>
  <c r="V38" i="35" s="1"/>
  <c r="I38" i="35" s="1"/>
  <c r="W7" i="35"/>
  <c r="AC7" i="34"/>
  <c r="V49" i="34" s="1"/>
  <c r="I49" i="34" s="1"/>
  <c r="W7" i="34"/>
  <c r="U7" i="34"/>
  <c r="AB7" i="34"/>
  <c r="T49" i="34" s="1"/>
  <c r="G49" i="34" s="1"/>
  <c r="C49" i="67"/>
  <c r="F11" i="67"/>
  <c r="C53" i="67" s="1"/>
  <c r="M11" i="67"/>
  <c r="J10" i="67" s="1"/>
  <c r="M11" i="15"/>
  <c r="F11" i="15"/>
  <c r="C53" i="15" s="1"/>
  <c r="AA15" i="33"/>
  <c r="S15" i="33"/>
  <c r="AB25" i="33"/>
  <c r="U25" i="33"/>
  <c r="D18" i="71"/>
  <c r="C19" i="71"/>
  <c r="D22" i="43"/>
  <c r="C109" i="43"/>
  <c r="D113" i="43"/>
  <c r="J22" i="43" s="1"/>
  <c r="AZ14" i="3"/>
  <c r="BA5" i="3"/>
  <c r="E27" i="6" s="1"/>
  <c r="N50" i="71"/>
  <c r="B49" i="71"/>
  <c r="D54" i="71"/>
  <c r="C53" i="71"/>
  <c r="D53" i="71" s="1"/>
  <c r="D66" i="71"/>
  <c r="C65" i="71"/>
  <c r="D65" i="71" s="1"/>
  <c r="AB39" i="40"/>
  <c r="U39" i="40"/>
  <c r="U38" i="40"/>
  <c r="AB38" i="40"/>
  <c r="E60" i="40"/>
  <c r="E65" i="39"/>
  <c r="E66" i="39" s="1"/>
  <c r="T39" i="71"/>
  <c r="D39" i="71"/>
  <c r="AB34" i="35"/>
  <c r="U34" i="35"/>
  <c r="U9" i="34"/>
  <c r="AB9" i="34"/>
  <c r="AA27" i="33"/>
  <c r="S27" i="33"/>
  <c r="AC38" i="33"/>
  <c r="W38" i="33"/>
  <c r="AA38" i="33"/>
  <c r="S38" i="33"/>
  <c r="C30" i="69"/>
  <c r="C48" i="69"/>
  <c r="C30" i="11"/>
  <c r="C48" i="11"/>
  <c r="F7" i="33"/>
  <c r="F7" i="36"/>
  <c r="H7" i="37"/>
  <c r="AA7" i="35"/>
  <c r="R38" i="35" s="1"/>
  <c r="S7" i="35"/>
  <c r="W7" i="21"/>
  <c r="AC7" i="21"/>
  <c r="V48" i="21" s="1"/>
  <c r="I48" i="21" s="1"/>
  <c r="AB7" i="21"/>
  <c r="T48" i="21" s="1"/>
  <c r="G48" i="21" s="1"/>
  <c r="U7" i="21"/>
  <c r="AA26" i="35"/>
  <c r="S26" i="35"/>
  <c r="S32" i="33"/>
  <c r="AA32" i="33"/>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4" i="1"/>
  <c r="K19" i="6"/>
  <c r="K26" i="6"/>
  <c r="M26" i="6" s="1"/>
  <c r="I26" i="6" s="1"/>
  <c r="S26" i="6" s="1"/>
  <c r="I63" i="40"/>
  <c r="H65" i="40"/>
  <c r="P17" i="43"/>
  <c r="N17" i="43"/>
  <c r="O17" i="43"/>
  <c r="M17" i="43"/>
  <c r="Q74" i="67"/>
  <c r="Q61" i="67"/>
  <c r="F24" i="67"/>
  <c r="C24" i="67" s="1"/>
  <c r="F25" i="12"/>
  <c r="C26" i="12" s="1"/>
  <c r="D25" i="12" s="1"/>
  <c r="M23" i="15"/>
  <c r="F26" i="15"/>
  <c r="L47" i="15"/>
  <c r="M22" i="15"/>
  <c r="L48" i="15"/>
  <c r="F8" i="15"/>
  <c r="M8" i="15"/>
  <c r="C76" i="15"/>
  <c r="F9" i="15"/>
  <c r="M28" i="15"/>
  <c r="M29" i="15"/>
  <c r="F42" i="15"/>
  <c r="M21" i="15"/>
  <c r="F36" i="15"/>
  <c r="M24" i="15"/>
  <c r="C14" i="15"/>
  <c r="F13" i="15"/>
  <c r="J15" i="15"/>
  <c r="M6" i="15"/>
  <c r="F7" i="15"/>
  <c r="M27" i="15"/>
  <c r="C16" i="67"/>
  <c r="F40" i="15"/>
  <c r="F38" i="15"/>
  <c r="F41" i="15"/>
  <c r="F35" i="15"/>
  <c r="M9" i="15"/>
  <c r="F6" i="15"/>
  <c r="M26" i="15"/>
  <c r="F43" i="15"/>
  <c r="F37" i="15"/>
  <c r="F16" i="15"/>
  <c r="F22" i="11" l="1"/>
  <c r="F22" i="68"/>
  <c r="C23" i="68" s="1"/>
  <c r="F22" i="69"/>
  <c r="C26" i="69" s="1"/>
  <c r="D22" i="69" s="1"/>
  <c r="C48" i="67"/>
  <c r="C60" i="67" s="1"/>
  <c r="J5" i="67"/>
  <c r="J24" i="67" s="1"/>
  <c r="L46" i="67"/>
  <c r="Q71" i="15"/>
  <c r="F50" i="15"/>
  <c r="M7" i="15"/>
  <c r="J6" i="15" s="1"/>
  <c r="J20" i="15"/>
  <c r="C6" i="15"/>
  <c r="F51" i="15"/>
  <c r="J57" i="15"/>
  <c r="J55" i="15" s="1"/>
  <c r="J58" i="15" s="1"/>
  <c r="Q50" i="15" s="1"/>
  <c r="J60" i="15"/>
  <c r="Q48" i="15" s="1"/>
  <c r="L57" i="15"/>
  <c r="L56" i="15"/>
  <c r="J59" i="15"/>
  <c r="L60" i="15"/>
  <c r="J53" i="15"/>
  <c r="F63" i="15"/>
  <c r="C62" i="15" s="1"/>
  <c r="C34" i="15"/>
  <c r="F65" i="15"/>
  <c r="F69" i="15"/>
  <c r="C18" i="15"/>
  <c r="C19" i="15"/>
  <c r="C15" i="15"/>
  <c r="L58" i="15"/>
  <c r="M59" i="15"/>
  <c r="N59" i="15"/>
  <c r="L59" i="15"/>
  <c r="F66" i="15"/>
  <c r="F71" i="15"/>
  <c r="C27" i="15"/>
  <c r="F68" i="15"/>
  <c r="F64" i="15"/>
  <c r="C44" i="11"/>
  <c r="D41" i="11" s="1"/>
  <c r="C23" i="11"/>
  <c r="C26" i="11"/>
  <c r="D22" i="11" s="1"/>
  <c r="I65" i="40"/>
  <c r="J63" i="40"/>
  <c r="S6" i="1"/>
  <c r="M19" i="6"/>
  <c r="K27" i="6"/>
  <c r="G52" i="21"/>
  <c r="H52" i="21" s="1"/>
  <c r="G53" i="21"/>
  <c r="H53" i="21" s="1"/>
  <c r="R39" i="35"/>
  <c r="E38" i="35"/>
  <c r="AA7" i="36"/>
  <c r="R36" i="36" s="1"/>
  <c r="S7" i="36"/>
  <c r="D19" i="71"/>
  <c r="T19" i="71"/>
  <c r="I54" i="34"/>
  <c r="J54" i="34" s="1"/>
  <c r="I53" i="34"/>
  <c r="J53" i="34" s="1"/>
  <c r="I42" i="35"/>
  <c r="J42" i="35" s="1"/>
  <c r="E49" i="34"/>
  <c r="R50" i="34"/>
  <c r="AC7" i="37"/>
  <c r="V42" i="37" s="1"/>
  <c r="I42" i="37" s="1"/>
  <c r="W7" i="37"/>
  <c r="W7" i="36"/>
  <c r="AC7" i="36"/>
  <c r="V36" i="36" s="1"/>
  <c r="I36" i="36" s="1"/>
  <c r="T48" i="33"/>
  <c r="G48" i="33" s="1"/>
  <c r="T47" i="71"/>
  <c r="D47" i="71"/>
  <c r="H6" i="3"/>
  <c r="E6" i="3" s="1"/>
  <c r="AZ5" i="3"/>
  <c r="AA36" i="33"/>
  <c r="S36" i="33"/>
  <c r="AA25" i="33"/>
  <c r="S25" i="33"/>
  <c r="Q60" i="67"/>
  <c r="Q73" i="67"/>
  <c r="Q66" i="67"/>
  <c r="Q57" i="67"/>
  <c r="C10" i="67"/>
  <c r="C5" i="67" s="1"/>
  <c r="M14" i="1"/>
  <c r="C34" i="69"/>
  <c r="K16" i="1"/>
  <c r="I52" i="21"/>
  <c r="J52" i="21" s="1"/>
  <c r="U7" i="37"/>
  <c r="AB7" i="37"/>
  <c r="T42" i="37" s="1"/>
  <c r="G42" i="37" s="1"/>
  <c r="S7" i="33"/>
  <c r="AA7" i="33"/>
  <c r="R48" i="33" s="1"/>
  <c r="N48" i="71"/>
  <c r="N49" i="71"/>
  <c r="E31" i="6"/>
  <c r="G54" i="34"/>
  <c r="H54" i="34" s="1"/>
  <c r="G53" i="34"/>
  <c r="H53" i="34" s="1"/>
  <c r="E48" i="21"/>
  <c r="R49" i="21"/>
  <c r="G43" i="35"/>
  <c r="H43" i="35" s="1"/>
  <c r="G42" i="35"/>
  <c r="H42" i="35" s="1"/>
  <c r="F68" i="39"/>
  <c r="E70" i="39"/>
  <c r="S7" i="37"/>
  <c r="AA7" i="37"/>
  <c r="R42" i="37" s="1"/>
  <c r="AB7" i="36"/>
  <c r="T36" i="36" s="1"/>
  <c r="G36" i="36" s="1"/>
  <c r="U7" i="36"/>
  <c r="V48" i="33"/>
  <c r="I48" i="33" s="1"/>
  <c r="D23" i="71"/>
  <c r="T23" i="71"/>
  <c r="D15" i="71"/>
  <c r="M20" i="43" s="1"/>
  <c r="C19" i="43" s="1"/>
  <c r="T15" i="71"/>
  <c r="AC36" i="33"/>
  <c r="W36" i="33"/>
  <c r="AB36" i="33"/>
  <c r="U36" i="33"/>
  <c r="AC25" i="33"/>
  <c r="W25" i="33"/>
  <c r="F1" i="67"/>
  <c r="Q52" i="67"/>
  <c r="C16" i="15"/>
  <c r="C17" i="67"/>
  <c r="C14" i="67"/>
  <c r="AE6" i="1"/>
  <c r="C17" i="15"/>
  <c r="C26" i="68" l="1"/>
  <c r="D22" i="68" s="1"/>
  <c r="C44" i="69"/>
  <c r="D41" i="69" s="1"/>
  <c r="C44" i="68"/>
  <c r="D41" i="68" s="1"/>
  <c r="J18" i="67"/>
  <c r="C66" i="67"/>
  <c r="J26" i="67"/>
  <c r="C49" i="15"/>
  <c r="C48" i="15" s="1"/>
  <c r="C60" i="15" s="1"/>
  <c r="C15" i="67"/>
  <c r="C18" i="67"/>
  <c r="C36" i="43"/>
  <c r="C34" i="43"/>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5" i="43"/>
  <c r="C37" i="43"/>
  <c r="C39" i="43"/>
  <c r="C38" i="43"/>
  <c r="C33" i="67"/>
  <c r="C38" i="67"/>
  <c r="C32" i="67"/>
  <c r="I52" i="33"/>
  <c r="J52" i="33" s="1"/>
  <c r="G40" i="36"/>
  <c r="H40" i="36" s="1"/>
  <c r="G41" i="36"/>
  <c r="H41" i="36" s="1"/>
  <c r="F70" i="39"/>
  <c r="G68" i="39"/>
  <c r="E53" i="21"/>
  <c r="F53" i="21" s="1"/>
  <c r="E52" i="21"/>
  <c r="F52" i="21" s="1"/>
  <c r="R49" i="33"/>
  <c r="E48" i="33"/>
  <c r="I53" i="33" s="1"/>
  <c r="J53" i="33" s="1"/>
  <c r="G47" i="37"/>
  <c r="H47" i="37" s="1"/>
  <c r="G46" i="37"/>
  <c r="H46" i="37" s="1"/>
  <c r="I53" i="21"/>
  <c r="J53" i="21" s="1"/>
  <c r="M16" i="1"/>
  <c r="AY6" i="3"/>
  <c r="E3" i="6"/>
  <c r="G52" i="33"/>
  <c r="H52" i="33" s="1"/>
  <c r="G53" i="33"/>
  <c r="H53" i="33" s="1"/>
  <c r="I46" i="37"/>
  <c r="J46" i="37" s="1"/>
  <c r="C49" i="34"/>
  <c r="C50" i="34"/>
  <c r="E43" i="35"/>
  <c r="F43" i="35" s="1"/>
  <c r="E42" i="35"/>
  <c r="F42" i="35" s="1"/>
  <c r="E6" i="70"/>
  <c r="E2" i="70" s="1"/>
  <c r="T6" i="1"/>
  <c r="T16" i="1" s="1"/>
  <c r="S16" i="1"/>
  <c r="AQ6" i="1"/>
  <c r="AR6" i="1"/>
  <c r="R43" i="37"/>
  <c r="E42" i="37"/>
  <c r="C48" i="21"/>
  <c r="C49" i="21"/>
  <c r="C35" i="69"/>
  <c r="C38" i="69"/>
  <c r="I40" i="36"/>
  <c r="J40" i="36" s="1"/>
  <c r="E54" i="34"/>
  <c r="F54" i="34" s="1"/>
  <c r="E53" i="34"/>
  <c r="F53" i="34" s="1"/>
  <c r="I43" i="35"/>
  <c r="J43" i="35" s="1"/>
  <c r="E36" i="36"/>
  <c r="R37" i="36"/>
  <c r="C39" i="35"/>
  <c r="B2" i="35" s="1"/>
  <c r="B3" i="35" s="1"/>
  <c r="C38" i="35"/>
  <c r="I19" i="6"/>
  <c r="M27" i="6"/>
  <c r="K63" i="40"/>
  <c r="J65" i="40"/>
  <c r="Q73" i="15"/>
  <c r="Q60" i="15"/>
  <c r="C20" i="15"/>
  <c r="C26" i="15" s="1"/>
  <c r="Q57" i="15"/>
  <c r="Q66" i="15"/>
  <c r="J10" i="15"/>
  <c r="J5" i="15" s="1"/>
  <c r="Q74" i="15"/>
  <c r="Q61" i="15"/>
  <c r="F1" i="15"/>
  <c r="Q52" i="15"/>
  <c r="C10" i="15"/>
  <c r="C5" i="15" s="1"/>
  <c r="F41" i="67"/>
  <c r="C66" i="15" l="1"/>
  <c r="F69" i="67"/>
  <c r="J29" i="67"/>
  <c r="C23" i="15"/>
  <c r="C29" i="15" s="1"/>
  <c r="J19" i="15" s="1"/>
  <c r="C19" i="67"/>
  <c r="J24" i="15"/>
  <c r="J26" i="15"/>
  <c r="J29" i="15" s="1"/>
  <c r="J18" i="15"/>
  <c r="C32" i="15"/>
  <c r="C38" i="15"/>
  <c r="L63" i="40"/>
  <c r="K65" i="40"/>
  <c r="S19" i="6"/>
  <c r="I27" i="6"/>
  <c r="E40" i="36"/>
  <c r="F40" i="36" s="1"/>
  <c r="E41" i="36"/>
  <c r="F41" i="36" s="1"/>
  <c r="I41" i="36"/>
  <c r="J41" i="36" s="1"/>
  <c r="E47" i="37"/>
  <c r="F47" i="37" s="1"/>
  <c r="E46" i="37"/>
  <c r="F46" i="37" s="1"/>
  <c r="M18" i="9"/>
  <c r="B118" i="9" s="1"/>
  <c r="B14" i="74" s="1"/>
  <c r="B1" i="74" s="1"/>
  <c r="D3" i="21"/>
  <c r="B2" i="21" s="1"/>
  <c r="B3" i="21" s="1"/>
  <c r="E6" i="6"/>
  <c r="C17" i="4"/>
  <c r="B4" i="52" s="1"/>
  <c r="B43" i="72" s="1"/>
  <c r="L18" i="9"/>
  <c r="D3" i="37"/>
  <c r="D3" i="34"/>
  <c r="B2" i="34" s="1"/>
  <c r="B3" i="34" s="1"/>
  <c r="D37" i="11"/>
  <c r="C37" i="11" s="1"/>
  <c r="S27" i="6"/>
  <c r="D19" i="11"/>
  <c r="C19" i="11" s="1"/>
  <c r="D14" i="12"/>
  <c r="C34" i="11"/>
  <c r="N16" i="1"/>
  <c r="L16" i="1"/>
  <c r="C34" i="68"/>
  <c r="C49" i="33"/>
  <c r="C48" i="33"/>
  <c r="G39" i="43"/>
  <c r="I39" i="43" s="1"/>
  <c r="E39" i="43"/>
  <c r="G35" i="43"/>
  <c r="I35" i="43" s="1"/>
  <c r="E35" i="43"/>
  <c r="G34" i="43"/>
  <c r="I34" i="43" s="1"/>
  <c r="E34" i="43"/>
  <c r="C37" i="36"/>
  <c r="B2" i="36" s="1"/>
  <c r="B3" i="36" s="1"/>
  <c r="C36" i="36"/>
  <c r="C43" i="37"/>
  <c r="B2" i="37" s="1"/>
  <c r="B3" i="37" s="1"/>
  <c r="C42" i="37"/>
  <c r="I47" i="37"/>
  <c r="J47" i="37"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23" i="3"/>
  <c r="AY261" i="3"/>
  <c r="AY204" i="3"/>
  <c r="AY284" i="3"/>
  <c r="AY252" i="3"/>
  <c r="AY209" i="3"/>
  <c r="AY363" i="3"/>
  <c r="AY489" i="3"/>
  <c r="AY455" i="3"/>
  <c r="AY412" i="3"/>
  <c r="AY497" i="3"/>
  <c r="AY116" i="3"/>
  <c r="AY229" i="3"/>
  <c r="AY379" i="3"/>
  <c r="AY343" i="3"/>
  <c r="AY478" i="3"/>
  <c r="AY436" i="3"/>
  <c r="AY557" i="3"/>
  <c r="AY573" i="3"/>
  <c r="AY539" i="3"/>
  <c r="AY105" i="3"/>
  <c r="AY69" i="3"/>
  <c r="AY84" i="3"/>
  <c r="AY20" i="3"/>
  <c r="AY198" i="3"/>
  <c r="AY162" i="3"/>
  <c r="AY173" i="3"/>
  <c r="AY134" i="3"/>
  <c r="AY291" i="3"/>
  <c r="AY255" i="3"/>
  <c r="AY270" i="3"/>
  <c r="AY227" i="3"/>
  <c r="AY384" i="3"/>
  <c r="AY368" i="3"/>
  <c r="AY507" i="3"/>
  <c r="AY88" i="3"/>
  <c r="AY72" i="3"/>
  <c r="AY29" i="3"/>
  <c r="AY161" i="3"/>
  <c r="AY121" i="3"/>
  <c r="AY258" i="3"/>
  <c r="AY215" i="3"/>
  <c r="AY341" i="3"/>
  <c r="AY309" i="3"/>
  <c r="AY483" i="3"/>
  <c r="AY449" i="3"/>
  <c r="AY406" i="3"/>
  <c r="AY419" i="3"/>
  <c r="AY580" i="3"/>
  <c r="AY572" i="3"/>
  <c r="AY520" i="3"/>
  <c r="AY543" i="3"/>
  <c r="AY532" i="3"/>
  <c r="AY523" i="3"/>
  <c r="AY81" i="3"/>
  <c r="AY21" i="3"/>
  <c r="AY174" i="3"/>
  <c r="AY113" i="3"/>
  <c r="AY267" i="3"/>
  <c r="AY250" i="3"/>
  <c r="AY361" i="3"/>
  <c r="AY305" i="3"/>
  <c r="AY479" i="3"/>
  <c r="AY476" i="3"/>
  <c r="AY434" i="3"/>
  <c r="AY402" i="3"/>
  <c r="AY505" i="3"/>
  <c r="AY524" i="3"/>
  <c r="AY542" i="3"/>
  <c r="AY570" i="3"/>
  <c r="AY99" i="3"/>
  <c r="AY46" i="3"/>
  <c r="AY156" i="3"/>
  <c r="AY135" i="3"/>
  <c r="AY249" i="3"/>
  <c r="AY232" i="3"/>
  <c r="AY362" i="3"/>
  <c r="AY469" i="3"/>
  <c r="AY437" i="3"/>
  <c r="AY13" i="3"/>
  <c r="AY528" i="3"/>
  <c r="AY576" i="3"/>
  <c r="AY102" i="3"/>
  <c r="AY39" i="3"/>
  <c r="AY22" i="3"/>
  <c r="AY200" i="3"/>
  <c r="AY164" i="3"/>
  <c r="AY175" i="3"/>
  <c r="AY136" i="3"/>
  <c r="AY293" i="3"/>
  <c r="AY257" i="3"/>
  <c r="AY240" i="3"/>
  <c r="AY208" i="3"/>
  <c r="AY375" i="3"/>
  <c r="AY351" i="3"/>
  <c r="AY307" i="3"/>
  <c r="AY322" i="3"/>
  <c r="AY474" i="3"/>
  <c r="AY443" i="3"/>
  <c r="AY400" i="3"/>
  <c r="AY413" i="3"/>
  <c r="AY15" i="3"/>
  <c r="AY583" i="3"/>
  <c r="AY567" i="3"/>
  <c r="AY183" i="3"/>
  <c r="AY319" i="3"/>
  <c r="AY43" i="3"/>
  <c r="AY212" i="3"/>
  <c r="AY326" i="3"/>
  <c r="AY417" i="3"/>
  <c r="AY540" i="3"/>
  <c r="AY100" i="3"/>
  <c r="AY52" i="3"/>
  <c r="AY193" i="3"/>
  <c r="AY141" i="3"/>
  <c r="AY286" i="3"/>
  <c r="AY238" i="3"/>
  <c r="AY373" i="3"/>
  <c r="BB6" i="3"/>
  <c r="AY181" i="3"/>
  <c r="AY275" i="3"/>
  <c r="AY370" i="3"/>
  <c r="AY324" i="3"/>
  <c r="AY480" i="3"/>
  <c r="AY438" i="3"/>
  <c r="AY503" i="3"/>
  <c r="AY536" i="3"/>
  <c r="AY552" i="3"/>
  <c r="AY496" i="3"/>
  <c r="AY64" i="3"/>
  <c r="AY153" i="3"/>
  <c r="AY396" i="3"/>
  <c r="AY337" i="3"/>
  <c r="AY320" i="3"/>
  <c r="AY445" i="3"/>
  <c r="AY415" i="3"/>
  <c r="AY538" i="3"/>
  <c r="AY565" i="3"/>
  <c r="AY578" i="3"/>
  <c r="AY63" i="3"/>
  <c r="AY192" i="3"/>
  <c r="AY285" i="3"/>
  <c r="AY378" i="3"/>
  <c r="AY346" i="3"/>
  <c r="AY456" i="3"/>
  <c r="AY500" i="3"/>
  <c r="AY547" i="3"/>
  <c r="AY568" i="3"/>
  <c r="AY107" i="3"/>
  <c r="AY71" i="3"/>
  <c r="AY54" i="3"/>
  <c r="AY195" i="3"/>
  <c r="AY143" i="3"/>
  <c r="AY288" i="3"/>
  <c r="AY272" i="3"/>
  <c r="AY386" i="3"/>
  <c r="AY339" i="3"/>
  <c r="AY477" i="3"/>
  <c r="AY432" i="3"/>
  <c r="AY521" i="3"/>
  <c r="AY566" i="3"/>
  <c r="BT6" i="3"/>
  <c r="E53" i="33"/>
  <c r="F53" i="33" s="1"/>
  <c r="E52" i="33"/>
  <c r="F52" i="33" s="1"/>
  <c r="H68" i="39"/>
  <c r="G70" i="39"/>
  <c r="G38" i="43"/>
  <c r="I38" i="43" s="1"/>
  <c r="E38" i="43"/>
  <c r="G37" i="43"/>
  <c r="I37" i="43" s="1"/>
  <c r="E37" i="43"/>
  <c r="E29" i="43"/>
  <c r="C30" i="43"/>
  <c r="E30" i="43" s="1"/>
  <c r="E33" i="43"/>
  <c r="G33" i="43"/>
  <c r="I33" i="43" s="1"/>
  <c r="G36" i="43"/>
  <c r="I36" i="43" s="1"/>
  <c r="E36" i="43"/>
  <c r="C57" i="15" l="1"/>
  <c r="C64" i="15" s="1"/>
  <c r="C13" i="15"/>
  <c r="C37" i="15" s="1"/>
  <c r="Q49" i="15"/>
  <c r="C36" i="15"/>
  <c r="C33" i="15"/>
  <c r="C31" i="15" s="1"/>
  <c r="J14" i="15"/>
  <c r="J22" i="15" s="1"/>
  <c r="C20" i="67"/>
  <c r="C26" i="67" s="1"/>
  <c r="M19" i="9"/>
  <c r="C118" i="9" s="1"/>
  <c r="C14" i="74" s="1"/>
  <c r="B2" i="74" s="1"/>
  <c r="H20" i="6"/>
  <c r="D25" i="6"/>
  <c r="D15" i="6"/>
  <c r="D22" i="6"/>
  <c r="D21" i="6"/>
  <c r="D24" i="6"/>
  <c r="D20" i="6"/>
  <c r="R20" i="6" s="1"/>
  <c r="D6" i="6"/>
  <c r="D9" i="6"/>
  <c r="D10" i="6"/>
  <c r="L19" i="9"/>
  <c r="D29" i="6"/>
  <c r="H25" i="6"/>
  <c r="H22" i="6"/>
  <c r="H21" i="6"/>
  <c r="H24" i="6"/>
  <c r="H19" i="6"/>
  <c r="D19" i="6"/>
  <c r="C18" i="4"/>
  <c r="D23" i="6"/>
  <c r="D5" i="6"/>
  <c r="D11" i="6"/>
  <c r="D28" i="6"/>
  <c r="D30" i="6" s="1"/>
  <c r="H23" i="6"/>
  <c r="H26" i="6"/>
  <c r="D26" i="6"/>
  <c r="D8" i="6"/>
  <c r="D16" i="6" s="1"/>
  <c r="D14" i="6"/>
  <c r="D12" i="6"/>
  <c r="D13" i="6"/>
  <c r="E61" i="40"/>
  <c r="B3" i="33"/>
  <c r="B2" i="33"/>
  <c r="C35" i="11"/>
  <c r="C38" i="11"/>
  <c r="C33" i="11"/>
  <c r="C20" i="11"/>
  <c r="C25" i="11" s="1"/>
  <c r="C24" i="11"/>
  <c r="C28" i="11"/>
  <c r="C27" i="11" s="1"/>
  <c r="L65" i="40"/>
  <c r="M63" i="40"/>
  <c r="J13" i="15"/>
  <c r="J23" i="15" s="1"/>
  <c r="C26" i="43"/>
  <c r="H70" i="39"/>
  <c r="I68" i="39"/>
  <c r="C27" i="43"/>
  <c r="C38" i="68"/>
  <c r="C35" i="68"/>
  <c r="F50" i="11"/>
  <c r="F50" i="68"/>
  <c r="F50" i="69"/>
  <c r="D17" i="12"/>
  <c r="C17" i="12" s="1"/>
  <c r="C14" i="12"/>
  <c r="C16" i="12" s="1"/>
  <c r="D10" i="11"/>
  <c r="C10" i="11" s="1"/>
  <c r="D20" i="12"/>
  <c r="C20" i="12" s="1"/>
  <c r="C18" i="12" s="1"/>
  <c r="D10" i="69"/>
  <c r="D10" i="68"/>
  <c r="C7" i="74"/>
  <c r="C8" i="74"/>
  <c r="Q70" i="15"/>
  <c r="C61" i="15"/>
  <c r="C59" i="15" s="1"/>
  <c r="J17" i="15"/>
  <c r="E6" i="76"/>
  <c r="C19" i="9"/>
  <c r="C20" i="9"/>
  <c r="C56" i="15" l="1"/>
  <c r="C65" i="15" s="1"/>
  <c r="C75" i="15"/>
  <c r="C30" i="15"/>
  <c r="C39" i="15" s="1"/>
  <c r="Q69" i="15" s="1"/>
  <c r="Q68" i="15" s="1"/>
  <c r="C23" i="67"/>
  <c r="C29" i="67" s="1"/>
  <c r="C58" i="15"/>
  <c r="C67" i="15" s="1"/>
  <c r="C68" i="15" s="1"/>
  <c r="C71" i="15" s="1"/>
  <c r="C22" i="11"/>
  <c r="C31" i="11" s="1"/>
  <c r="C21" i="9"/>
  <c r="C102" i="9"/>
  <c r="E2" i="76"/>
  <c r="C103" i="9"/>
  <c r="C40" i="15"/>
  <c r="C46" i="15" s="1"/>
  <c r="D19" i="68"/>
  <c r="C10" i="68"/>
  <c r="C21" i="12"/>
  <c r="J68" i="39"/>
  <c r="I70" i="39"/>
  <c r="C42" i="11"/>
  <c r="C39" i="11"/>
  <c r="C43" i="11" s="1"/>
  <c r="A7" i="51"/>
  <c r="B7" i="72" s="1"/>
  <c r="C4" i="52"/>
  <c r="B45" i="72" s="1"/>
  <c r="A10" i="51"/>
  <c r="B9" i="72" s="1"/>
  <c r="J16" i="15"/>
  <c r="J25" i="15" s="1"/>
  <c r="C10" i="69"/>
  <c r="C8" i="69" s="1"/>
  <c r="C5" i="69" s="1"/>
  <c r="D19" i="69"/>
  <c r="R26" i="6"/>
  <c r="R23" i="6"/>
  <c r="D27" i="6"/>
  <c r="D31" i="6" s="1"/>
  <c r="R19" i="6"/>
  <c r="R24" i="6"/>
  <c r="R22" i="6"/>
  <c r="R25" i="6"/>
  <c r="D8" i="74"/>
  <c r="D7" i="74"/>
  <c r="B2" i="43"/>
  <c r="M65" i="40"/>
  <c r="N63" i="40"/>
  <c r="H27" i="6"/>
  <c r="R21" i="6"/>
  <c r="B6" i="76"/>
  <c r="L51" i="15"/>
  <c r="C80" i="15" l="1"/>
  <c r="C79" i="15" s="1"/>
  <c r="C13" i="67"/>
  <c r="Q70" i="67" s="1"/>
  <c r="Q49" i="67"/>
  <c r="J14" i="67"/>
  <c r="J22" i="67" s="1"/>
  <c r="C36" i="67"/>
  <c r="C57" i="67"/>
  <c r="C61" i="67" s="1"/>
  <c r="J19" i="67"/>
  <c r="B2" i="76"/>
  <c r="B3" i="76" s="1"/>
  <c r="Q67" i="15"/>
  <c r="O63" i="40"/>
  <c r="O65" i="40" s="1"/>
  <c r="N65" i="40"/>
  <c r="B3" i="43"/>
  <c r="R6" i="1"/>
  <c r="R27" i="6"/>
  <c r="C19" i="69"/>
  <c r="C24" i="69" s="1"/>
  <c r="D37" i="69"/>
  <c r="C37" i="69" s="1"/>
  <c r="C33" i="69" s="1"/>
  <c r="C46" i="11"/>
  <c r="C45" i="11" s="1"/>
  <c r="C41" i="11"/>
  <c r="C49" i="11" s="1"/>
  <c r="C51" i="11" s="1"/>
  <c r="J70" i="39"/>
  <c r="K68" i="39"/>
  <c r="I6" i="6"/>
  <c r="I5" i="6"/>
  <c r="C23" i="69"/>
  <c r="C22" i="12"/>
  <c r="C30" i="12" s="1"/>
  <c r="C28" i="12" s="1"/>
  <c r="C19" i="68"/>
  <c r="D37" i="68"/>
  <c r="C37" i="68" s="1"/>
  <c r="C33" i="68" s="1"/>
  <c r="C43" i="15"/>
  <c r="Q65" i="15"/>
  <c r="Q75" i="15" s="1"/>
  <c r="Q56" i="15"/>
  <c r="Q62" i="15" s="1"/>
  <c r="B2" i="15"/>
  <c r="B3" i="15" s="1"/>
  <c r="Q47" i="15"/>
  <c r="Q53" i="15" s="1"/>
  <c r="C83" i="15"/>
  <c r="C82" i="15" s="1"/>
  <c r="M21" i="67"/>
  <c r="F35" i="67"/>
  <c r="C75" i="67" l="1"/>
  <c r="J13" i="67"/>
  <c r="J23" i="67" s="1"/>
  <c r="C64" i="67"/>
  <c r="C37" i="67"/>
  <c r="C56" i="67"/>
  <c r="C65" i="67" s="1"/>
  <c r="C20" i="69"/>
  <c r="C25" i="69" s="1"/>
  <c r="C22" i="69" s="1"/>
  <c r="C27" i="12"/>
  <c r="C25" i="12" s="1"/>
  <c r="C32" i="12" s="1"/>
  <c r="B2" i="12" s="1"/>
  <c r="B3" i="12" s="1"/>
  <c r="J20" i="67"/>
  <c r="J17" i="67" s="1"/>
  <c r="J16" i="67" s="1"/>
  <c r="J25" i="67" s="1"/>
  <c r="F63" i="67"/>
  <c r="C62" i="67" s="1"/>
  <c r="C59" i="67" s="1"/>
  <c r="C34" i="67"/>
  <c r="C31" i="67" s="1"/>
  <c r="C20" i="68"/>
  <c r="C25" i="68" s="1"/>
  <c r="C24" i="68"/>
  <c r="L68" i="39"/>
  <c r="K70" i="39"/>
  <c r="C52" i="11"/>
  <c r="B2" i="11" s="1"/>
  <c r="B3" i="11" s="1"/>
  <c r="C39" i="69"/>
  <c r="C43" i="69" s="1"/>
  <c r="C42" i="69"/>
  <c r="R16" i="1"/>
  <c r="C39" i="68"/>
  <c r="C43" i="68" s="1"/>
  <c r="C42" i="68"/>
  <c r="J7" i="40"/>
  <c r="F7" i="40"/>
  <c r="H7" i="40"/>
  <c r="C58" i="67" l="1"/>
  <c r="C67" i="67" s="1"/>
  <c r="C68" i="67" s="1"/>
  <c r="C71" i="67" s="1"/>
  <c r="C30" i="67"/>
  <c r="C39" i="67" s="1"/>
  <c r="C80" i="67" s="1"/>
  <c r="C79" i="67" s="1"/>
  <c r="C46" i="68"/>
  <c r="C45" i="68" s="1"/>
  <c r="C22" i="68"/>
  <c r="C28" i="69"/>
  <c r="C27" i="69" s="1"/>
  <c r="C31" i="69" s="1"/>
  <c r="C56" i="11"/>
  <c r="C57" i="11" s="1"/>
  <c r="U7" i="40"/>
  <c r="AB7" i="40"/>
  <c r="T42" i="40" s="1"/>
  <c r="G42" i="40" s="1"/>
  <c r="AA7" i="40"/>
  <c r="R42" i="40" s="1"/>
  <c r="S7" i="40"/>
  <c r="C41" i="68"/>
  <c r="C41" i="69"/>
  <c r="C46" i="69"/>
  <c r="C45" i="69" s="1"/>
  <c r="C28" i="68"/>
  <c r="C27" i="68" s="1"/>
  <c r="AC7" i="40"/>
  <c r="V42" i="40" s="1"/>
  <c r="I42" i="40" s="1"/>
  <c r="W7" i="40"/>
  <c r="L70" i="39"/>
  <c r="M68" i="39"/>
  <c r="L51" i="67"/>
  <c r="C40" i="67" l="1"/>
  <c r="C45" i="67" s="1"/>
  <c r="C46" i="67" s="1"/>
  <c r="Q69" i="67"/>
  <c r="Q68" i="67" s="1"/>
  <c r="C49" i="68"/>
  <c r="C51" i="68" s="1"/>
  <c r="C31" i="68"/>
  <c r="Q67" i="67"/>
  <c r="N68" i="39"/>
  <c r="M70" i="39"/>
  <c r="G47" i="40"/>
  <c r="H47" i="40" s="1"/>
  <c r="G46" i="40"/>
  <c r="H46" i="40" s="1"/>
  <c r="D2" i="67"/>
  <c r="Q56" i="67"/>
  <c r="Q62" i="67" s="1"/>
  <c r="C43" i="67"/>
  <c r="I46" i="40"/>
  <c r="J46" i="40" s="1"/>
  <c r="C49" i="69"/>
  <c r="C51" i="69" s="1"/>
  <c r="E42" i="40"/>
  <c r="R43" i="40"/>
  <c r="C83" i="67" l="1"/>
  <c r="C82" i="67" s="1"/>
  <c r="Q47" i="67"/>
  <c r="Q53" i="67" s="1"/>
  <c r="Q65" i="67"/>
  <c r="Q75" i="67" s="1"/>
  <c r="C52" i="68"/>
  <c r="B2" i="68" s="1"/>
  <c r="B3" i="68" s="1"/>
  <c r="C43" i="40"/>
  <c r="C42" i="40"/>
  <c r="C52" i="69"/>
  <c r="B2" i="69" s="1"/>
  <c r="B3" i="69" s="1"/>
  <c r="B3" i="67"/>
  <c r="B2" i="67"/>
  <c r="N70" i="39"/>
  <c r="O68" i="39"/>
  <c r="O70" i="39" s="1"/>
  <c r="E46" i="40"/>
  <c r="F46" i="40" s="1"/>
  <c r="E47" i="40"/>
  <c r="F47" i="40" s="1"/>
  <c r="I47" i="40"/>
  <c r="J47" i="40" s="1"/>
  <c r="D20" i="9"/>
  <c r="AO6" i="1"/>
  <c r="D19" i="9"/>
  <c r="C57" i="68" l="1"/>
  <c r="C56" i="68" s="1"/>
  <c r="C57" i="69"/>
  <c r="C56" i="69" s="1"/>
  <c r="B6" i="70"/>
  <c r="B2" i="70" s="1"/>
  <c r="B3" i="70" s="1"/>
  <c r="D102" i="9"/>
  <c r="D21" i="9"/>
  <c r="G19" i="9"/>
  <c r="D22" i="9"/>
  <c r="D103" i="9"/>
  <c r="G20" i="9"/>
  <c r="R24" i="31" s="1"/>
  <c r="H7" i="39"/>
  <c r="J7" i="39"/>
  <c r="F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7" i="39" l="1"/>
  <c r="AA7" i="39"/>
  <c r="R47" i="39" s="1"/>
  <c r="AB7" i="39"/>
  <c r="T47" i="39" s="1"/>
  <c r="G47" i="39" s="1"/>
  <c r="U7" i="39"/>
  <c r="G21" i="9"/>
  <c r="C32" i="9"/>
  <c r="AC7" i="39"/>
  <c r="V47" i="39" s="1"/>
  <c r="I47" i="39" s="1"/>
  <c r="W7" i="39"/>
  <c r="S24" i="31"/>
  <c r="R25" i="31"/>
  <c r="S25" i="31" s="1"/>
  <c r="R27" i="31"/>
  <c r="S27" i="31" s="1"/>
  <c r="R29" i="31"/>
  <c r="S29" i="31" s="1"/>
  <c r="R31" i="31"/>
  <c r="S31" i="31" s="1"/>
  <c r="R33" i="31"/>
  <c r="S33" i="31" s="1"/>
  <c r="R35" i="31"/>
  <c r="S35" i="31" s="1"/>
  <c r="R37" i="31"/>
  <c r="S37" i="31" s="1"/>
  <c r="R39" i="31"/>
  <c r="S39" i="31" s="1"/>
  <c r="R41" i="31"/>
  <c r="S41" i="31" s="1"/>
  <c r="R38" i="31"/>
  <c r="S38" i="31" s="1"/>
  <c r="R34" i="31"/>
  <c r="S34" i="31" s="1"/>
  <c r="R30" i="31"/>
  <c r="S30" i="31" s="1"/>
  <c r="R26" i="31"/>
  <c r="S26" i="31" s="1"/>
  <c r="R40" i="31"/>
  <c r="S40" i="31" s="1"/>
  <c r="R36" i="31"/>
  <c r="S36" i="31" s="1"/>
  <c r="R32" i="31"/>
  <c r="S32" i="31" s="1"/>
  <c r="R28" i="31"/>
  <c r="S28" i="31" s="1"/>
  <c r="D16" i="74" l="1"/>
  <c r="G16" i="74" s="1"/>
  <c r="H118" i="9"/>
  <c r="C35" i="9"/>
  <c r="F118" i="9" s="1"/>
  <c r="E47" i="39"/>
  <c r="R48" i="39"/>
  <c r="S22" i="31"/>
  <c r="I51" i="39"/>
  <c r="J51" i="39" s="1"/>
  <c r="I52" i="39"/>
  <c r="J52" i="39" s="1"/>
  <c r="G52" i="39"/>
  <c r="H52" i="39" s="1"/>
  <c r="G51" i="39"/>
  <c r="H51" i="39" s="1"/>
  <c r="F16" i="74" l="1"/>
  <c r="E16" i="74"/>
  <c r="R22" i="31"/>
  <c r="B21" i="31" s="1"/>
  <c r="B20" i="31"/>
  <c r="E51" i="39"/>
  <c r="F51" i="39" s="1"/>
  <c r="E52" i="39"/>
  <c r="F52" i="39" s="1"/>
  <c r="H101" i="9"/>
  <c r="D14" i="74"/>
  <c r="C104" i="9"/>
  <c r="I118" i="9"/>
  <c r="H119" i="9"/>
  <c r="H5" i="52" s="1"/>
  <c r="H4" i="52"/>
  <c r="C47" i="39"/>
  <c r="C48" i="39"/>
  <c r="G118" i="9"/>
  <c r="G4" i="52" s="1"/>
  <c r="B52" i="72" s="1"/>
  <c r="F4" i="52"/>
  <c r="B51" i="72" s="1"/>
  <c r="F119" i="9"/>
  <c r="F5" i="52" s="1"/>
  <c r="B53" i="72" s="1"/>
  <c r="C34" i="9"/>
  <c r="D118" i="9" s="1"/>
  <c r="D15" i="74" l="1"/>
  <c r="G15" i="74" s="1"/>
  <c r="M48" i="9"/>
  <c r="D45" i="9"/>
  <c r="H107" i="9"/>
  <c r="D5" i="53"/>
  <c r="D119" i="9"/>
  <c r="D5" i="52" s="1"/>
  <c r="B49" i="72" s="1"/>
  <c r="D4" i="52"/>
  <c r="B47"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c r="I4" i="52"/>
  <c r="E118" i="9"/>
  <c r="E4" i="52" s="1"/>
  <c r="B48" i="72" s="1"/>
  <c r="H102" i="9"/>
  <c r="D7" i="53" s="1"/>
  <c r="B21" i="72" s="1"/>
  <c r="E14" i="74"/>
  <c r="F14" i="74"/>
  <c r="B5" i="74"/>
  <c r="E15" i="74"/>
  <c r="F15" i="74"/>
  <c r="B20" i="72" l="1"/>
  <c r="D6" i="53"/>
  <c r="B22" i="72" s="1"/>
  <c r="C78" i="9"/>
  <c r="C73" i="9" s="1"/>
  <c r="C85" i="9"/>
  <c r="D55" i="9"/>
  <c r="M53" i="9" s="1"/>
  <c r="C64" i="9"/>
  <c r="C63" i="9" s="1"/>
  <c r="C67" i="9" s="1"/>
  <c r="C68" i="9" s="1"/>
  <c r="D54" i="9" s="1"/>
  <c r="D53" i="9"/>
  <c r="C93" i="9"/>
  <c r="C86" i="9" s="1"/>
  <c r="D52" i="9"/>
  <c r="C72" i="9"/>
  <c r="D5" i="74"/>
  <c r="C5" i="74"/>
  <c r="M49" i="9"/>
  <c r="H108" i="9"/>
  <c r="D15" i="53" s="1"/>
  <c r="B31" i="72" s="1"/>
  <c r="D122" i="9"/>
  <c r="D13" i="53"/>
  <c r="C79" i="9" l="1"/>
  <c r="C80" i="9" s="1"/>
  <c r="E80" i="9" s="1"/>
  <c r="E81" i="9" s="1"/>
  <c r="D14" i="53"/>
  <c r="B32" i="72" s="1"/>
  <c r="B30" i="72"/>
  <c r="C95" i="9"/>
  <c r="D8" i="52"/>
  <c r="G14" i="74"/>
  <c r="B6" i="74" s="1"/>
  <c r="D123" i="9"/>
  <c r="D9" i="52" s="1"/>
  <c r="L68" i="9"/>
  <c r="M68" i="9" s="1"/>
  <c r="L65" i="9"/>
  <c r="M65" i="9" s="1"/>
  <c r="L66" i="9"/>
  <c r="M66" i="9" s="1"/>
  <c r="L64" i="9"/>
  <c r="M64" i="9" s="1"/>
  <c r="L67" i="9"/>
  <c r="M67" i="9" s="1"/>
  <c r="L63" i="9"/>
  <c r="M63" i="9" s="1"/>
  <c r="M69" i="9" l="1"/>
  <c r="N69" i="9" s="1"/>
  <c r="C81" i="9"/>
  <c r="C6" i="74"/>
  <c r="D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<sst xmlns="http://schemas.openxmlformats.org/spreadsheetml/2006/main" count="7508" uniqueCount="3189">
  <si>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</si>
  <si>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</si>
  <si>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</si>
  <si>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</si>
  <si>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</si>
  <si>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</si>
  <si>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</si>
  <si>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</si>
  <si>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</si>
  <si>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</si>
  <si>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</si>
  <si>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</si>
  <si>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</si>
  <si>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</si>
  <si>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</si>
  <si>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</si>
  <si>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</si>
  <si>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</si>
  <si>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</si>
  <si>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</si>
  <si>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</si>
  <si>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</si>
  <si>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</si>
  <si>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</si>
  <si>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</si>
  <si>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</si>
  <si>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</si>
  <si>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</si>
  <si>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</si>
  <si>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</si>
  <si>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</si>
  <si>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</si>
  <si>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</si>
  <si>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</si>
  <si>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</si>
  <si>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</si>
  <si>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</si>
  <si>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</si>
  <si>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</si>
  <si>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</si>
  <si>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</si>
  <si>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</si>
  <si>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</si>
  <si>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</si>
  <si>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</si>
  <si>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</si>
  <si>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</si>
  <si>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</si>
  <si>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</si>
  <si>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</si>
  <si>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</si>
  <si>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</si>
  <si>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</si>
  <si>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</si>
  <si>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</si>
  <si>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</si>
  <si>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</si>
  <si>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</si>
  <si>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</si>
  <si>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</si>
  <si>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</si>
  <si>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</si>
  <si>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</si>
  <si>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</si>
  <si>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</si>
  <si>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</si>
  <si>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</si>
  <si>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</si>
  <si>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</si>
  <si>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</si>
  <si>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</si>
  <si>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</si>
  <si>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</si>
  <si>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</si>
  <si>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</si>
  <si>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</si>
  <si>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</si>
  <si>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</si>
  <si>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</si>
  <si>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</si>
  <si>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</si>
  <si>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</si>
  <si>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</si>
  <si>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</si>
  <si>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</si>
  <si>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</si>
  <si>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</si>
  <si>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</si>
  <si>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</si>
  <si>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</si>
  <si>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</si>
  <si>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</si>
  <si>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</si>
  <si>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</si>
  <si>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</si>
  <si>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</si>
  <si>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</si>
  <si>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</si>
  <si>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</si>
  <si>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</si>
  <si>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</si>
  <si>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</si>
  <si>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</si>
  <si>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</si>
  <si>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</si>
  <si>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</si>
  <si>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</si>
  <si>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</si>
  <si>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</si>
  <si>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</si>
  <si>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</si>
  <si>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</si>
  <si>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</si>
  <si>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</si>
  <si>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</si>
  <si>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</si>
  <si>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</si>
  <si>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</si>
  <si>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</si>
  <si>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</si>
  <si>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</si>
  <si>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</si>
  <si>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</si>
  <si>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</si>
  <si>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</si>
  <si>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</si>
  <si>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</si>
  <si>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</si>
  <si>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</si>
  <si>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</si>
  <si>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</si>
  <si>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</si>
  <si>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</si>
  <si>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</si>
  <si>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</si>
  <si>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</si>
  <si>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</si>
  <si>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</si>
  <si>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</si>
  <si>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</si>
  <si>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</si>
  <si>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</si>
  <si>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</si>
  <si>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</si>
  <si>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</si>
  <si>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</si>
  <si>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</si>
  <si>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</si>
  <si>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</si>
  <si>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</si>
  <si>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</si>
  <si>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</si>
  <si>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</si>
  <si>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</si>
  <si>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</si>
  <si>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</si>
  <si>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</si>
  <si>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</si>
  <si>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</si>
  <si>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</si>
  <si>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</si>
  <si>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</si>
  <si>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</si>
  <si>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</si>
  <si>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</si>
  <si>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</si>
  <si>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</si>
  <si>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</si>
  <si>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</si>
  <si>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</si>
  <si>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</si>
  <si>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</si>
  <si>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</si>
  <si>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</si>
  <si>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</si>
  <si>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</si>
  <si>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</si>
  <si>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</si>
  <si>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</si>
  <si>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</si>
  <si>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</si>
  <si>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</si>
  <si>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</si>
  <si>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</si>
  <si>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</si>
  <si>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</si>
  <si>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</si>
  <si>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</si>
  <si>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</si>
  <si>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</si>
  <si>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</si>
  <si>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</si>
  <si>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</si>
  <si>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</si>
  <si>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</si>
  <si>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</si>
  <si>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</si>
  <si>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</si>
  <si>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</si>
  <si>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</si>
  <si>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</si>
  <si>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</si>
  <si>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</si>
  <si>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</si>
  <si>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</si>
  <si>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</si>
  <si>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</si>
  <si>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</si>
  <si>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</si>
  <si>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</si>
  <si>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</si>
  <si>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</si>
  <si>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</si>
  <si>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</si>
  <si>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</si>
  <si>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</si>
  <si>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</si>
  <si>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</si>
  <si>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</si>
  <si>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</si>
  <si>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</si>
  <si>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</si>
  <si>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</si>
  <si>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</si>
  <si>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</si>
  <si>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</si>
  <si>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</si>
  <si>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</si>
  <si>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</si>
  <si>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</si>
  <si>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</si>
  <si>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</si>
  <si>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</si>
  <si>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</si>
  <si>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</si>
  <si>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</si>
  <si>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</si>
  <si>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</si>
  <si>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</si>
  <si>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</si>
  <si>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</si>
  <si>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</si>
  <si>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</si>
  <si>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</si>
  <si>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</si>
  <si>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</si>
  <si>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</si>
  <si>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</si>
  <si>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</si>
  <si>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</si>
  <si>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</si>
  <si>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</si>
  <si>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</si>
  <si>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</si>
  <si>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</si>
  <si>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</si>
  <si>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</si>
  <si>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</si>
  <si>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</si>
  <si>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</si>
  <si>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</si>
  <si>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</si>
  <si>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</si>
  <si>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</si>
  <si>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</si>
  <si>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</si>
  <si>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</si>
  <si>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</si>
  <si>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</si>
  <si>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</si>
  <si>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</si>
  <si>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</si>
  <si>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</si>
  <si>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</si>
  <si>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</si>
  <si>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</si>
  <si>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</si>
  <si>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</si>
  <si>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</si>
  <si>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</si>
  <si>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</si>
  <si>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</si>
  <si>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</si>
  <si>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</si>
  <si>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</si>
  <si>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</si>
  <si>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</si>
  <si>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</si>
  <si>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</si>
  <si>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</si>
  <si>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</si>
  <si>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</si>
  <si>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</si>
  <si>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</si>
  <si>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</si>
  <si>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</si>
  <si>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</si>
  <si>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</si>
  <si>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</si>
  <si>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</si>
  <si>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</si>
  <si>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</si>
  <si>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</si>
  <si>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</si>
  <si>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</si>
  <si>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</si>
  <si>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</si>
  <si>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</si>
  <si>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</si>
  <si>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</si>
  <si>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</si>
  <si>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</si>
  <si>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</si>
  <si>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</si>
  <si>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</si>
  <si>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</si>
  <si>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</si>
  <si>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</si>
  <si>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</si>
  <si>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</si>
  <si>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</si>
  <si>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</si>
  <si>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</si>
  <si>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</si>
  <si>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</si>
  <si>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</si>
  <si>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</si>
  <si>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</si>
  <si>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</si>
  <si>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</si>
  <si>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</si>
  <si>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</si>
  <si>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</si>
  <si>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</si>
  <si>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</si>
  <si>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</si>
  <si>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</si>
  <si>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</si>
  <si>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</si>
  <si>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</si>
  <si>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</si>
  <si>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</si>
  <si>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</si>
  <si>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</si>
  <si>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</si>
  <si>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</si>
  <si>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</si>
  <si>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</si>
  <si>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</si>
  <si>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</si>
  <si>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</si>
  <si>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</si>
  <si>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</si>
  <si>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</si>
  <si>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</si>
  <si>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</si>
  <si>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</si>
  <si>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</si>
  <si>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</si>
  <si>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</si>
  <si>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</si>
  <si>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</si>
  <si>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</si>
  <si>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</si>
  <si>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</si>
  <si>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</si>
  <si>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</si>
  <si>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</si>
  <si>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</si>
  <si>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</si>
  <si>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</si>
  <si>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</si>
  <si>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</si>
  <si>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</si>
  <si>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</si>
  <si>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</si>
  <si>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</si>
  <si>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</si>
  <si>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</si>
  <si>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</si>
  <si>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</si>
  <si>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</si>
  <si>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</si>
  <si>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</si>
  <si>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</si>
  <si>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</si>
  <si>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</si>
  <si>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</si>
  <si>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</si>
  <si>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</si>
  <si>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</si>
  <si>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</si>
  <si>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</si>
  <si>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</si>
  <si>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</si>
  <si>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</si>
  <si>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</si>
  <si>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</si>
  <si>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</si>
  <si>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</si>
  <si>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</si>
  <si>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</si>
  <si>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</si>
  <si>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</si>
  <si>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</si>
  <si>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</si>
  <si>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</si>
  <si>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</si>
  <si>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</si>
  <si>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</si>
  <si>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</si>
  <si>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</si>
  <si>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</si>
  <si>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</si>
  <si>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</si>
  <si>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</si>
  <si>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</si>
  <si>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</si>
  <si>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</si>
  <si>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</si>
  <si>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</si>
  <si>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</si>
  <si>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</si>
  <si>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</si>
  <si>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</si>
  <si>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</si>
  <si>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</si>
  <si>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</si>
  <si>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</si>
  <si>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</si>
  <si>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</si>
  <si>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</si>
  <si>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</si>
  <si>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</si>
  <si>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</si>
  <si>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</si>
  <si>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</si>
  <si>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</si>
  <si>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</si>
  <si>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</si>
  <si>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</si>
  <si>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</si>
  <si>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</si>
  <si>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</si>
  <si>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</si>
  <si>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</si>
  <si>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</si>
  <si>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</si>
  <si>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</si>
  <si>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</si>
  <si>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</si>
  <si>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</si>
  <si>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</si>
  <si>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</si>
  <si>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</si>
  <si>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</si>
  <si>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</si>
  <si>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</si>
  <si>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</si>
  <si>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</si>
  <si>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</si>
  <si>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</si>
  <si>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</si>
  <si>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</si>
  <si>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</si>
  <si>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</si>
  <si>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</si>
  <si>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</si>
  <si>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</si>
  <si>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</si>
  <si>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</si>
  <si>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</si>
  <si>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</si>
  <si>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</si>
  <si>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</si>
  <si>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</si>
  <si>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</si>
  <si>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</si>
  <si>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</si>
  <si>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</si>
  <si>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</si>
  <si>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</si>
  <si>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</si>
  <si>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</si>
  <si>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</si>
  <si>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</si>
  <si>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</si>
  <si>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</si>
  <si>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</si>
  <si>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</si>
  <si>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</si>
  <si>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</si>
  <si>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</si>
  <si>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</si>
  <si>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</si>
  <si>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</si>
  <si>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</si>
  <si>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</si>
  <si>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</si>
  <si>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</si>
  <si>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</si>
  <si>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</si>
  <si>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</si>
  <si>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</si>
  <si>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</si>
  <si>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</si>
  <si>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</si>
  <si>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</si>
  <si>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</si>
  <si>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</si>
  <si>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</si>
  <si>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</si>
  <si>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</si>
  <si>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</si>
  <si>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</si>
  <si>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</si>
  <si>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</si>
  <si>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</si>
  <si>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</si>
  <si>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</si>
  <si>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</si>
  <si>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</si>
  <si>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</si>
  <si>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</si>
  <si>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</si>
  <si>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</si>
  <si>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</si>
  <si>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</si>
  <si>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</si>
  <si>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</si>
  <si>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</si>
  <si>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</si>
  <si>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</si>
  <si>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</si>
  <si>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</si>
  <si>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</si>
  <si>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</si>
  <si>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</si>
  <si>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</si>
  <si>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</si>
  <si>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</si>
  <si>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</si>
  <si>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</si>
  <si>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</si>
  <si>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</si>
  <si>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</si>
  <si>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</si>
  <si>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</si>
  <si>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</si>
  <si>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</si>
  <si>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</si>
  <si>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</si>
  <si>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</si>
  <si>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</si>
  <si>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</si>
  <si>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</si>
  <si>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</si>
  <si>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</si>
  <si>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</si>
  <si>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</si>
  <si>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</si>
  <si>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</si>
  <si>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</si>
  <si>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</si>
  <si>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</si>
  <si>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</si>
  <si>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</si>
  <si>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</si>
  <si>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</si>
  <si>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</si>
  <si>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</si>
  <si>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</si>
  <si>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</si>
  <si>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</si>
  <si>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</si>
  <si>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</si>
  <si>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</si>
  <si>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</si>
  <si>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</si>
  <si>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</si>
  <si>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</si>
  <si>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</si>
  <si>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</si>
  <si>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</si>
  <si>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</si>
  <si>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</si>
  <si>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</si>
  <si>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</si>
  <si>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</si>
  <si>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</si>
  <si>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</si>
  <si>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</si>
  <si>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</si>
  <si>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</si>
  <si>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</si>
  <si>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</si>
  <si>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</si>
  <si>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</si>
  <si>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</si>
  <si>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</si>
  <si>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</si>
  <si>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</si>
  <si>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</si>
  <si>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</si>
  <si>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</si>
  <si>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</si>
  <si>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</si>
  <si>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</si>
  <si>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</si>
  <si>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</si>
  <si>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</si>
  <si>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</si>
  <si>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</si>
  <si>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</si>
  <si>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</si>
  <si>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</si>
  <si>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</si>
  <si>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</si>
  <si>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</si>
  <si>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</si>
  <si>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</si>
  <si>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</si>
  <si>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</si>
  <si>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</si>
  <si>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</si>
  <si>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</si>
  <si>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</si>
  <si>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</si>
  <si>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</si>
  <si>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</si>
  <si>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</si>
  <si>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</si>
  <si>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</si>
  <si>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</si>
  <si>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</si>
  <si>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</si>
  <si>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</si>
  <si>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</si>
  <si>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</si>
  <si>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</si>
  <si>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</si>
  <si>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</si>
  <si>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</si>
  <si>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</si>
  <si>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</si>
  <si>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</si>
  <si>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</si>
  <si>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</si>
  <si>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</si>
  <si>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</si>
  <si>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</si>
  <si>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</si>
  <si>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</si>
  <si>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</si>
  <si>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</si>
  <si>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</si>
  <si>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</si>
  <si>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</si>
  <si>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</si>
  <si>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</si>
  <si>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</si>
  <si>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</si>
  <si>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</si>
  <si>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</si>
  <si>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</si>
  <si>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</si>
  <si>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</si>
  <si>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</si>
  <si>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</si>
  <si>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</si>
  <si>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</si>
  <si>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</si>
  <si>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</si>
  <si>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</si>
  <si>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</si>
  <si>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</si>
  <si>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</si>
  <si>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</si>
  <si>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</si>
  <si>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</si>
  <si>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</si>
  <si>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</si>
  <si>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</si>
  <si>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</si>
  <si>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</si>
  <si>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</si>
  <si>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</si>
  <si>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</si>
  <si>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</si>
  <si>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</si>
  <si>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</si>
  <si>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</si>
  <si>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</si>
  <si>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</si>
  <si>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</si>
  <si>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</si>
  <si>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</si>
  <si>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</si>
  <si>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</si>
  <si>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</si>
  <si>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</si>
  <si>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</si>
  <si>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</si>
  <si>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</si>
  <si>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</si>
  <si>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</si>
  <si>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</si>
  <si>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</si>
  <si>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</si>
  <si>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</si>
  <si>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</si>
  <si>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</si>
  <si>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</si>
  <si>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</si>
  <si>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</si>
  <si>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</si>
  <si>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</si>
  <si>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</si>
  <si>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</si>
  <si>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</si>
  <si>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</si>
  <si>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</si>
  <si>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</si>
  <si>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</si>
  <si>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</si>
  <si>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</si>
  <si>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</si>
  <si>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</si>
  <si>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</si>
  <si>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</si>
  <si>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</si>
  <si>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</si>
  <si>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</si>
  <si>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</si>
  <si>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</si>
  <si>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</si>
  <si>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</si>
  <si>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</si>
  <si>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</si>
  <si>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</si>
  <si>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</si>
  <si>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</si>
  <si>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</si>
  <si>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</si>
  <si>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</si>
  <si>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</si>
  <si>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</si>
  <si>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</si>
  <si>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</si>
  <si>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</si>
  <si>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</si>
  <si>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</si>
  <si>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</si>
  <si>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</si>
  <si>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</si>
  <si>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</si>
  <si>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</si>
  <si>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</si>
  <si>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</si>
  <si>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</si>
  <si>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</si>
  <si>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</si>
  <si>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</si>
  <si>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</si>
  <si>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</si>
  <si>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</si>
  <si>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</si>
  <si>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</si>
  <si>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</si>
  <si>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</si>
  <si>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</si>
  <si>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</si>
  <si>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</si>
  <si>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</si>
  <si>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</si>
  <si>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</si>
  <si>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</si>
  <si>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</si>
  <si>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</si>
  <si>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</si>
  <si>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</si>
  <si>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</si>
  <si>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</si>
  <si>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</si>
  <si>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</si>
  <si>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</si>
  <si>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</si>
  <si>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</si>
  <si>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</si>
  <si>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</si>
  <si>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</si>
  <si>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</si>
  <si>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</si>
  <si>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</si>
  <si>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</si>
  <si>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</si>
  <si>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</si>
  <si>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</si>
  <si>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</si>
  <si>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</si>
  <si>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</si>
  <si>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</si>
  <si>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</si>
  <si>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</si>
  <si>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</si>
  <si>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</si>
  <si>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</si>
  <si>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</si>
  <si>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</si>
  <si>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</si>
  <si>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</si>
  <si>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</si>
  <si>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</si>
  <si>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</si>
  <si>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</si>
  <si>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</si>
  <si>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</si>
  <si>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</si>
  <si>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</si>
  <si>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</si>
  <si>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</si>
  <si>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</si>
  <si>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</si>
  <si>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</si>
  <si>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</si>
  <si>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</si>
  <si>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</si>
  <si>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</si>
  <si>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</si>
  <si>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</si>
  <si>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</si>
  <si>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</si>
  <si>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</si>
  <si>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</si>
  <si>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</si>
  <si>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</si>
  <si>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</si>
  <si>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</si>
  <si>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</si>
  <si>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</si>
  <si>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</si>
  <si>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</si>
  <si>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</si>
  <si>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</si>
  <si>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</si>
  <si>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</si>
  <si>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</si>
  <si>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</si>
  <si>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</si>
  <si>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</si>
  <si>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</si>
  <si>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</si>
  <si>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</si>
  <si>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</si>
  <si>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</si>
  <si>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</si>
  <si>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</si>
  <si>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</si>
  <si>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</si>
  <si>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</si>
  <si>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</si>
  <si>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</si>
  <si>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</si>
  <si>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</si>
  <si>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</si>
  <si>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</si>
  <si>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</si>
  <si>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</si>
  <si>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</si>
  <si>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</si>
  <si>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</si>
  <si>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</si>
  <si>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</si>
  <si>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</si>
  <si>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</si>
  <si>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</si>
  <si>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</si>
  <si>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</si>
  <si>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</si>
  <si>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</si>
  <si>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</si>
  <si>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</si>
  <si>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</si>
  <si>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</si>
  <si>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</si>
  <si>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</si>
  <si>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</si>
  <si>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</si>
  <si>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</si>
  <si>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</si>
  <si>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</si>
  <si>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</si>
  <si>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</si>
  <si>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</si>
  <si>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</si>
  <si>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</si>
  <si>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</si>
  <si>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</si>
  <si>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</si>
  <si>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</si>
  <si>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</si>
  <si>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</si>
  <si>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</si>
  <si>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</si>
  <si>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</si>
  <si>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</si>
  <si>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</si>
  <si>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</si>
  <si>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</si>
  <si>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</si>
  <si>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</si>
  <si>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</si>
  <si>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</si>
  <si>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</si>
  <si>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</si>
  <si>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</si>
  <si>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</si>
  <si>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</si>
  <si>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</si>
  <si>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</si>
  <si>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</si>
  <si>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</si>
  <si>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</si>
  <si>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</si>
  <si>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</si>
  <si>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</si>
  <si>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</si>
  <si>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</si>
  <si>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</si>
  <si>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</si>
  <si>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</si>
  <si>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</si>
  <si>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</si>
  <si>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</si>
  <si>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</si>
  <si>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</si>
  <si>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</si>
  <si>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</si>
  <si>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</si>
  <si>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</si>
  <si>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</si>
  <si>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</si>
  <si>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</si>
  <si>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</si>
  <si>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</si>
  <si>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</si>
  <si>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</si>
  <si>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</si>
  <si>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</si>
  <si>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</si>
  <si>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</si>
  <si>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</si>
  <si>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</si>
  <si>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</si>
  <si>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</si>
  <si>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</si>
  <si>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</si>
  <si>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</si>
  <si>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</si>
  <si>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</si>
  <si>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</si>
  <si>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</si>
  <si>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</si>
  <si>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</si>
  <si>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</si>
  <si>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</si>
  <si>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</si>
  <si>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</si>
  <si>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</si>
  <si>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</si>
  <si>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</si>
  <si>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</si>
  <si>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</si>
  <si>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</si>
  <si>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</si>
  <si>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</si>
  <si>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</si>
  <si>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</si>
  <si>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</si>
  <si>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</si>
  <si>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</si>
  <si>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</si>
  <si>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</si>
  <si>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</si>
  <si>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</si>
  <si>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</si>
  <si>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</si>
  <si>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</si>
  <si>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</si>
  <si>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</si>
  <si>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</si>
  <si>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</si>
  <si>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</si>
  <si>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</si>
  <si>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</si>
  <si>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</si>
  <si>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</si>
  <si>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</si>
  <si>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</si>
  <si>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</si>
  <si>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</si>
  <si>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</si>
  <si>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</si>
  <si>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</si>
  <si>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</si>
  <si>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</si>
  <si>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</si>
  <si>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</si>
  <si>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</si>
  <si>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</si>
  <si>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</si>
  <si>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</si>
  <si>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</si>
  <si>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</si>
  <si>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</si>
  <si>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</si>
  <si>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</si>
  <si>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</si>
  <si>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</si>
  <si>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</si>
  <si>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</si>
  <si>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</si>
  <si>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</si>
  <si>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</si>
  <si>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</si>
  <si>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</si>
  <si>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</si>
  <si>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</si>
  <si>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</si>
  <si>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</si>
  <si>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</si>
  <si>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</si>
  <si>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</si>
  <si>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</si>
  <si>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</si>
  <si>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</si>
  <si>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</si>
  <si>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</si>
  <si>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</si>
  <si>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</si>
  <si>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</si>
  <si>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</si>
  <si>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</si>
  <si>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</si>
  <si>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</si>
  <si>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</si>
  <si>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</si>
  <si>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</si>
  <si>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</si>
  <si>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</si>
  <si>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</si>
  <si>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</si>
  <si>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</si>
  <si>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</si>
  <si>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</si>
  <si>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</si>
  <si>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</si>
  <si>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</si>
  <si>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</si>
  <si>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</si>
  <si>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</si>
  <si>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</si>
  <si>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</si>
  <si>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</si>
  <si>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</si>
  <si>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</si>
  <si>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</si>
  <si>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</si>
  <si>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</si>
  <si>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</si>
  <si>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</si>
  <si>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</si>
  <si>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</si>
  <si>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</si>
  <si>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</si>
  <si>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</si>
  <si>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</si>
  <si>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</si>
  <si>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</si>
  <si>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</si>
  <si>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</si>
  <si>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</si>
  <si>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</si>
  <si>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</si>
  <si>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</si>
  <si>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</si>
  <si>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</si>
  <si>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</si>
  <si>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</si>
  <si>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</si>
  <si>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</si>
  <si>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</si>
  <si>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</si>
  <si>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</si>
  <si>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</si>
  <si>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</si>
  <si>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</si>
  <si>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</si>
  <si>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</si>
  <si>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</si>
  <si>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</si>
  <si>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</si>
  <si>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</si>
  <si>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</si>
  <si>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</si>
  <si>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</si>
  <si>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</si>
  <si>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</si>
  <si>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</si>
  <si>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</si>
  <si>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</si>
  <si>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</si>
  <si>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</si>
  <si>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</si>
  <si>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</si>
  <si>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</si>
  <si>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</si>
  <si>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</si>
  <si>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</si>
  <si>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</si>
  <si>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</si>
  <si>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</si>
  <si>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</si>
  <si>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</si>
  <si>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</si>
  <si>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</si>
  <si>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</si>
  <si>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</si>
  <si>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</si>
  <si>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</si>
  <si>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</si>
  <si>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</si>
  <si>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</si>
  <si>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</si>
  <si>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</si>
  <si>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</si>
  <si>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</si>
  <si>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</si>
  <si>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</si>
  <si>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</si>
  <si>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</si>
  <si>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</si>
  <si>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</si>
  <si>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</si>
  <si>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</si>
  <si>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</si>
  <si>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</si>
  <si>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</si>
  <si>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</si>
  <si>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</si>
  <si>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</si>
  <si>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</si>
  <si>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</si>
  <si>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</si>
  <si>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</si>
  <si>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</si>
  <si>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</si>
  <si>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</si>
  <si>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</si>
  <si>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</si>
  <si>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</si>
  <si>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</si>
  <si>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</si>
  <si>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</si>
  <si>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</si>
  <si>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</si>
  <si>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</si>
  <si>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</si>
  <si>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</si>
  <si>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</si>
  <si>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</si>
  <si>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</si>
  <si>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</si>
  <si>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</si>
  <si>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</si>
  <si>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</si>
  <si>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</si>
  <si>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</si>
  <si>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</si>
  <si>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</si>
  <si>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</si>
  <si>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</si>
  <si>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</si>
  <si>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</si>
  <si>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</si>
  <si>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</si>
  <si>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</si>
  <si>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</si>
  <si>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</si>
  <si>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</si>
  <si>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</si>
  <si>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</si>
  <si>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</si>
  <si>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</si>
  <si>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</si>
  <si>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</si>
  <si>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</si>
  <si>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</si>
  <si>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</si>
  <si>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</si>
  <si>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</si>
  <si>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</si>
  <si>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</si>
  <si>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</si>
  <si>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</si>
  <si>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</si>
  <si>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</si>
  <si>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</si>
  <si>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</si>
  <si>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</si>
  <si>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</si>
  <si>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</si>
  <si>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</si>
  <si>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</si>
  <si>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</si>
  <si>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</si>
  <si>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</si>
  <si>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</si>
  <si>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</si>
  <si>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</si>
  <si>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</si>
  <si>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</si>
  <si>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</si>
  <si>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</si>
  <si>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</si>
  <si>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</si>
  <si>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</si>
  <si>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</si>
  <si>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</si>
  <si>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</si>
  <si>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</si>
  <si>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</si>
  <si>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</si>
  <si>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</si>
  <si>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</si>
  <si>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</si>
  <si>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</si>
  <si>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</si>
  <si>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</si>
  <si>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</si>
  <si>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</si>
  <si>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</si>
  <si>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</si>
  <si>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</si>
  <si>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</si>
  <si>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</si>
  <si>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</si>
  <si>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</si>
  <si>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</si>
  <si>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</si>
  <si>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</si>
  <si>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</si>
  <si>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</si>
  <si>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</si>
  <si>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</si>
  <si>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</si>
  <si>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</si>
  <si>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</si>
  <si>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</si>
  <si>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</si>
  <si>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</si>
  <si>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</si>
  <si>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</si>
  <si>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</si>
  <si>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</si>
  <si>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</si>
  <si>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</si>
  <si>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</si>
  <si>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</si>
  <si>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</si>
  <si>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</si>
  <si>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</si>
  <si>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</si>
  <si>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</si>
  <si>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</si>
  <si>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</si>
  <si>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</si>
  <si>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</si>
  <si>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</si>
  <si>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</si>
  <si>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</si>
  <si>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</si>
  <si>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</si>
  <si>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</si>
  <si>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</si>
  <si>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</si>
  <si>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</si>
  <si>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</si>
  <si>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</si>
  <si>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</si>
  <si>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</si>
  <si>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</si>
  <si>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</si>
  <si>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</si>
  <si>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</si>
  <si>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</si>
  <si>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</si>
  <si>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</si>
  <si>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</si>
  <si>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</si>
  <si>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</si>
  <si>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</si>
  <si>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</si>
  <si>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</si>
  <si>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</si>
  <si>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</si>
  <si>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</si>
  <si>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</si>
  <si>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</si>
  <si>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</si>
  <si>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</si>
  <si>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</si>
  <si>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</si>
  <si>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</si>
  <si>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</si>
  <si>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</si>
  <si>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</si>
  <si>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</si>
  <si>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</si>
  <si>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</si>
  <si>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</si>
  <si>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</si>
  <si>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</si>
  <si>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</si>
  <si>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</si>
  <si>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</si>
  <si>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</si>
  <si>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</si>
  <si>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</si>
  <si>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</si>
  <si>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</si>
  <si>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</si>
  <si>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</si>
  <si>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</si>
  <si>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</si>
  <si>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</si>
  <si>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</si>
  <si>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</si>
  <si>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</si>
  <si>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</si>
  <si>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</si>
  <si>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</si>
  <si>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</si>
  <si>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</si>
  <si>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</si>
  <si>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</si>
  <si>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</si>
  <si>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</si>
  <si>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</si>
  <si>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</si>
  <si>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</si>
  <si>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</si>
  <si>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</si>
  <si>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</si>
  <si>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</si>
  <si>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</si>
  <si>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</si>
  <si>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</si>
  <si>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</si>
  <si>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</si>
  <si>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</si>
  <si>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</si>
  <si>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</si>
  <si>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</si>
  <si>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</si>
  <si>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</si>
  <si>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</si>
  <si>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</si>
  <si>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</si>
  <si>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</si>
  <si>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</si>
  <si>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</si>
  <si>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</si>
  <si>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</si>
  <si>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</si>
  <si>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</si>
  <si>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</si>
  <si>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</si>
  <si>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</si>
  <si>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</si>
  <si>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</si>
  <si>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</si>
  <si>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</si>
  <si>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</si>
  <si>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</si>
  <si>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</si>
  <si>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</si>
  <si>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</si>
  <si>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</si>
  <si>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</si>
  <si>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</si>
  <si>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</si>
  <si>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</si>
  <si>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</si>
  <si>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</si>
  <si>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</si>
  <si>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</si>
  <si>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</si>
  <si>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</si>
  <si>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</si>
  <si>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</si>
  <si>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</si>
  <si>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</si>
  <si>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</si>
  <si>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</si>
  <si>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</si>
  <si>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</si>
  <si>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</si>
  <si>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</si>
  <si>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</si>
  <si>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</si>
  <si>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</si>
  <si>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</si>
  <si>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</si>
  <si>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</si>
  <si>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</si>
  <si>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</si>
  <si>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</si>
  <si>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</si>
  <si>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</si>
  <si>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</si>
  <si>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</si>
  <si>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</si>
  <si>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</si>
  <si>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</si>
  <si>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</si>
  <si>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</si>
  <si>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</si>
  <si>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</si>
  <si>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</si>
  <si>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</si>
  <si>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</si>
  <si>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</si>
  <si>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</si>
  <si>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</si>
  <si>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</si>
  <si>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</si>
  <si>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</si>
  <si>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</si>
  <si>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</si>
  <si>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</si>
  <si>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</si>
  <si>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</si>
  <si>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</si>
  <si>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</si>
  <si>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</si>
  <si>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</si>
  <si>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</si>
  <si>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</si>
  <si>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</si>
  <si>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</si>
  <si>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</si>
  <si>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</si>
  <si>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</si>
  <si>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</si>
  <si>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</si>
  <si>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</si>
  <si>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</si>
  <si>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</si>
  <si>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</si>
  <si>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</si>
  <si>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</si>
  <si>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</si>
  <si>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</si>
  <si>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</si>
  <si>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</si>
  <si>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</si>
  <si>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</si>
  <si>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</si>
  <si>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</si>
  <si>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</si>
  <si>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</si>
  <si>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</si>
  <si>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</si>
  <si>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</si>
  <si>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</si>
  <si>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</si>
  <si>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</si>
  <si>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</si>
  <si>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</si>
  <si>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</si>
  <si>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</si>
  <si>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</si>
  <si>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</si>
  <si>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</si>
  <si>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</si>
  <si>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</si>
  <si>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</si>
  <si>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</si>
  <si>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</si>
  <si>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</si>
  <si>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</si>
  <si>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</si>
  <si>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</si>
  <si>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</si>
  <si>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</si>
  <si>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</si>
  <si>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</si>
  <si>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</si>
  <si>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</si>
  <si>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</si>
  <si>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</si>
  <si>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</si>
  <si>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</si>
  <si>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</si>
  <si>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</si>
  <si>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</si>
  <si>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</si>
  <si>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</si>
  <si>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</si>
  <si>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</si>
  <si>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</si>
  <si>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</si>
  <si>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</si>
  <si>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</si>
  <si>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</si>
  <si>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</si>
  <si>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</si>
  <si>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</si>
  <si>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</si>
  <si>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</si>
  <si>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</si>
  <si>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</si>
  <si>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</si>
  <si>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</si>
  <si>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</si>
  <si>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</si>
  <si>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</si>
  <si>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</si>
  <si>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</si>
  <si>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</si>
  <si>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</si>
  <si>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</si>
  <si>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</si>
  <si>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</si>
  <si>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</si>
  <si>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</si>
  <si>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</si>
  <si>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</si>
  <si>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</si>
  <si>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</si>
  <si>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</si>
  <si>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</si>
  <si>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</si>
  <si>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</si>
  <si>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</si>
  <si>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</si>
  <si>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</si>
  <si>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</si>
  <si>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</si>
  <si>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</si>
  <si>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</si>
  <si>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</si>
  <si>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</si>
  <si>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</si>
  <si>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</si>
  <si>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</si>
  <si>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</si>
  <si>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</si>
  <si>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</si>
  <si>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</si>
  <si>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</si>
  <si>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</si>
  <si>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</si>
  <si>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</si>
  <si>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</si>
  <si>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</si>
  <si>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</si>
  <si>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</si>
  <si>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</si>
  <si>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</si>
  <si>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</si>
  <si>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</si>
  <si>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</si>
  <si>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</si>
  <si>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</si>
  <si>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</si>
  <si>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</si>
  <si>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</si>
  <si>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</si>
  <si>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</si>
  <si>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</si>
  <si>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</si>
  <si>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</si>
  <si>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</si>
  <si>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</si>
  <si>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</si>
  <si>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</si>
  <si>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</si>
  <si>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</si>
  <si>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</si>
  <si>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</si>
  <si>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</si>
  <si>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</si>
  <si>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</si>
  <si>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</si>
  <si>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</si>
  <si>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</si>
  <si>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</si>
  <si>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</si>
  <si>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</si>
  <si>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</si>
  <si>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</si>
  <si>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</si>
  <si>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</si>
  <si>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</si>
  <si>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</si>
  <si>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</si>
  <si>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</si>
  <si>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</si>
  <si>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</si>
  <si>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</si>
  <si>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</si>
  <si>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</si>
  <si>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</si>
  <si>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</si>
  <si>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</si>
  <si>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</si>
  <si>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</si>
  <si>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</si>
  <si>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</si>
  <si>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</si>
  <si>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</si>
  <si>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</si>
  <si>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</si>
  <si>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</si>
  <si>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</si>
  <si>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</si>
  <si>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</si>
  <si>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</si>
  <si>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</si>
  <si>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</si>
  <si>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</si>
  <si>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</si>
  <si>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</si>
  <si>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</si>
  <si>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</si>
  <si>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</si>
  <si>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</si>
  <si>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</si>
  <si>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</si>
  <si>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</si>
  <si>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</si>
  <si>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</si>
  <si>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</si>
  <si>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</si>
  <si>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</si>
  <si>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</si>
  <si>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</si>
  <si>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</si>
  <si>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</si>
  <si>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</si>
  <si>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</si>
  <si>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</si>
  <si>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</si>
  <si>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</si>
  <si>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</si>
  <si>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</si>
  <si>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</si>
  <si>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</si>
  <si>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</si>
  <si>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</si>
  <si>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</si>
  <si>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</si>
  <si>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</si>
  <si>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</si>
  <si>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</si>
  <si>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</si>
  <si>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</si>
  <si>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</si>
  <si>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</si>
  <si>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</si>
  <si>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</si>
  <si>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</si>
  <si>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</si>
  <si>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</si>
  <si>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</si>
  <si>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</si>
  <si>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</si>
  <si>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</si>
  <si>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</si>
  <si>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</si>
  <si>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</si>
  <si>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</si>
  <si>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</si>
  <si>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</si>
  <si>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</si>
  <si>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</si>
  <si>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</si>
  <si>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</si>
  <si>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</si>
  <si>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</si>
  <si>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</si>
  <si>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</si>
  <si>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</si>
  <si>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</si>
  <si>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</si>
  <si>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</si>
  <si>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</si>
  <si>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</si>
  <si>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</si>
  <si>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</si>
  <si>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</si>
  <si>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</si>
  <si>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</si>
  <si>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</si>
  <si>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</si>
  <si>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</si>
  <si>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</si>
  <si>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</si>
  <si>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</si>
  <si>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</si>
  <si>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</si>
  <si>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</si>
  <si>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</si>
  <si>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</si>
  <si>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</si>
  <si>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</si>
  <si>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</si>
  <si>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</si>
  <si>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</si>
  <si>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</si>
  <si>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</si>
  <si>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</si>
  <si>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</si>
  <si>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</si>
  <si>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</si>
  <si>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</si>
  <si>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</si>
  <si>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</si>
  <si>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</si>
  <si>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</si>
  <si>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</si>
  <si>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</si>
  <si>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</si>
  <si>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</si>
  <si>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</si>
  <si>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</si>
  <si>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</si>
  <si>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</si>
  <si>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</si>
  <si>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</si>
  <si>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</si>
  <si>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</si>
  <si>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</si>
  <si>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</si>
  <si>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</si>
  <si>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</si>
  <si>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</si>
  <si>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</si>
  <si>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</si>
  <si>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</si>
  <si>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</si>
  <si>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</si>
  <si>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</si>
  <si>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</si>
  <si>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</si>
  <si>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</si>
  <si>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</si>
  <si>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</si>
  <si>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</si>
  <si>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</si>
  <si>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</si>
  <si>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</si>
  <si>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</si>
  <si>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</si>
  <si>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</si>
  <si>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</si>
  <si>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</si>
  <si>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</si>
  <si>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</si>
  <si>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</si>
  <si>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</si>
  <si>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</si>
  <si>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</si>
  <si>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</si>
  <si>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</si>
  <si>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</si>
  <si>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</si>
  <si>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</si>
  <si>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</si>
  <si>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</si>
  <si>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</si>
  <si>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</si>
  <si>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</si>
  <si>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</si>
  <si>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</si>
  <si>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</si>
  <si>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</si>
  <si>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</si>
  <si>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</si>
  <si>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</si>
  <si>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</si>
  <si>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</si>
  <si>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</si>
  <si>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</si>
  <si>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</si>
  <si>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</si>
  <si>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</si>
  <si>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</si>
  <si>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</si>
  <si>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</si>
  <si>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</si>
  <si>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</si>
  <si>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</si>
  <si>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</si>
  <si>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</si>
  <si>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</si>
  <si>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</si>
  <si>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</si>
  <si>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</si>
  <si>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</si>
  <si>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</si>
  <si>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</si>
  <si>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</si>
  <si>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</si>
  <si>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</si>
  <si>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</si>
  <si>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</si>
  <si>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</si>
  <si>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</si>
  <si>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</si>
  <si>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</si>
  <si>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</si>
  <si>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</si>
  <si>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</si>
  <si>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</si>
  <si>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</si>
  <si>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</si>
  <si>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</si>
  <si>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</si>
  <si>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</si>
  <si>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</si>
  <si>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</si>
  <si>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</si>
  <si>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</si>
  <si>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</si>
  <si>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</si>
  <si>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</si>
  <si>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</si>
  <si>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</si>
  <si>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</si>
  <si>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</si>
  <si>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</si>
  <si>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</si>
  <si>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</si>
  <si>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</si>
  <si>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</si>
  <si>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</si>
  <si>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</si>
  <si>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</si>
  <si>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</si>
  <si>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</si>
  <si>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</si>
  <si>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</si>
  <si>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</si>
  <si>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</si>
  <si>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</si>
  <si>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</si>
  <si>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</si>
  <si>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</si>
  <si>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</si>
  <si>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</si>
  <si>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</si>
  <si>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</si>
  <si>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</si>
  <si>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</si>
  <si>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</si>
  <si>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</si>
  <si>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</si>
  <si>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</si>
  <si>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</si>
  <si>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</si>
  <si>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</si>
  <si>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</si>
  <si>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</si>
  <si>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</si>
  <si>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</si>
  <si>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</si>
  <si>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</si>
  <si>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</si>
  <si>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</si>
  <si>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</si>
  <si>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</si>
  <si>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</si>
  <si>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</si>
  <si>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</si>
  <si>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</si>
  <si>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</si>
  <si>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</si>
  <si>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</si>
  <si>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</si>
  <si>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</si>
  <si>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</si>
  <si>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</si>
  <si>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</si>
  <si>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</si>
  <si>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</si>
  <si>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</si>
  <si>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</si>
  <si>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</si>
  <si>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</si>
  <si>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</si>
  <si>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</si>
  <si>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</si>
  <si>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</si>
  <si>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</si>
  <si>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</si>
  <si>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</si>
  <si>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</si>
  <si>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</si>
  <si>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</si>
  <si>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</si>
  <si>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</si>
  <si>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</si>
  <si>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</si>
  <si>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</si>
  <si>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</si>
  <si>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</si>
  <si>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</si>
  <si>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</si>
  <si>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</si>
  <si>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</si>
  <si>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</si>
  <si>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</si>
  <si>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</si>
  <si>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</si>
  <si>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</si>
  <si>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</si>
  <si>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</si>
  <si>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</si>
  <si>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</si>
  <si>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</si>
  <si>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</si>
  <si>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</si>
  <si>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</si>
  <si>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</si>
  <si>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</si>
  <si>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</si>
  <si>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</si>
  <si>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</si>
  <si>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</si>
  <si>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</si>
  <si>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</si>
  <si>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</si>
  <si>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</si>
  <si>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</si>
  <si>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</si>
  <si>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</si>
  <si>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</si>
  <si>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</si>
  <si>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</si>
  <si>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</si>
  <si>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</si>
  <si>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</si>
  <si>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</si>
  <si>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</si>
  <si>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</si>
  <si>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</si>
  <si>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</si>
  <si>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</si>
  <si>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</si>
  <si>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</si>
  <si>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</si>
  <si>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</si>
  <si>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</si>
  <si>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</si>
  <si>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</si>
  <si>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</si>
  <si>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</si>
  <si>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</si>
  <si>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</si>
  <si>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</si>
  <si>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</si>
  <si>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</si>
  <si>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</si>
  <si>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</si>
  <si>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</si>
  <si>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</si>
  <si>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</si>
  <si>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</si>
  <si>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</si>
  <si>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</si>
  <si>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</si>
  <si>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</si>
  <si>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</si>
  <si>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</si>
  <si>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</si>
  <si>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</si>
  <si>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</si>
  <si>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</si>
  <si>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</si>
  <si>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</si>
  <si>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</si>
  <si>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</si>
  <si>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</si>
  <si>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</si>
  <si>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</si>
  <si>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</si>
  <si>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</si>
  <si>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</si>
  <si>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</si>
  <si>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</si>
  <si>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</si>
  <si>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</si>
  <si>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</si>
  <si>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</si>
  <si>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</si>
  <si>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</si>
  <si>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</si>
  <si>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</si>
  <si>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</si>
  <si>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</si>
  <si>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</si>
  <si>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</si>
  <si>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</si>
  <si>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</si>
  <si>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</si>
  <si>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</si>
  <si>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</si>
  <si>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</si>
  <si>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</si>
  <si>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</si>
  <si>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</si>
  <si>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</si>
  <si>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</si>
  <si>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</si>
  <si>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</si>
  <si>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</si>
  <si>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</si>
  <si>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</si>
  <si>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</si>
  <si>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</si>
  <si>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</si>
  <si>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</si>
  <si>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</si>
  <si>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</si>
  <si>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</si>
  <si>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</si>
  <si>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</si>
  <si>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</si>
  <si>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</si>
  <si>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</si>
  <si>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</si>
  <si>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</si>
  <si>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</si>
  <si>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</si>
  <si>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</si>
  <si>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</si>
  <si>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</si>
  <si>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</si>
  <si>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</si>
  <si>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</si>
  <si>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</si>
  <si>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</si>
  <si>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</si>
  <si>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</si>
  <si>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</si>
  <si>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</si>
  <si>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</si>
  <si>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</si>
  <si>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</si>
  <si>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</si>
  <si>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</si>
  <si>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</si>
  <si>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</si>
  <si>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</si>
  <si>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</si>
  <si>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</si>
  <si>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</si>
  <si>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</si>
  <si>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</si>
  <si>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</si>
  <si>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</si>
  <si>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</si>
  <si>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</si>
  <si>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</si>
  <si>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</si>
  <si>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</si>
  <si>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</si>
  <si>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</si>
  <si>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</si>
  <si>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</si>
  <si>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</si>
  <si>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</si>
  <si>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</si>
  <si>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</si>
  <si>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</si>
  <si>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</si>
  <si>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</si>
  <si>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</si>
  <si>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</si>
  <si>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</si>
  <si>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</si>
  <si>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</si>
  <si>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</si>
  <si>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</si>
  <si>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</si>
  <si>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</si>
  <si>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</si>
  <si>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</si>
  <si>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</si>
  <si>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</si>
  <si>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</si>
  <si>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</si>
  <si>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</si>
  <si>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</si>
  <si>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</si>
  <si>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</si>
  <si>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</si>
  <si>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</si>
  <si>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</si>
  <si>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</si>
  <si>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</si>
  <si>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</si>
  <si>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</si>
  <si>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</si>
  <si>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</si>
  <si>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</si>
  <si>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</si>
  <si>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</si>
  <si>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</si>
  <si>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</si>
  <si>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</si>
  <si>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</si>
  <si>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</si>
  <si>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</si>
  <si>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</si>
  <si>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</si>
  <si>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</si>
  <si>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</si>
  <si>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</si>
  <si>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</si>
  <si>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</si>
  <si>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</si>
  <si>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</si>
  <si>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</si>
  <si>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</si>
  <si>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</si>
  <si>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</si>
  <si>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</si>
  <si>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</si>
  <si>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</si>
  <si>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</si>
  <si>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</si>
  <si>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</si>
  <si>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</si>
  <si>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</si>
  <si>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</si>
  <si>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</si>
  <si>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</si>
  <si>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</si>
  <si>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</si>
  <si>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</si>
  <si>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</si>
  <si>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</si>
  <si>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</si>
  <si>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</si>
  <si>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</si>
  <si>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</si>
  <si>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</si>
  <si>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</si>
  <si>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</si>
  <si>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</si>
  <si>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</si>
  <si>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</si>
  <si>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</si>
  <si>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</si>
  <si>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</si>
  <si>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</si>
  <si>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</si>
  <si>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</si>
  <si>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</si>
  <si>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</si>
  <si>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</si>
  <si>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</si>
  <si>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</si>
  <si>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</si>
  <si>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</si>
  <si>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</si>
  <si>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</si>
  <si>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</si>
  <si>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</si>
  <si>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</si>
  <si>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</si>
  <si>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</si>
  <si>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</si>
  <si>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</si>
  <si>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</si>
  <si>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</si>
  <si>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</si>
  <si>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</si>
  <si>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</si>
  <si>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</si>
  <si>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</si>
  <si>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</si>
  <si>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</si>
  <si>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</si>
  <si>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</si>
  <si>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</si>
  <si>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</si>
  <si>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</si>
  <si>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</si>
  <si>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</si>
  <si>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</si>
  <si>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</si>
  <si>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</si>
  <si>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</si>
  <si>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</si>
  <si>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</si>
  <si>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</si>
  <si>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</si>
  <si>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</si>
  <si>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</si>
  <si>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</si>
  <si>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</si>
  <si>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</si>
  <si>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</si>
  <si>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</si>
  <si>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</si>
  <si>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</si>
  <si>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</si>
  <si>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</si>
  <si>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</si>
  <si>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</si>
  <si>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</si>
  <si>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</si>
  <si>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</si>
  <si>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</si>
  <si>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</si>
  <si>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</si>
  <si>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</si>
  <si>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</si>
  <si>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</si>
  <si>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</si>
  <si>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</si>
  <si>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</si>
  <si>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</si>
  <si>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</si>
  <si>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</si>
  <si>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</si>
  <si>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</si>
  <si>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</si>
  <si>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</si>
  <si>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</si>
  <si>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</si>
  <si>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</si>
  <si>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</si>
  <si>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</si>
  <si>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</si>
  <si>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</si>
  <si>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</si>
  <si>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</si>
  <si>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</si>
  <si>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</si>
  <si>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</si>
  <si>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</si>
  <si>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</si>
  <si>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</si>
  <si>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</si>
  <si>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</si>
  <si>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</si>
  <si>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</si>
  <si>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</si>
  <si>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</si>
  <si>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</si>
  <si>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</si>
  <si>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</si>
  <si>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</si>
  <si>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</si>
  <si>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</si>
  <si>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</si>
  <si>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</si>
  <si>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</si>
  <si>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</si>
  <si>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</si>
  <si>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</si>
  <si>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</si>
  <si>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</si>
  <si>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</si>
  <si>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</si>
  <si>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</si>
  <si>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</si>
  <si>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</si>
  <si>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</si>
  <si>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</si>
  <si>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</si>
  <si>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</si>
  <si>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</si>
  <si>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</si>
  <si>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</si>
  <si>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</si>
  <si>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</si>
  <si>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</si>
  <si>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</si>
  <si>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</si>
  <si>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</si>
  <si>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</si>
  <si>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</si>
  <si>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</si>
  <si>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</si>
  <si>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</si>
  <si>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</si>
  <si>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</si>
  <si>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</si>
  <si>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</si>
  <si>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</si>
  <si>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</si>
  <si>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</si>
  <si>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</si>
  <si>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</si>
  <si>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</si>
  <si>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</si>
  <si>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</si>
  <si>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</si>
  <si>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</si>
  <si>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</si>
  <si>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</si>
  <si>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</si>
  <si>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</si>
  <si>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</si>
  <si>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</si>
  <si>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</si>
  <si>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</si>
  <si>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</si>
  <si>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</si>
  <si>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</si>
  <si>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</si>
  <si>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</si>
  <si>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</si>
  <si>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</si>
  <si>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</si>
  <si>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</si>
  <si>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</si>
  <si>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</si>
  <si>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</si>
  <si>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</si>
  <si>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</si>
  <si>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</si>
  <si>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</si>
  <si>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</si>
  <si>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</si>
  <si>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</si>
  <si>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</si>
  <si>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</si>
  <si>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</si>
  <si>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</si>
  <si>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</si>
  <si>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</si>
  <si>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</si>
  <si>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</si>
  <si>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</si>
  <si>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</si>
  <si>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</si>
  <si>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</si>
  <si>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</si>
  <si>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</si>
  <si>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</si>
  <si>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</si>
  <si>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</si>
  <si>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</si>
  <si>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</si>
  <si>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</si>
  <si>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</si>
  <si>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</si>
  <si>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</si>
  <si>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</si>
  <si>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</si>
  <si>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</si>
  <si>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</si>
  <si>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</si>
  <si>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</si>
  <si>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</si>
  <si>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</si>
  <si>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</si>
  <si>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</si>
  <si>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</si>
  <si>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</si>
  <si>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</si>
  <si>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</si>
  <si>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</si>
  <si>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</si>
  <si>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</si>
  <si>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</si>
  <si>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</si>
  <si>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</si>
  <si>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</si>
  <si>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</si>
  <si>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</si>
  <si>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</si>
  <si>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</si>
  <si>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</si>
  <si>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</si>
  <si>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</si>
  <si>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</si>
  <si>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</si>
  <si>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</si>
  <si>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</si>
  <si>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</si>
  <si>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</si>
  <si>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</si>
  <si>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</si>
  <si>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</si>
  <si>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</si>
  <si>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</si>
  <si>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</si>
  <si>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</si>
  <si>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</si>
  <si>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</si>
  <si>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</si>
  <si>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</si>
  <si>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</si>
  <si>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</si>
  <si>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</si>
  <si>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</si>
  <si>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</si>
  <si>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</si>
  <si>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</si>
  <si>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</si>
  <si>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</si>
  <si>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</si>
  <si>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</si>
  <si>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</si>
  <si>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</si>
  <si>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</si>
  <si>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</si>
  <si>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</si>
  <si>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</si>
  <si>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</si>
  <si>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</si>
  <si>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</si>
  <si>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</si>
  <si>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</si>
  <si>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</si>
  <si>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</si>
  <si>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</si>
  <si>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</si>
  <si>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</si>
  <si>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</si>
  <si>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</si>
  <si>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</si>
  <si>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</si>
  <si>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</si>
  <si>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</si>
  <si>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</si>
  <si>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</si>
  <si>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</si>
  <si>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</si>
  <si>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</si>
  <si>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</si>
  <si>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</si>
  <si>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</si>
  <si>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</si>
  <si>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</si>
  <si>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</si>
  <si>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</si>
  <si>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</si>
  <si>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</si>
  <si>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</si>
  <si>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</si>
  <si>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</si>
  <si>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</si>
  <si>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</si>
  <si>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</si>
  <si>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</si>
  <si>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</si>
  <si>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</si>
  <si>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</si>
  <si>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</si>
  <si>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</si>
  <si>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</si>
  <si>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</si>
  <si>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</si>
  <si>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</si>
  <si>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</si>
  <si>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</si>
  <si>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</si>
  <si>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</si>
  <si>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</si>
  <si>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</si>
  <si>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</si>
  <si>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</si>
  <si>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</si>
  <si>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</si>
  <si>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</si>
  <si>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</si>
  <si>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</si>
  <si>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</si>
  <si>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</si>
  <si>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</si>
  <si>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</si>
  <si>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</si>
  <si>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</si>
  <si>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</si>
  <si>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</si>
  <si>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</si>
  <si>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</si>
  <si>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</si>
  <si>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</si>
  <si>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</si>
  <si>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</si>
  <si>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</si>
  <si>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</si>
  <si>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</si>
  <si>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</si>
  <si>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</si>
  <si>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</si>
  <si>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</si>
  <si>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</si>
  <si>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</si>
  <si>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</si>
  <si>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</si>
  <si>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</si>
  <si>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</si>
  <si>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</si>
  <si>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</si>
  <si>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</si>
  <si>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</si>
  <si>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</si>
  <si>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</si>
  <si>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</si>
  <si>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</si>
  <si>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</si>
  <si>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</si>
  <si>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</si>
  <si>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</si>
  <si>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</si>
  <si>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</si>
  <si>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</si>
  <si>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</si>
  <si>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</si>
  <si>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</si>
  <si>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</si>
  <si>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</si>
  <si>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</si>
  <si>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</si>
  <si>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</si>
  <si>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</si>
  <si>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</si>
  <si>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</si>
  <si>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</si>
  <si>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</si>
  <si>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</si>
  <si>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</si>
  <si>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</si>
  <si>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</si>
  <si>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</si>
  <si>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</si>
  <si>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</si>
  <si>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</si>
  <si>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</si>
  <si>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</si>
  <si>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</si>
  <si>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</si>
  <si>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</si>
  <si>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</si>
  <si>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</si>
  <si>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</si>
  <si>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</si>
  <si>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</si>
  <si>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</si>
  <si>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</si>
  <si>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</si>
  <si>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</si>
  <si>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</si>
  <si>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</si>
  <si>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</si>
  <si>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</si>
  <si>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</si>
  <si>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</si>
  <si>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</si>
  <si>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</si>
  <si>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</si>
  <si>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</si>
  <si>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</si>
  <si>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</si>
  <si>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</si>
  <si>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</si>
  <si>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</si>
  <si>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</si>
  <si>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</si>
  <si>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</si>
  <si>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</si>
  <si>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</si>
  <si>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</si>
  <si>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</si>
  <si>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</si>
  <si>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</si>
  <si>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</si>
  <si>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</si>
  <si>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</si>
  <si>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</si>
  <si>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</si>
  <si>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</si>
  <si>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</si>
  <si>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</si>
  <si>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</si>
  <si>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</si>
  <si>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</si>
  <si>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</si>
  <si>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</si>
  <si>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</si>
  <si>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</si>
  <si>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</si>
  <si>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</si>
  <si>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</si>
  <si>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</si>
  <si>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</si>
  <si>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</si>
  <si>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</si>
  <si>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</si>
  <si>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</si>
  <si>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</si>
  <si>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</si>
  <si>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</si>
  <si>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</si>
  <si>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</si>
  <si>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</si>
  <si>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</si>
  <si>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</si>
  <si>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</si>
  <si>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</si>
  <si>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</si>
  <si>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</si>
  <si>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</si>
  <si>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</si>
  <si>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</si>
  <si>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</si>
  <si>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</si>
  <si>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</si>
  <si>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</si>
  <si>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</si>
  <si>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</si>
  <si>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</si>
  <si>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</si>
  <si>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</si>
  <si>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</si>
  <si>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</si>
  <si>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</si>
  <si>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</si>
  <si>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</si>
  <si>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</si>
  <si>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</si>
  <si>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</si>
  <si>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</si>
  <si>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</si>
  <si>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</si>
  <si>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</si>
  <si>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</si>
  <si>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</si>
  <si>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</si>
  <si>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</si>
  <si>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</si>
  <si>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</si>
  <si>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</si>
  <si>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</si>
  <si>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</si>
  <si>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</si>
  <si>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</si>
  <si>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</si>
  <si>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</si>
  <si>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</si>
  <si>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</si>
  <si>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</si>
  <si>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</si>
  <si>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</si>
  <si>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</si>
  <si>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</si>
  <si>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</si>
  <si>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</si>
  <si>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</si>
  <si>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</si>
  <si>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</si>
  <si>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</si>
  <si>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</si>
  <si>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</si>
  <si>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</si>
  <si>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</si>
  <si>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</si>
  <si>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</si>
  <si>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</si>
  <si>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</si>
  <si>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</si>
  <si>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</si>
  <si>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</si>
  <si>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</si>
  <si>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</si>
  <si>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</si>
  <si>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</si>
  <si>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</si>
  <si>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</si>
  <si>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</si>
  <si>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</si>
  <si>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</si>
  <si>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</si>
  <si>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</si>
  <si>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</si>
  <si>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</si>
  <si>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</si>
  <si>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</si>
  <si>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</si>
  <si>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</si>
  <si>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</si>
  <si>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</si>
  <si>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</si>
  <si>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</si>
  <si>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</si>
  <si>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</si>
  <si>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</si>
  <si>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</si>
  <si>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</si>
  <si>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</si>
  <si>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</si>
  <si>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</si>
  <si>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</si>
  <si>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</si>
  <si>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</si>
  <si>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</si>
  <si>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</si>
  <si>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</si>
  <si>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</si>
  <si>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</si>
  <si>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</si>
  <si>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</si>
  <si>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</si>
  <si>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</si>
  <si>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</si>
  <si>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</si>
  <si>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</si>
  <si>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</si>
  <si>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</si>
  <si>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</si>
  <si>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</si>
  <si>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</si>
  <si>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</si>
  <si>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</si>
  <si>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</si>
  <si>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</si>
  <si>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</si>
  <si>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</si>
  <si>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</si>
  <si>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</si>
  <si>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</si>
  <si>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</si>
  <si>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</si>
  <si>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</si>
  <si>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</si>
  <si>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</si>
  <si>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</si>
  <si>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</si>
  <si>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</si>
  <si>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</si>
  <si>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</si>
  <si>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</si>
  <si>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</si>
  <si>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</si>
  <si>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</si>
  <si>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</si>
  <si>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</si>
  <si>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</si>
  <si>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</si>
  <si>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</si>
  <si>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</si>
  <si>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</si>
  <si>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</si>
  <si>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</si>
  <si>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</si>
  <si>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</si>
  <si>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</si>
  <si>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</si>
  <si>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</si>
  <si>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</si>
  <si>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</si>
  <si>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</si>
  <si>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</si>
  <si>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</si>
  <si>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</si>
  <si>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</si>
  <si>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</si>
  <si>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</si>
  <si>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</si>
  <si>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</si>
  <si>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</si>
  <si>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</si>
  <si>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</si>
  <si>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</si>
  <si>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</si>
  <si>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</si>
  <si>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</si>
  <si>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</si>
  <si>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</si>
  <si>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</si>
  <si>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</si>
  <si>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</si>
  <si>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</si>
  <si>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</si>
  <si>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</si>
  <si>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</si>
  <si>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</si>
  <si>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</si>
  <si>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</si>
  <si>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</si>
  <si>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</si>
  <si>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</si>
  <si>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</si>
  <si>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</si>
  <si>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</si>
  <si>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</si>
  <si>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</si>
  <si>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</si>
  <si>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</si>
  <si>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</si>
  <si>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</si>
  <si>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</si>
  <si>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</si>
  <si>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</si>
  <si>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</si>
  <si>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</si>
  <si>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</si>
  <si>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</si>
  <si>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</si>
  <si>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</si>
  <si>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</si>
  <si>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</si>
  <si>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</si>
  <si>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</si>
  <si>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</si>
  <si>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</si>
  <si>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</si>
  <si>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</si>
  <si>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</si>
  <si>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</si>
  <si>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</si>
  <si>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</si>
  <si>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</si>
  <si>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</si>
  <si>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</si>
  <si>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</si>
  <si>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</si>
  <si>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</si>
  <si>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</si>
  <si>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</si>
  <si>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</si>
  <si>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</si>
  <si>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</si>
  <si>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</si>
  <si>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</si>
  <si>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</si>
  <si>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</si>
  <si>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</si>
  <si>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</si>
  <si>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</si>
  <si>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</si>
  <si>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</si>
  <si>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</si>
  <si>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</si>
  <si>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</si>
  <si>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</si>
  <si>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</si>
  <si>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</si>
  <si>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</si>
  <si>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</si>
  <si>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</si>
  <si>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</si>
  <si>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</si>
  <si>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</si>
  <si>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</si>
  <si>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</si>
  <si>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</si>
  <si>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</si>
  <si>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</si>
  <si>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</si>
  <si>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</si>
  <si>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</si>
  <si>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</si>
  <si>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</si>
  <si>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</si>
  <si>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</si>
  <si>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</si>
  <si>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</si>
  <si>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</si>
  <si>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</si>
  <si>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</si>
  <si>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</si>
  <si>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</si>
  <si>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</si>
  <si>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</si>
  <si>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</si>
  <si>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</si>
  <si>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</si>
  <si>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</si>
  <si>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</si>
  <si>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</si>
  <si>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</si>
  <si>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</si>
  <si>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</si>
  <si>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</si>
  <si>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</si>
  <si>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</si>
  <si>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</si>
  <si>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</si>
  <si>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</si>
  <si>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</si>
  <si>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</si>
  <si>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</si>
  <si>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</si>
  <si>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</si>
  <si>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</si>
  <si>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</si>
  <si>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</si>
  <si>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</si>
  <si>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</si>
  <si>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</si>
  <si>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</si>
  <si>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</si>
  <si>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</si>
  <si>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</si>
  <si>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</si>
  <si>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</si>
  <si>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</si>
  <si>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</si>
  <si>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</si>
  <si>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</si>
  <si>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</si>
  <si>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</si>
  <si>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</si>
  <si>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</si>
  <si>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</si>
  <si>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</si>
  <si>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</si>
  <si>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</si>
  <si>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</si>
  <si>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</si>
  <si>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</si>
  <si>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</si>
  <si>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</si>
  <si>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</si>
  <si>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</si>
  <si>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</si>
  <si>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</si>
  <si>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</si>
  <si>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</si>
  <si>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</si>
  <si>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</si>
  <si>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</si>
  <si>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</si>
  <si>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</si>
  <si>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</si>
  <si>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</si>
  <si>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</si>
  <si>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</si>
  <si>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</si>
  <si>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</si>
  <si>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</si>
  <si>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</si>
  <si>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</si>
  <si>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</si>
  <si>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</si>
  <si>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</si>
  <si>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</si>
  <si>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</si>
  <si>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</si>
  <si>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</si>
  <si>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</si>
  <si>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</si>
  <si>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</si>
  <si>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</si>
  <si>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</si>
  <si>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</si>
  <si>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</si>
  <si>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</si>
  <si>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</si>
  <si>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</si>
  <si>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</si>
  <si>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</si>
  <si>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</si>
  <si>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</si>
  <si>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</si>
  <si>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</si>
  <si>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</si>
  <si>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</si>
  <si>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</si>
  <si>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</si>
  <si>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</si>
  <si>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</si>
  <si>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</si>
  <si>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</si>
  <si>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</si>
  <si>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</si>
  <si>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</si>
  <si>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</si>
  <si>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</si>
  <si>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</si>
  <si>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</si>
  <si>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</si>
  <si>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</si>
  <si>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</si>
  <si>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</si>
  <si>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</si>
  <si>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</si>
  <si>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</si>
  <si>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</si>
  <si>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</si>
  <si>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</si>
  <si>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</si>
  <si>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</si>
  <si>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</si>
  <si>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</si>
  <si>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</si>
  <si>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</si>
  <si>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</si>
  <si>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</si>
  <si>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</si>
  <si>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</si>
  <si>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</si>
  <si>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</si>
  <si>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</si>
  <si>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</si>
  <si>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</si>
  <si>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</si>
  <si>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</si>
  <si>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</si>
  <si>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</si>
  <si>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</si>
  <si>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</si>
  <si>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</si>
  <si>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</si>
  <si>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</si>
  <si>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</si>
  <si>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</si>
  <si>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</si>
  <si>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</si>
  <si>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</si>
  <si>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</si>
  <si>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</si>
  <si>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</si>
  <si>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</si>
  <si>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</si>
  <si>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</si>
  <si>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</si>
  <si>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</si>
  <si>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</si>
  <si>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</si>
  <si>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</si>
  <si>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</si>
  <si>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</si>
  <si>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广州市白云区黄石路天云街14号101商铺</t>
    <phoneticPr fontId="257" type="noConversion"/>
  </si>
  <si>
    <t>粤房地证字第C6001059号</t>
    <phoneticPr fontId="3" type="noConversion"/>
  </si>
  <si>
    <t>广东方圆集团有限公司</t>
    <phoneticPr fontId="3" type="noConversion"/>
  </si>
  <si>
    <t>钢筋混凝土结构</t>
    <phoneticPr fontId="3" type="noConversion"/>
  </si>
  <si>
    <t>非居住用房</t>
    <phoneticPr fontId="3" type="noConversion"/>
  </si>
  <si>
    <t>广州市白云区黄石路天云街14号102商铺</t>
    <phoneticPr fontId="257" type="noConversion"/>
  </si>
  <si>
    <r>
      <t>粤房地证字第C6001060号</t>
    </r>
    <r>
      <rPr>
        <sz val="10"/>
        <color indexed="8"/>
        <rFont val="宋体"/>
        <family val="3"/>
        <charset val="134"/>
      </rPr>
      <t/>
    </r>
  </si>
  <si>
    <t>广州市白云区黄石路天云街14号103商铺</t>
    <phoneticPr fontId="257" type="noConversion"/>
  </si>
  <si>
    <r>
      <t>粤房地证字第C6001061号</t>
    </r>
    <r>
      <rPr>
        <sz val="10"/>
        <color indexed="8"/>
        <rFont val="宋体"/>
        <family val="3"/>
        <charset val="134"/>
      </rPr>
      <t/>
    </r>
  </si>
  <si>
    <t>广州市白云区黄石路天云街14号105商铺</t>
    <phoneticPr fontId="257" type="noConversion"/>
  </si>
  <si>
    <r>
      <t>粤房地证字第C6001062号</t>
    </r>
    <r>
      <rPr>
        <sz val="10"/>
        <color indexed="8"/>
        <rFont val="宋体"/>
        <family val="3"/>
        <charset val="134"/>
      </rPr>
      <t/>
    </r>
  </si>
  <si>
    <r>
      <t>广州市白云区黄石路天云街16号106商铺</t>
    </r>
    <r>
      <rPr>
        <sz val="10"/>
        <color indexed="8"/>
        <rFont val="宋体"/>
        <family val="3"/>
        <charset val="134"/>
      </rPr>
      <t/>
    </r>
    <phoneticPr fontId="257" type="noConversion"/>
  </si>
  <si>
    <r>
      <t>粤房地证字第C6001063号</t>
    </r>
    <r>
      <rPr>
        <sz val="10"/>
        <color indexed="8"/>
        <rFont val="宋体"/>
        <family val="3"/>
        <charset val="134"/>
      </rPr>
      <t/>
    </r>
  </si>
  <si>
    <r>
      <t>广州市白云区黄石路天云街16号107商铺</t>
    </r>
    <r>
      <rPr>
        <sz val="10"/>
        <color indexed="8"/>
        <rFont val="宋体"/>
        <family val="3"/>
        <charset val="134"/>
      </rPr>
      <t/>
    </r>
    <phoneticPr fontId="257" type="noConversion"/>
  </si>
  <si>
    <r>
      <t>粤房地证字第C6001064号</t>
    </r>
    <r>
      <rPr>
        <sz val="10"/>
        <color indexed="8"/>
        <rFont val="宋体"/>
        <family val="3"/>
        <charset val="134"/>
      </rPr>
      <t/>
    </r>
  </si>
  <si>
    <r>
      <t>广州市白云区黄石路天云街16号108商铺</t>
    </r>
    <r>
      <rPr>
        <sz val="10"/>
        <color indexed="8"/>
        <rFont val="宋体"/>
        <family val="3"/>
        <charset val="134"/>
      </rPr>
      <t/>
    </r>
    <phoneticPr fontId="257" type="noConversion"/>
  </si>
  <si>
    <r>
      <t>粤房地证字第C6001065号</t>
    </r>
    <r>
      <rPr>
        <sz val="10"/>
        <color indexed="8"/>
        <rFont val="宋体"/>
        <family val="3"/>
        <charset val="134"/>
      </rPr>
      <t/>
    </r>
  </si>
  <si>
    <r>
      <t>广州市白云区黄石路天云街16号109商铺</t>
    </r>
    <r>
      <rPr>
        <sz val="10"/>
        <color indexed="8"/>
        <rFont val="宋体"/>
        <family val="3"/>
        <charset val="134"/>
      </rPr>
      <t/>
    </r>
    <phoneticPr fontId="257" type="noConversion"/>
  </si>
  <si>
    <r>
      <t>粤房地证字第C6001066号</t>
    </r>
    <r>
      <rPr>
        <sz val="10"/>
        <color indexed="8"/>
        <rFont val="宋体"/>
        <family val="3"/>
        <charset val="134"/>
      </rPr>
      <t/>
    </r>
  </si>
  <si>
    <r>
      <t>广州市白云区黄石路天云街18号110商铺</t>
    </r>
    <r>
      <rPr>
        <sz val="10"/>
        <color indexed="8"/>
        <rFont val="宋体"/>
        <family val="3"/>
        <charset val="134"/>
      </rPr>
      <t/>
    </r>
    <phoneticPr fontId="257" type="noConversion"/>
  </si>
  <si>
    <r>
      <t>粤房地证字第C6001067号</t>
    </r>
    <r>
      <rPr>
        <sz val="10"/>
        <color indexed="8"/>
        <rFont val="宋体"/>
        <family val="3"/>
        <charset val="134"/>
      </rPr>
      <t/>
    </r>
  </si>
  <si>
    <r>
      <t>广州市白云区黄石路天云街18号111商铺</t>
    </r>
    <r>
      <rPr>
        <sz val="10"/>
        <color indexed="8"/>
        <rFont val="宋体"/>
        <family val="3"/>
        <charset val="134"/>
      </rPr>
      <t/>
    </r>
    <phoneticPr fontId="257" type="noConversion"/>
  </si>
  <si>
    <r>
      <t>粤房地证字第C6609564号</t>
    </r>
    <r>
      <rPr>
        <sz val="10"/>
        <color indexed="8"/>
        <rFont val="宋体"/>
        <family val="3"/>
        <charset val="134"/>
      </rPr>
      <t/>
    </r>
    <phoneticPr fontId="3" type="noConversion"/>
  </si>
  <si>
    <r>
      <t>广州市白云区黄石路天云街18号112商铺</t>
    </r>
    <r>
      <rPr>
        <sz val="10"/>
        <color indexed="8"/>
        <rFont val="宋体"/>
        <family val="3"/>
        <charset val="134"/>
      </rPr>
      <t/>
    </r>
    <phoneticPr fontId="257" type="noConversion"/>
  </si>
  <si>
    <r>
      <t>粤房地证字第C6609565号</t>
    </r>
    <r>
      <rPr>
        <sz val="10"/>
        <color indexed="8"/>
        <rFont val="宋体"/>
        <family val="3"/>
        <charset val="134"/>
      </rPr>
      <t/>
    </r>
  </si>
  <si>
    <r>
      <t>广州市白云区黄石路天云街18号113商铺</t>
    </r>
    <r>
      <rPr>
        <sz val="10"/>
        <color indexed="8"/>
        <rFont val="宋体"/>
        <family val="3"/>
        <charset val="134"/>
      </rPr>
      <t/>
    </r>
    <phoneticPr fontId="257" type="noConversion"/>
  </si>
  <si>
    <r>
      <t>粤房地证字第C6609566号</t>
    </r>
    <r>
      <rPr>
        <sz val="10"/>
        <color indexed="8"/>
        <rFont val="宋体"/>
        <family val="3"/>
        <charset val="134"/>
      </rPr>
      <t/>
    </r>
  </si>
  <si>
    <r>
      <t>广州市白云区黄石路天云街20号115商铺</t>
    </r>
    <r>
      <rPr>
        <sz val="10"/>
        <color indexed="8"/>
        <rFont val="宋体"/>
        <family val="3"/>
        <charset val="134"/>
      </rPr>
      <t/>
    </r>
    <phoneticPr fontId="257" type="noConversion"/>
  </si>
  <si>
    <r>
      <t>粤房地证字第C6609561号</t>
    </r>
    <r>
      <rPr>
        <sz val="10"/>
        <color indexed="8"/>
        <rFont val="宋体"/>
        <family val="3"/>
        <charset val="134"/>
      </rPr>
      <t/>
    </r>
    <phoneticPr fontId="3" type="noConversion"/>
  </si>
  <si>
    <t>广东方圆集团有限公司</t>
    <phoneticPr fontId="3" type="noConversion"/>
  </si>
  <si>
    <r>
      <t>广州市白云区黄石路天云街20号116商铺</t>
    </r>
    <r>
      <rPr>
        <sz val="10"/>
        <color indexed="8"/>
        <rFont val="宋体"/>
        <family val="3"/>
        <charset val="134"/>
      </rPr>
      <t/>
    </r>
    <phoneticPr fontId="257" type="noConversion"/>
  </si>
  <si>
    <r>
      <t>粤房地证字第C6609567号</t>
    </r>
    <r>
      <rPr>
        <sz val="10"/>
        <color indexed="8"/>
        <rFont val="宋体"/>
        <family val="3"/>
        <charset val="134"/>
      </rPr>
      <t/>
    </r>
    <phoneticPr fontId="3" type="noConversion"/>
  </si>
  <si>
    <r>
      <t>广州市白云区黄石路天云街20号117商铺</t>
    </r>
    <r>
      <rPr>
        <sz val="10"/>
        <color indexed="8"/>
        <rFont val="宋体"/>
        <family val="3"/>
        <charset val="134"/>
      </rPr>
      <t/>
    </r>
    <phoneticPr fontId="257" type="noConversion"/>
  </si>
  <si>
    <r>
      <t>粤房地证字第C6609562号</t>
    </r>
    <r>
      <rPr>
        <sz val="10"/>
        <color indexed="8"/>
        <rFont val="宋体"/>
        <family val="3"/>
        <charset val="134"/>
      </rPr>
      <t/>
    </r>
    <phoneticPr fontId="3" type="noConversion"/>
  </si>
  <si>
    <t>广东方圆集团有限公司</t>
    <phoneticPr fontId="3" type="noConversion"/>
  </si>
  <si>
    <r>
      <t>广州市白云区黄石路天云街20号118商铺</t>
    </r>
    <r>
      <rPr>
        <sz val="10"/>
        <color indexed="8"/>
        <rFont val="宋体"/>
        <family val="3"/>
        <charset val="134"/>
      </rPr>
      <t/>
    </r>
    <phoneticPr fontId="257" type="noConversion"/>
  </si>
  <si>
    <r>
      <t>粤房地证字第C6609563号</t>
    </r>
    <r>
      <rPr>
        <sz val="10"/>
        <color indexed="8"/>
        <rFont val="宋体"/>
        <family val="3"/>
        <charset val="134"/>
      </rPr>
      <t/>
    </r>
  </si>
  <si>
    <r>
      <t>广州市白云区黄石路天云街20号119商铺</t>
    </r>
    <r>
      <rPr>
        <sz val="10"/>
        <color indexed="8"/>
        <rFont val="宋体"/>
        <family val="3"/>
        <charset val="134"/>
      </rPr>
      <t/>
    </r>
    <phoneticPr fontId="257" type="noConversion"/>
  </si>
  <si>
    <r>
      <t>粤房地证字第C6609568号</t>
    </r>
    <r>
      <rPr>
        <sz val="10"/>
        <color indexed="8"/>
        <rFont val="宋体"/>
        <family val="3"/>
        <charset val="134"/>
      </rPr>
      <t/>
    </r>
    <phoneticPr fontId="3" type="noConversion"/>
  </si>
  <si>
    <t>钢筋混凝土结构</t>
    <phoneticPr fontId="3" type="noConversion"/>
  </si>
  <si>
    <r>
      <t>广州市白云区黄石路天云街20号120商铺</t>
    </r>
    <r>
      <rPr>
        <sz val="10"/>
        <color indexed="8"/>
        <rFont val="宋体"/>
        <family val="3"/>
        <charset val="134"/>
      </rPr>
      <t/>
    </r>
    <phoneticPr fontId="257" type="noConversion"/>
  </si>
  <si>
    <r>
      <t>粤房地证字第C2736705号</t>
    </r>
    <r>
      <rPr>
        <sz val="10"/>
        <color indexed="8"/>
        <rFont val="宋体"/>
        <family val="3"/>
        <charset val="134"/>
      </rPr>
      <t/>
    </r>
    <phoneticPr fontId="3" type="noConversion"/>
  </si>
  <si>
    <t>广州市宸景房地产开发有限公司</t>
    <phoneticPr fontId="3" type="noConversion"/>
  </si>
  <si>
    <r>
      <t>广州市白云区翰云路287号之一202铺</t>
    </r>
    <r>
      <rPr>
        <sz val="10"/>
        <color indexed="8"/>
        <rFont val="宋体"/>
        <family val="3"/>
        <charset val="134"/>
      </rPr>
      <t/>
    </r>
    <phoneticPr fontId="257" type="noConversion"/>
  </si>
  <si>
    <r>
      <t>粤房地权证穗字第0120033828号</t>
    </r>
    <r>
      <rPr>
        <sz val="10"/>
        <color indexed="8"/>
        <rFont val="宋体"/>
        <family val="3"/>
        <charset val="134"/>
      </rPr>
      <t/>
    </r>
    <phoneticPr fontId="3" type="noConversion"/>
  </si>
  <si>
    <t>广州市方圆房地产发展有限公司</t>
    <phoneticPr fontId="3" type="noConversion"/>
  </si>
  <si>
    <t>广州市白云区翰云路287号之一201铺</t>
    <phoneticPr fontId="257" type="noConversion"/>
  </si>
  <si>
    <t>粤房地权证穗字第0120033824号</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</si>
  <si>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</si>
  <si>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</si>
  <si>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</si>
  <si>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</si>
  <si>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</si>
  <si>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</si>
  <si>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</si>
  <si>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</si>
  <si>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r>
      <rPr>
        <sz val="12"/>
        <rFont val="宋体"/>
        <family val="3"/>
        <charset val="134"/>
      </rPr>
      <t>广东省广州市白云区黄石路天云街</t>
    </r>
    <r>
      <rPr>
        <sz val="12"/>
        <rFont val="Arial"/>
        <family val="2"/>
      </rPr>
      <t>14</t>
    </r>
    <r>
      <rPr>
        <sz val="12"/>
        <rFont val="宋体"/>
        <family val="3"/>
        <charset val="134"/>
      </rPr>
      <t>号</t>
    </r>
    <r>
      <rPr>
        <sz val="12"/>
        <rFont val="Arial"/>
        <family val="2"/>
      </rPr>
      <t>101</t>
    </r>
    <r>
      <rPr>
        <sz val="12"/>
        <rFont val="宋体"/>
        <family val="3"/>
        <charset val="134"/>
      </rPr>
      <t>商铺等</t>
    </r>
    <r>
      <rPr>
        <sz val="12"/>
        <rFont val="Arial"/>
        <family val="2"/>
      </rPr>
      <t>18</t>
    </r>
    <r>
      <rPr>
        <sz val="12"/>
        <rFont val="宋体"/>
        <family val="3"/>
        <charset val="134"/>
      </rPr>
      <t>套商业用房及翰云路</t>
    </r>
    <r>
      <rPr>
        <sz val="12"/>
        <rFont val="Arial"/>
        <family val="2"/>
      </rPr>
      <t>287</t>
    </r>
    <r>
      <rPr>
        <sz val="12"/>
        <rFont val="宋体"/>
        <family val="3"/>
        <charset val="134"/>
      </rPr>
      <t>号之一</t>
    </r>
    <r>
      <rPr>
        <sz val="12"/>
        <rFont val="Arial"/>
        <family val="2"/>
      </rPr>
      <t>201</t>
    </r>
    <r>
      <rPr>
        <sz val="12"/>
        <rFont val="宋体"/>
        <family val="3"/>
        <charset val="134"/>
      </rPr>
      <t>铺等</t>
    </r>
    <r>
      <rPr>
        <sz val="12"/>
        <rFont val="Arial"/>
        <family val="2"/>
      </rPr>
      <t>2</t>
    </r>
    <r>
      <rPr>
        <sz val="12"/>
        <rFont val="宋体"/>
        <family val="3"/>
        <charset val="134"/>
      </rPr>
      <t>套商业用房</t>
    </r>
    <phoneticPr fontId="6" type="noConversion"/>
  </si>
  <si>
    <t>企业</t>
  </si>
  <si>
    <t>出让</t>
  </si>
  <si>
    <t>商业</t>
    <phoneticPr fontId="6" type="noConversion"/>
  </si>
  <si>
    <r>
      <rPr>
        <sz val="12"/>
        <rFont val="宋体"/>
        <family val="3"/>
        <charset val="134"/>
      </rPr>
      <t>商业</t>
    </r>
    <r>
      <rPr>
        <sz val="12"/>
        <rFont val="Arial"/>
        <family val="2"/>
      </rPr>
      <t>20.76</t>
    </r>
    <phoneticPr fontId="6" type="noConversion"/>
  </si>
  <si>
    <t>建筑与土地面积依据相同</t>
  </si>
  <si>
    <t>《不动产权证书》[粤（2015）广州市不动产权第00206961号等18本]</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</si>
  <si>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2015</t>
    </r>
    <r>
      <rPr>
        <sz val="12"/>
        <rFont val="宋体"/>
        <family val="3"/>
        <charset val="134"/>
      </rPr>
      <t>）广州市不动产权第</t>
    </r>
    <r>
      <rPr>
        <sz val="12"/>
        <rFont val="Arial"/>
        <family val="2"/>
      </rPr>
      <t>00206961</t>
    </r>
    <r>
      <rPr>
        <sz val="12"/>
        <rFont val="宋体"/>
        <family val="3"/>
        <charset val="134"/>
      </rPr>
      <t>号等</t>
    </r>
    <r>
      <rPr>
        <sz val="12"/>
        <rFont val="Arial"/>
        <family val="2"/>
      </rPr>
      <t>18</t>
    </r>
    <r>
      <rPr>
        <sz val="12"/>
        <rFont val="宋体"/>
        <family val="3"/>
        <charset val="134"/>
      </rPr>
      <t>本</t>
    </r>
    <r>
      <rPr>
        <sz val="12"/>
        <rFont val="Arial"/>
        <family val="2"/>
      </rPr>
      <t>]</t>
    </r>
    <phoneticPr fontId="6" type="noConversion"/>
  </si>
  <si>
    <t>是</t>
  </si>
  <si>
    <t>复印件</t>
  </si>
  <si>
    <t>居住项目</t>
  </si>
  <si>
    <t>无</t>
  </si>
  <si>
    <t>现房</t>
  </si>
  <si>
    <t>通路</t>
  </si>
  <si>
    <t>通电</t>
  </si>
  <si>
    <t>通讯</t>
  </si>
  <si>
    <t>通上水</t>
  </si>
  <si>
    <t>通下水</t>
  </si>
  <si>
    <t>燃气</t>
  </si>
  <si>
    <t>否</t>
  </si>
  <si>
    <t>地上</t>
  </si>
  <si>
    <t>底商</t>
  </si>
  <si>
    <t>成新度</t>
  </si>
  <si>
    <t>收益法 (元)</t>
  </si>
  <si>
    <t>一般</t>
    <phoneticPr fontId="3" type="noConversion"/>
  </si>
  <si>
    <t>较好</t>
    <phoneticPr fontId="3" type="noConversion"/>
  </si>
  <si>
    <t>较齐备</t>
    <phoneticPr fontId="3" type="noConversion"/>
  </si>
  <si>
    <t>六通</t>
    <phoneticPr fontId="3" type="noConversion"/>
  </si>
  <si>
    <t>较好</t>
    <phoneticPr fontId="3" type="noConversion"/>
  </si>
  <si>
    <t>区内道路</t>
    <phoneticPr fontId="3" type="noConversion"/>
  </si>
  <si>
    <t>不临街</t>
  </si>
  <si>
    <t>项目全部</t>
  </si>
  <si>
    <t>比较法-商业</t>
  </si>
  <si>
    <t>住宅底商101</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</si>
  <si>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</si>
  <si>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</si>
  <si>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</si>
  <si>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</si>
  <si>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</si>
  <si>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</si>
  <si>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</si>
  <si>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</si>
  <si>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</si>
  <si>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</si>
  <si>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</si>
  <si>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</si>
  <si>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</si>
  <si>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</si>
  <si>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</si>
  <si>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</si>
  <si>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</si>
  <si>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</si>
  <si>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</si>
  <si>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</si>
  <si>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</si>
  <si>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</si>
  <si>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</si>
  <si>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</si>
  <si>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</si>
  <si>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</si>
  <si>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</si>
  <si>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</si>
  <si>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</si>
  <si>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</si>
  <si>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</si>
  <si>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</si>
  <si>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</si>
  <si>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</si>
  <si>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</si>
  <si>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</si>
  <si>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</si>
  <si>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</si>
  <si>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</si>
  <si>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</si>
  <si>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</si>
  <si>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</si>
  <si>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</si>
  <si>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</si>
  <si>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</si>
  <si>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</si>
  <si>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</si>
  <si>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</si>
  <si>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按租金收入计税</t>
  </si>
  <si>
    <t>非生产用房</t>
  </si>
  <si>
    <r>
      <rPr>
        <sz val="10"/>
        <color indexed="8"/>
        <rFont val="宋体"/>
        <family val="3"/>
        <charset val="134"/>
      </rPr>
      <t>底商</t>
    </r>
    <r>
      <rPr>
        <sz val="10"/>
        <color indexed="8"/>
        <rFont val="Arial"/>
        <family val="2"/>
      </rPr>
      <t>101</t>
    </r>
    <phoneticPr fontId="7" type="noConversion"/>
  </si>
  <si>
    <t>底商101</t>
  </si>
  <si>
    <t>分摊土地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</si>
</sst>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43" fontId="0" fillId="0" borderId="0" xfId="0" applyNumberFormat="1">
      <alignment vertical="center"/>
    </xf>
    <xf numFmtId="177" fontId="50" fillId="17" borderId="1" xfId="1" applyNumberFormat="1" applyFont="1" applyFill="1" applyBorder="1" applyAlignment="1" applyProtection="1">
      <alignment horizontal="center" vertical="center"/>
      <protection locked="0"/>
    </xf>
    <xf numFmtId="0" fontId="61" fillId="17" borderId="1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514350</xdr:colOff>
      <xdr:row>31</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86550" cy="540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655;&#22616;&#26376;&#333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汇总）"/>
      <sheetName val="酒店收入计算"/>
      <sheetName val="比较法-住宅"/>
      <sheetName val="收益法 (元)"/>
      <sheetName val="典型户型修正"/>
      <sheetName val="面积表"/>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3249.5299999999997</v>
          </cell>
          <cell r="C14">
            <v>205.77</v>
          </cell>
          <cell r="D14">
            <v>6614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广东省广州市白云区黄石路天云街14号101商铺等18套商业用房及翰云路287号之一201铺等2套商业用房房地产抵押价值预评估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受贵公司委托，我公司对广东省广州市白云区黄石路天云街14号101商铺等18套商业用房及翰云路287号之一201铺等2套商业用房房地产抵押价值进行了预评估。</v>
      </c>
    </row>
    <row r="7" spans="1:2" s="1595" customFormat="1">
      <c r="A7" s="1593" t="s">
        <v>1264</v>
      </c>
      <c r="B7" s="1594" t="str">
        <f>'预评函-1'!A7</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75</v>
      </c>
    </row>
    <row r="21" spans="1:2" s="1595" customFormat="1">
      <c r="A21" s="1593" t="s">
        <v>1235</v>
      </c>
      <c r="B21" s="1594">
        <f ca="1">'预评函-2'!D7</f>
        <v>22901</v>
      </c>
    </row>
    <row r="22" spans="1:2" s="1595" customFormat="1">
      <c r="A22" s="1593" t="s">
        <v>1236</v>
      </c>
      <c r="B22" s="1594" t="str">
        <f ca="1">'预评函-2'!D6</f>
        <v>柒拾伍万元整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75</v>
      </c>
    </row>
    <row r="31" spans="1:2" s="1595" customFormat="1">
      <c r="A31" s="1593" t="s">
        <v>1274</v>
      </c>
      <c r="B31" s="1594">
        <f ca="1">'预评函-2'!D15</f>
        <v>22901</v>
      </c>
    </row>
    <row r="32" spans="1:2" s="1595" customFormat="1">
      <c r="A32" s="1593" t="s">
        <v>1241</v>
      </c>
      <c r="B32" s="1594" t="str">
        <f ca="1">'预评函-2'!D14</f>
        <v>柒拾伍万元整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广东省广州市白云区黄石路天云街14号101商铺等18套商业用房及翰云路287号之一201铺等2套商业用房房地产</v>
      </c>
    </row>
    <row r="42" spans="1:2" s="1595" customFormat="1">
      <c r="A42" s="1593" t="s">
        <v>1288</v>
      </c>
      <c r="B42" s="1594" t="str">
        <f>'预评函-3'!B2</f>
        <v>建筑面积</v>
      </c>
    </row>
    <row r="43" spans="1:2" s="1595" customFormat="1">
      <c r="A43" s="1593" t="s">
        <v>1289</v>
      </c>
      <c r="B43" s="1594">
        <f>'预评函-3'!B4</f>
        <v>32.75</v>
      </c>
    </row>
    <row r="44" spans="1:2" s="1595" customFormat="1">
      <c r="A44" s="1593" t="s">
        <v>1273</v>
      </c>
      <c r="B44" s="1594" t="str">
        <f>'预评函-3'!C2</f>
        <v>(分摊)土地面积</v>
      </c>
    </row>
    <row r="45" spans="1:2" s="1595" customFormat="1">
      <c r="A45" s="1593" t="s">
        <v>1245</v>
      </c>
      <c r="B45" s="1594">
        <f>'预评函-3'!C4</f>
        <v>2.06</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等18套商业用房及翰云路287号之一201铺等2套商业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024" t="s">
        <v>864</v>
      </c>
      <c r="C54" s="2021" t="s">
        <v>1281</v>
      </c>
    </row>
    <row r="55" spans="1:4">
      <c r="A55" s="3013"/>
      <c r="B55" s="2024" t="s">
        <v>865</v>
      </c>
      <c r="C55" s="2021" t="s">
        <v>1282</v>
      </c>
    </row>
    <row r="56" spans="1:4">
      <c r="A56" s="3013"/>
      <c r="B56" s="2024" t="s">
        <v>866</v>
      </c>
      <c r="C56" s="2021" t="s">
        <v>1286</v>
      </c>
    </row>
    <row r="57" spans="1:4">
      <c r="A57" s="301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4" t="str">
        <f>IF(B10="北京市","北京市",C10)&amp;F10&amp;IF(结果表!G1="在建","出让国有建设用地使用权及在建建筑物",IF(结果表!G1="土地","出让国有建设用地使用权",))&amp;B9&amp;"预评估"</f>
        <v>广东省广州市白云区黄石路天云街14号101商铺等18套商业用房及翰云路287号之一201铺等2套商业用房房地产抵押价值预评估</v>
      </c>
      <c r="C1" s="3015"/>
      <c r="D1" s="3015"/>
      <c r="E1" s="3015"/>
      <c r="F1" s="3015"/>
      <c r="G1" s="3015"/>
      <c r="H1" s="3015"/>
      <c r="I1" s="301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广东省广州市白云区黄石路天云街14号101商铺等18套商业用房及翰云路287号之一201铺等2套商业用房房地产抵押价值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广东省广州市白云区黄石路天云街14号101商铺等18套商业用房及翰云路287号之一201铺等2套商业用房房地产</v>
      </c>
    </row>
    <row r="3" spans="1:19" ht="18" customHeight="1">
      <c r="A3" s="2037" t="s">
        <v>1778</v>
      </c>
      <c r="B3" s="2038">
        <v>43316</v>
      </c>
      <c r="C3" s="2039" t="s">
        <v>1779</v>
      </c>
      <c r="D3" s="2038">
        <v>43316</v>
      </c>
      <c r="E3" s="2028"/>
      <c r="F3" s="2028"/>
      <c r="G3" s="2028"/>
      <c r="H3" s="2028"/>
      <c r="I3" s="2028"/>
      <c r="J3" s="2028"/>
      <c r="K3" s="2029"/>
      <c r="L3" s="2030"/>
      <c r="M3" s="2030"/>
      <c r="N3" s="2031"/>
      <c r="O3" s="2032"/>
      <c r="P3" s="2031"/>
      <c r="Q3" s="2031"/>
      <c r="R3" s="2031"/>
      <c r="S3" s="2033"/>
    </row>
    <row r="4" spans="1:19" ht="18" customHeight="1" thickBot="1">
      <c r="A4" s="2040" t="s">
        <v>1780</v>
      </c>
      <c r="B4" s="2041" t="s">
        <v>3094</v>
      </c>
      <c r="C4" s="1039">
        <f ca="1">SUMIF(注册房地产估价师,B4,估价师及机构信息!B3:B24)</f>
        <v>1419970001</v>
      </c>
      <c r="D4" s="2041" t="s">
        <v>3095</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7" t="s">
        <v>3096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8" t="s">
        <v>3097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9" t="s">
        <v>3098</v>
      </c>
      <c r="C7" s="2050"/>
      <c r="D7" s="2051"/>
      <c r="E7" s="2036"/>
      <c r="F7" s="2044"/>
      <c r="G7" s="2044"/>
      <c r="H7" s="2044"/>
      <c r="I7" s="2044"/>
      <c r="J7" s="2044"/>
      <c r="K7" s="2053"/>
      <c r="L7" s="2030"/>
      <c r="M7" s="2030"/>
      <c r="N7" s="2031"/>
      <c r="O7" s="2032"/>
      <c r="P7" s="2031"/>
      <c r="Q7" s="2031"/>
      <c r="R7" s="2031"/>
    </row>
    <row r="8" spans="1:19" ht="18" customHeight="1">
      <c r="A8" s="2049" t="s">
        <v>1784</v>
      </c>
      <c r="B8" s="2054" t="s">
        <v>3099</v>
      </c>
      <c r="C8" s="2055"/>
      <c r="D8" s="3017" t="s">
        <v>1785</v>
      </c>
      <c r="E8" s="2056" t="s">
        <v>3100</v>
      </c>
      <c r="F8" s="2057"/>
      <c r="G8" s="2028"/>
      <c r="H8" s="2028"/>
      <c r="I8" s="2028"/>
      <c r="J8" s="2044"/>
      <c r="K8" s="2045"/>
      <c r="L8" s="2030"/>
      <c r="M8" s="2030"/>
      <c r="N8" s="2031"/>
      <c r="O8" s="2032"/>
      <c r="P8" s="2031"/>
      <c r="Q8" s="2031"/>
      <c r="R8" s="2031"/>
    </row>
    <row r="9" spans="1:19" ht="18" customHeight="1" thickBot="1">
      <c r="A9" s="2042" t="s">
        <v>1786</v>
      </c>
      <c r="B9" s="2058" t="s">
        <v>3100</v>
      </c>
      <c r="C9" s="2059"/>
      <c r="D9" s="3018"/>
      <c r="E9" s="2058" t="s">
        <v>70</v>
      </c>
      <c r="F9" s="2060"/>
      <c r="G9" s="2061"/>
      <c r="H9" s="2061"/>
      <c r="I9" s="2061"/>
      <c r="J9" s="2044"/>
      <c r="K9" s="2053"/>
      <c r="L9" s="2030"/>
      <c r="M9" s="2030"/>
      <c r="N9" s="2031"/>
      <c r="O9" s="2032"/>
      <c r="P9" s="2031"/>
      <c r="Q9" s="2031"/>
      <c r="R9" s="2031"/>
    </row>
    <row r="10" spans="1:19" ht="18" customHeight="1" thickTop="1">
      <c r="A10" s="2062" t="s">
        <v>1787</v>
      </c>
      <c r="B10" s="2063" t="s">
        <v>3101</v>
      </c>
      <c r="C10" s="2064"/>
      <c r="D10" s="2048"/>
      <c r="E10" s="2065" t="s">
        <v>1788</v>
      </c>
      <c r="F10" s="2950" t="s">
        <v>3102</v>
      </c>
      <c r="G10" s="2066"/>
      <c r="H10" s="2067"/>
      <c r="I10" s="2048"/>
      <c r="J10" s="2044"/>
      <c r="K10" s="2053"/>
      <c r="L10" s="2030"/>
      <c r="M10" s="2030"/>
      <c r="N10" s="2031"/>
      <c r="O10" s="2032"/>
      <c r="P10" s="2031"/>
      <c r="Q10" s="2031"/>
      <c r="R10" s="2031"/>
    </row>
    <row r="11" spans="1:19" ht="18" customHeight="1">
      <c r="A11" s="2068" t="s">
        <v>1789</v>
      </c>
      <c r="B11" s="2069" t="s">
        <v>3103</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3104</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v>50896</v>
      </c>
      <c r="F13" s="2078"/>
      <c r="G13" s="2078"/>
      <c r="H13" s="2078"/>
      <c r="I13" s="1049"/>
      <c r="J13" s="2044"/>
      <c r="K13" s="2053"/>
      <c r="L13" s="2030"/>
      <c r="M13" s="2030"/>
      <c r="N13" s="2031"/>
      <c r="O13" s="2032"/>
      <c r="P13" s="2031"/>
      <c r="Q13" s="2031"/>
      <c r="R13" s="2031"/>
    </row>
    <row r="14" spans="1:19" ht="18" customHeight="1">
      <c r="A14" s="2075"/>
      <c r="B14" s="2076"/>
      <c r="C14" s="2077" t="s">
        <v>1799</v>
      </c>
      <c r="D14" s="1052"/>
      <c r="E14" s="1052">
        <v>40</v>
      </c>
      <c r="F14" s="1052"/>
      <c r="G14" s="1052"/>
      <c r="H14" s="1052"/>
      <c r="I14" s="1052"/>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f>IF(B12="出让",IF(E13="","",ROUNDDOWN(MIN((E13-$D$3)/365,E14),2)),E14)</f>
        <v>20.76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1801</v>
      </c>
      <c r="B16" s="3024" t="s">
        <v>3105</v>
      </c>
      <c r="C16" s="3025"/>
      <c r="D16" s="3026"/>
      <c r="E16" s="2084" t="s">
        <v>1802</v>
      </c>
      <c r="F16" s="3027" t="s">
        <v>3106</v>
      </c>
      <c r="G16" s="3028"/>
      <c r="H16" s="3028"/>
      <c r="I16" s="3029"/>
      <c r="J16" s="2031"/>
      <c r="K16" s="2081"/>
      <c r="L16" s="2082"/>
      <c r="M16" s="2082"/>
      <c r="N16" s="2083"/>
      <c r="O16" s="2082"/>
      <c r="P16" s="2083"/>
      <c r="Q16" s="2031"/>
      <c r="R16" s="2031"/>
    </row>
    <row r="17" spans="1:22" ht="18" customHeight="1">
      <c r="A17" s="2085" t="s">
        <v>1803</v>
      </c>
      <c r="B17" s="2037" t="s">
        <v>1804</v>
      </c>
      <c r="C17" s="1056">
        <f>'数据-汇总表'!E3</f>
        <v>32.75</v>
      </c>
      <c r="D17" s="2086" t="s">
        <v>1805</v>
      </c>
      <c r="E17" s="3030" t="s">
        <v>3109</v>
      </c>
      <c r="F17" s="3031"/>
      <c r="G17" s="3031"/>
      <c r="H17" s="3031"/>
      <c r="I17" s="3032"/>
      <c r="J17" s="2031"/>
      <c r="K17" s="2087"/>
      <c r="L17" s="2082"/>
      <c r="M17" s="2082"/>
      <c r="N17" s="2083"/>
      <c r="O17" s="2082"/>
      <c r="P17" s="2083"/>
      <c r="Q17" s="2031"/>
      <c r="R17" s="2031"/>
      <c r="S17" s="2031"/>
      <c r="T17" s="2031"/>
      <c r="U17" s="2031"/>
      <c r="V17" s="2031"/>
    </row>
    <row r="18" spans="1:22" ht="36" customHeight="1" thickBot="1">
      <c r="A18" s="2088" t="s">
        <v>3107</v>
      </c>
      <c r="B18" s="2040" t="s">
        <v>1806</v>
      </c>
      <c r="C18" s="1446">
        <f>'数据-汇总表'!D3</f>
        <v>2.06</v>
      </c>
      <c r="D18" s="2089" t="s">
        <v>1805</v>
      </c>
      <c r="E18" s="3033" t="s">
        <v>3108</v>
      </c>
      <c r="F18" s="3034"/>
      <c r="G18" s="3034"/>
      <c r="H18" s="3034"/>
      <c r="I18" s="3035"/>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3110</v>
      </c>
      <c r="D19" s="2091" t="s">
        <v>1809</v>
      </c>
      <c r="E19" s="2092" t="s">
        <v>3110</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0" t="s">
        <v>1811</v>
      </c>
      <c r="C20" s="3021"/>
      <c r="D20" s="3022" t="s">
        <v>1812</v>
      </c>
      <c r="E20" s="3023"/>
      <c r="F20" s="2096" t="s">
        <v>1813</v>
      </c>
      <c r="G20" s="2044"/>
      <c r="H20" s="2044"/>
      <c r="I20" s="2044"/>
      <c r="J20" s="2044"/>
      <c r="K20" s="3019"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3111</v>
      </c>
      <c r="D21" s="2099"/>
      <c r="E21" s="2100" t="s">
        <v>70</v>
      </c>
      <c r="F21" s="2101"/>
      <c r="G21" s="2044"/>
      <c r="H21" s="2044"/>
      <c r="I21" s="2044"/>
      <c r="J21" s="2044"/>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1816</v>
      </c>
      <c r="C22" s="2098" t="s">
        <v>1817</v>
      </c>
      <c r="D22" s="2028"/>
      <c r="E22" s="2028"/>
      <c r="F22" s="2103"/>
      <c r="G22" s="2044"/>
      <c r="H22" s="2044"/>
      <c r="I22" s="2044"/>
      <c r="J22" s="2044"/>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1820</v>
      </c>
      <c r="C24" s="2110"/>
      <c r="D24" s="2104" t="s">
        <v>1820</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1822</v>
      </c>
      <c r="C26" s="2114"/>
      <c r="D26" s="2115" t="s">
        <v>1823</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7" t="s">
        <v>1824</v>
      </c>
      <c r="B27" s="2062" t="s">
        <v>1825</v>
      </c>
      <c r="C27" s="2118" t="s">
        <v>3112</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7"/>
      <c r="B28" s="2037" t="s">
        <v>1826</v>
      </c>
      <c r="C28" s="2120" t="s">
        <v>3113</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7"/>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8"/>
      <c r="B30" s="2037" t="s">
        <v>1828</v>
      </c>
      <c r="C30" s="3039"/>
      <c r="D30" s="3040"/>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1" t="s">
        <v>1829</v>
      </c>
      <c r="B31" s="2125" t="s">
        <v>3114</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2"/>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2"/>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2" t="s">
        <v>3115</v>
      </c>
      <c r="C34" s="2132" t="s">
        <v>3116</v>
      </c>
      <c r="D34" s="2132" t="s">
        <v>3117</v>
      </c>
      <c r="E34" s="2132" t="s">
        <v>3118</v>
      </c>
      <c r="F34" s="2132" t="s">
        <v>3119</v>
      </c>
      <c r="G34" s="2132" t="s">
        <v>3120</v>
      </c>
      <c r="H34" s="2132"/>
      <c r="I34" s="2044"/>
      <c r="J34" s="2044"/>
      <c r="K34" s="1797">
        <f>COUNTIF(B34:H34,"——")</f>
        <v>0</v>
      </c>
      <c r="L34" s="2073" t="s">
        <v>1831</v>
      </c>
      <c r="M34" s="2073" t="s">
        <v>1832</v>
      </c>
      <c r="N34" s="2073" t="s">
        <v>1833</v>
      </c>
      <c r="O34" s="2073" t="s">
        <v>1834</v>
      </c>
      <c r="P34" s="2073" t="s">
        <v>1835</v>
      </c>
      <c r="Q34" s="2073" t="s">
        <v>1836</v>
      </c>
      <c r="R34" s="2073" t="s">
        <v>1837</v>
      </c>
      <c r="S34" s="3036" t="s">
        <v>1838</v>
      </c>
      <c r="T34" s="2133" t="str">
        <f>NUMBERSTRING(7-K34,1)&amp;"通"</f>
        <v>七通</v>
      </c>
      <c r="U34" s="2031"/>
      <c r="V34" s="2031"/>
    </row>
    <row r="35" spans="1:22" ht="18" customHeight="1">
      <c r="A35" s="2134"/>
      <c r="B35" s="3043" t="s">
        <v>1839</v>
      </c>
      <c r="C35" s="3043"/>
      <c r="D35" s="3043"/>
      <c r="E35" s="3043"/>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31"/>
      <c r="V35" s="2031"/>
    </row>
    <row r="36" spans="1:22" ht="18" customHeight="1">
      <c r="A36" s="2136"/>
      <c r="B36" s="2135" t="s">
        <v>1840</v>
      </c>
      <c r="C36" s="2135" t="s">
        <v>1841</v>
      </c>
      <c r="D36" s="2135" t="s">
        <v>1842</v>
      </c>
      <c r="E36" s="2135" t="s">
        <v>1843</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6.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面积表!H2</f>
        <v>2.06</v>
      </c>
      <c r="B3" s="14">
        <f>IF(C3="否",G5-AT5,G5)</f>
        <v>32.75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32.75</v>
      </c>
      <c r="H5" s="16">
        <f t="shared" ref="H5:AT5" si="0">SUM(H13:H656)</f>
        <v>32.75</v>
      </c>
      <c r="I5" s="16">
        <f t="shared" si="0"/>
        <v>32.75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32.75</v>
      </c>
      <c r="BA5" s="18">
        <f t="shared" si="1"/>
        <v>32.75</v>
      </c>
      <c r="BB5" s="18">
        <f t="shared" si="1"/>
        <v>32.75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2.06</v>
      </c>
      <c r="F6" s="16" t="s">
        <v>1</v>
      </c>
      <c r="G6" s="16" t="s">
        <v>2</v>
      </c>
      <c r="H6" s="20">
        <f>SUMIF(I$12:AB$12,"总值",I6:AB6)</f>
        <v>2.06</v>
      </c>
      <c r="I6" s="16">
        <f t="shared" ref="I6:AB6" si="2">ROUND($A$3*I5/$B$3,2)</f>
        <v>2.06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2.06</v>
      </c>
      <c r="AZ6" s="16" t="s">
        <v>3</v>
      </c>
      <c r="BA6" s="16">
        <f>ROUND($AY$6*BA5/$AZ$5,2)</f>
        <v>2.06</v>
      </c>
      <c r="BB6" s="16">
        <f>ROUND($AY$6*BB5/$AZ$5,2)</f>
        <v>2.06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1895</v>
      </c>
      <c r="I9" s="2190" t="s">
        <v>3122</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3123</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51">
      <c r="A13" s="1274"/>
      <c r="B13" s="1274"/>
      <c r="C13" s="1274" t="str">
        <f>面积表!B2</f>
        <v>广州市白云区黄石路天云街14号101商铺</v>
      </c>
      <c r="D13" s="2212" t="s">
        <v>3110</v>
      </c>
      <c r="E13" s="16">
        <f>IF($C$3="是",ROUND($A$3*G13/$B$3,2),ROUND($A$3*(G13-AT13)/$B$3,2))</f>
        <v>2.06</v>
      </c>
      <c r="F13" s="32"/>
      <c r="G13" s="33">
        <f>H13+AC13+AT13</f>
        <v>32.75</v>
      </c>
      <c r="H13" s="20">
        <f>SUMIF(I$12:AB$12,"总值",I13:AB13)</f>
        <v>32.75</v>
      </c>
      <c r="I13" s="2213">
        <f>面积表!J2</f>
        <v>32.75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广州市白云区黄石路天云街14号101商铺</v>
      </c>
      <c r="AY13" s="1808">
        <f>ROUND($AY$6*AZ13/$AZ$5,2)</f>
        <v>2.06</v>
      </c>
      <c r="AZ13" s="16">
        <f>BA13+BL13</f>
        <v>32.75</v>
      </c>
      <c r="BA13" s="16">
        <f>SUM(BB13:BK13)</f>
        <v>32.75</v>
      </c>
      <c r="BB13" s="16">
        <f>IF($D13="是",I13-J13,0)</f>
        <v>32.75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ustomHeight="1">
      <c r="A14" s="1274"/>
      <c r="B14" s="1274"/>
      <c r="C14" s="2152" t="str">
        <f>面积表!B3</f>
        <v>广州市白云区黄石路天云街14号102商铺</v>
      </c>
      <c r="D14" s="2212" t="s">
        <v>3121</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广州市白云区黄石路天云街14号102商铺</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c r="B15" s="1274"/>
      <c r="C15" s="2152" t="str">
        <f>面积表!B4</f>
        <v>广州市白云区黄石路天云街14号103商铺</v>
      </c>
      <c r="D15" s="2212" t="s">
        <v>3121</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广州市白云区黄石路天云街14号103商铺</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c r="B16" s="1274"/>
      <c r="C16" s="2152" t="str">
        <f>面积表!B5</f>
        <v>广州市白云区黄石路天云街14号105商铺</v>
      </c>
      <c r="D16" s="2212" t="s">
        <v>3121</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广州市白云区黄石路天云街14号105商铺</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c r="B17" s="1274"/>
      <c r="C17" s="2152" t="str">
        <f>面积表!B6</f>
        <v>广州市白云区黄石路天云街16号106商铺</v>
      </c>
      <c r="D17" s="2212" t="s">
        <v>3121</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广州市白云区黄石路天云街16号106商铺</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2" t="str">
        <f>面积表!B7</f>
        <v>广州市白云区黄石路天云街16号107商铺</v>
      </c>
      <c r="D18" s="2217" t="s">
        <v>3121</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str">
        <f t="shared" ref="AX18:AX112" si="13">C18</f>
        <v>广州市白云区黄石路天云街16号107商铺</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152" t="str">
        <f>面积表!B8</f>
        <v>广州市白云区黄石路天云街16号108商铺</v>
      </c>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t="str">
        <f t="shared" si="13"/>
        <v>广州市白云区黄石路天云街16号108商铺</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152" t="str">
        <f>面积表!B9</f>
        <v>广州市白云区黄石路天云街16号109商铺</v>
      </c>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str">
        <f t="shared" si="13"/>
        <v>广州市白云区黄石路天云街16号109商铺</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2" t="str">
        <f>面积表!B10</f>
        <v>广州市白云区黄石路天云街18号110商铺</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广州市白云区黄石路天云街18号110商铺</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152" t="str">
        <f>面积表!B11</f>
        <v>广州市白云区黄石路天云街18号111商铺</v>
      </c>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str">
        <f t="shared" si="13"/>
        <v>广州市白云区黄石路天云街18号111商铺</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152" t="str">
        <f>面积表!B12</f>
        <v>广州市白云区黄石路天云街18号112商铺</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str">
        <f t="shared" si="13"/>
        <v>广州市白云区黄石路天云街18号112商铺</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152" t="str">
        <f>面积表!B13</f>
        <v>广州市白云区黄石路天云街18号113商铺</v>
      </c>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str">
        <f t="shared" si="13"/>
        <v>广州市白云区黄石路天云街18号113商铺</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2" t="str">
        <f>面积表!B14</f>
        <v>广州市白云区黄石路天云街20号115商铺</v>
      </c>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广州市白云区黄石路天云街20号115商铺</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2" t="str">
        <f>面积表!B15</f>
        <v>广州市白云区黄石路天云街20号116商铺</v>
      </c>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广州市白云区黄石路天云街20号116商铺</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2" t="str">
        <f>面积表!B16</f>
        <v>广州市白云区黄石路天云街20号117商铺</v>
      </c>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广州市白云区黄石路天云街20号117商铺</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2" t="str">
        <f>面积表!B17</f>
        <v>广州市白云区黄石路天云街20号118商铺</v>
      </c>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广州市白云区黄石路天云街20号118商铺</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152" t="str">
        <f>面积表!B18</f>
        <v>广州市白云区黄石路天云街20号119商铺</v>
      </c>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t="str">
        <f t="shared" si="13"/>
        <v>广州市白云区黄石路天云街20号119商铺</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152" t="str">
        <f>面积表!B19</f>
        <v>广州市白云区黄石路天云街20号120商铺</v>
      </c>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t="str">
        <f t="shared" si="13"/>
        <v>广州市白云区黄石路天云街20号120商铺</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2"/>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2"/>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2"/>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2"/>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2"/>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2"/>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2"/>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2"/>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2"/>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2"/>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5" t="s">
        <v>1935</v>
      </c>
      <c r="B2" s="3055"/>
      <c r="C2" s="3055"/>
      <c r="D2" s="969" t="s">
        <v>1911</v>
      </c>
      <c r="E2" s="2226" t="s">
        <v>1912</v>
      </c>
      <c r="F2" s="1394"/>
      <c r="G2" s="2227"/>
      <c r="H2" s="2228"/>
      <c r="I2" s="2229" t="s">
        <v>1936</v>
      </c>
      <c r="J2" s="1394"/>
      <c r="K2" s="1394"/>
      <c r="L2" s="1394"/>
      <c r="M2" s="1394"/>
      <c r="N2" s="1429"/>
      <c r="O2" s="1394"/>
      <c r="P2" s="1394"/>
    </row>
    <row r="3" spans="1:16" ht="15.75" thickBot="1">
      <c r="A3" s="3056" t="s">
        <v>1909</v>
      </c>
      <c r="B3" s="3056"/>
      <c r="C3" s="3056"/>
      <c r="D3" s="46">
        <f>'数据-基础表'!AY6</f>
        <v>2.06</v>
      </c>
      <c r="E3" s="46">
        <f>'数据-基础表'!AZ5</f>
        <v>32.75</v>
      </c>
      <c r="F3" s="1394"/>
      <c r="G3" s="1401"/>
      <c r="H3" s="1249" t="s">
        <v>1910</v>
      </c>
      <c r="I3" s="55">
        <f>ROUND('数据-基础表'!B3/'数据-基础表'!A3,2)</f>
        <v>15.9</v>
      </c>
      <c r="J3" s="1394"/>
      <c r="K3" s="1394"/>
      <c r="L3" s="1394"/>
      <c r="M3" s="1394"/>
      <c r="N3" s="1429"/>
      <c r="O3" s="1394"/>
      <c r="P3" s="1394"/>
    </row>
    <row r="4" spans="1:16" ht="15">
      <c r="A4" s="3057"/>
      <c r="B4" s="3058"/>
      <c r="C4" s="3059"/>
      <c r="D4" s="2230" t="s">
        <v>1911</v>
      </c>
      <c r="E4" s="2231" t="s">
        <v>1912</v>
      </c>
      <c r="F4" s="1394"/>
      <c r="G4" s="2232" t="s">
        <v>1937</v>
      </c>
      <c r="H4" s="1249" t="s">
        <v>1917</v>
      </c>
      <c r="I4" s="55">
        <f>ROUND(SUMIF('数据-基础表'!I9:AS9,"地上",'数据-基础表'!I5:AS5)/'数据-基础表'!A3,2)</f>
        <v>15.9</v>
      </c>
      <c r="J4" s="1394"/>
      <c r="K4" s="1394"/>
      <c r="L4" s="1394"/>
      <c r="M4" s="1394"/>
      <c r="N4" s="1429"/>
      <c r="O4" s="1394"/>
      <c r="P4" s="1394"/>
    </row>
    <row r="5" spans="1:16">
      <c r="A5" s="47" t="s">
        <v>1913</v>
      </c>
      <c r="B5" s="3060" t="s">
        <v>1914</v>
      </c>
      <c r="C5" s="3060"/>
      <c r="D5" s="48">
        <f>ROUND($D$3*E5/$E$3,2)</f>
        <v>0</v>
      </c>
      <c r="E5" s="49">
        <f>SUMIF('数据-基础表'!$11:$11,"住宅",'数据-基础表'!$5:$5)</f>
        <v>0</v>
      </c>
      <c r="F5" s="1394"/>
      <c r="G5" s="1401"/>
      <c r="H5" s="1249" t="s">
        <v>1910</v>
      </c>
      <c r="I5" s="55">
        <f>ROUND(E31/D31,2)</f>
        <v>15.9</v>
      </c>
      <c r="J5" s="1394"/>
      <c r="K5" s="1394"/>
      <c r="L5" s="1394"/>
      <c r="M5" s="1394"/>
      <c r="N5" s="1394"/>
      <c r="O5" s="1394"/>
      <c r="P5" s="1394"/>
    </row>
    <row r="6" spans="1:16" ht="15" thickBot="1">
      <c r="A6" s="2233"/>
      <c r="B6" s="3060" t="s">
        <v>1915</v>
      </c>
      <c r="C6" s="3060"/>
      <c r="D6" s="48">
        <f>ROUND($D$3*E6/$E$3,2)</f>
        <v>2.06</v>
      </c>
      <c r="E6" s="49">
        <f>E3-E5</f>
        <v>32.75</v>
      </c>
      <c r="F6" s="1394"/>
      <c r="G6" s="2234" t="s">
        <v>1916</v>
      </c>
      <c r="H6" s="1401" t="s">
        <v>1917</v>
      </c>
      <c r="I6" s="941">
        <f>ROUND(F31/D31,2)</f>
        <v>15.9</v>
      </c>
      <c r="J6" s="1394"/>
      <c r="K6" s="1394"/>
      <c r="L6" s="1394"/>
      <c r="M6" s="1394"/>
      <c r="N6" s="1394"/>
      <c r="O6" s="1394"/>
      <c r="P6" s="1394"/>
    </row>
    <row r="7" spans="1:16" ht="15">
      <c r="A7" s="3052"/>
      <c r="B7" s="3053"/>
      <c r="C7" s="3054"/>
      <c r="D7" s="2230" t="s">
        <v>1911</v>
      </c>
      <c r="E7" s="2235" t="s">
        <v>1918</v>
      </c>
      <c r="F7" s="1394"/>
      <c r="G7" s="2227" t="s">
        <v>1919</v>
      </c>
      <c r="H7" s="64"/>
      <c r="I7" s="420"/>
      <c r="J7" s="1394"/>
      <c r="K7" s="1394"/>
      <c r="L7" s="1394"/>
      <c r="M7" s="1394"/>
      <c r="N7" s="1394"/>
      <c r="O7" s="1394"/>
      <c r="P7" s="1394"/>
    </row>
    <row r="8" spans="1:16">
      <c r="A8" s="47" t="s">
        <v>1920</v>
      </c>
      <c r="B8" s="50" t="s">
        <v>1921</v>
      </c>
      <c r="C8" s="48" t="s">
        <v>1922</v>
      </c>
      <c r="D8" s="48">
        <f t="shared" ref="D8:D15" si="0">ROUND($D$3*E8/$E$3,2)</f>
        <v>2.06</v>
      </c>
      <c r="E8" s="51">
        <f>SUMIF('数据-基础表'!BB10:BK10,"地上",'数据-基础表'!BB5:BK5)</f>
        <v>32.75</v>
      </c>
      <c r="F8" s="1394"/>
      <c r="G8" s="2236"/>
      <c r="H8" s="2236"/>
      <c r="I8" s="1394"/>
      <c r="J8" s="1394"/>
      <c r="K8" s="1394"/>
      <c r="L8" s="1394"/>
      <c r="M8" s="1394"/>
      <c r="N8" s="1394"/>
      <c r="O8" s="1394"/>
      <c r="P8" s="1394"/>
    </row>
    <row r="9" spans="1:16">
      <c r="A9" s="2237"/>
      <c r="B9" s="2238"/>
      <c r="C9" s="48" t="s">
        <v>1923</v>
      </c>
      <c r="D9" s="48">
        <f t="shared" si="0"/>
        <v>0</v>
      </c>
      <c r="E9" s="52">
        <v>0</v>
      </c>
      <c r="F9" s="1394"/>
      <c r="G9" s="2236"/>
      <c r="H9" s="2236"/>
      <c r="I9" s="1394"/>
      <c r="J9" s="1394"/>
      <c r="K9" s="1394"/>
      <c r="L9" s="1394"/>
      <c r="M9" s="1394"/>
      <c r="N9" s="1394"/>
      <c r="O9" s="1394"/>
      <c r="P9" s="1394"/>
    </row>
    <row r="10" spans="1:16">
      <c r="A10" s="2237"/>
      <c r="B10" s="2238"/>
      <c r="C10" s="48" t="s">
        <v>1932</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1924</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1925</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1926</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1938</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1933</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1927</v>
      </c>
      <c r="D16" s="50">
        <f>SUM(D8:D15)</f>
        <v>2.06</v>
      </c>
      <c r="E16" s="53">
        <f>SUM(E8:E15)</f>
        <v>32.75</v>
      </c>
      <c r="F16" s="1394"/>
      <c r="G16" s="2236"/>
      <c r="H16" s="2239" t="s">
        <v>1939</v>
      </c>
      <c r="I16" s="2240"/>
      <c r="J16" s="1394"/>
      <c r="K16" s="3049" t="s">
        <v>1939</v>
      </c>
      <c r="L16" s="3050"/>
      <c r="M16" s="3050"/>
      <c r="N16" s="3050"/>
      <c r="O16" s="3050"/>
      <c r="P16" s="3051"/>
    </row>
    <row r="17" spans="1:19" ht="15">
      <c r="A17" s="2241" t="s">
        <v>1940</v>
      </c>
      <c r="B17" s="2242" t="s">
        <v>1941</v>
      </c>
      <c r="C17" s="2243" t="s">
        <v>1942</v>
      </c>
      <c r="D17" s="2244" t="s">
        <v>1930</v>
      </c>
      <c r="E17" s="2245" t="s">
        <v>1931</v>
      </c>
      <c r="F17" s="2246"/>
      <c r="G17" s="2247"/>
      <c r="H17" s="2248" t="s">
        <v>1943</v>
      </c>
      <c r="I17" s="2249" t="s">
        <v>1928</v>
      </c>
      <c r="J17" s="1394"/>
      <c r="K17" s="3046" t="s">
        <v>1944</v>
      </c>
      <c r="L17" s="3047"/>
      <c r="M17" s="3048"/>
      <c r="N17" s="3046" t="s">
        <v>1945</v>
      </c>
      <c r="O17" s="3047"/>
      <c r="P17" s="3048"/>
      <c r="R17" s="2227" t="s">
        <v>1946</v>
      </c>
      <c r="S17" s="64"/>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50" t="s">
        <v>1929</v>
      </c>
      <c r="C19" s="2259" t="s">
        <v>3186</v>
      </c>
      <c r="D19" s="48">
        <f>ROUND($D$3*E19/$E$3,2)</f>
        <v>2.06</v>
      </c>
      <c r="E19" s="56">
        <f t="shared" ref="E19:E26" si="1">SUM(F19:G19)</f>
        <v>32.75</v>
      </c>
      <c r="F19" s="57">
        <f>'数据-基础表'!I13</f>
        <v>32.75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2.06</v>
      </c>
      <c r="S19" s="1250">
        <f t="shared" si="5"/>
        <v>32.75</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1957</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1958</v>
      </c>
      <c r="D27" s="1395">
        <f>SUM(D19:D26)</f>
        <v>2.06</v>
      </c>
      <c r="E27" s="1396">
        <f>IF(SUM(E19:E26)='数据-基础表'!BA5,SUM(E19:E26),IF(F27="地上面积有误","面积有误","地下面积有误"))</f>
        <v>32.75</v>
      </c>
      <c r="F27" s="1395">
        <f>IF(SUM(F19:F26)=E8,SUM(F19:F26),"地上面积有误")</f>
        <v>32.75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2.06</v>
      </c>
      <c r="S27" s="1249">
        <f>IF(SUM(S19:S26)=$E$3,SUM(S19:S26),SUM(S19:S26)&amp;"误差"&amp;ROUND(SUM(S19:S26)-E3,2))</f>
        <v>32.75</v>
      </c>
    </row>
    <row r="28" spans="1:19">
      <c r="A28" s="2262"/>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1959</v>
      </c>
      <c r="C29" s="2266"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2.06</v>
      </c>
      <c r="E31" s="728">
        <f>E27+E30</f>
        <v>32.75</v>
      </c>
      <c r="F31" s="729">
        <f>F27+F30</f>
        <v>32.75</v>
      </c>
      <c r="G31" s="730">
        <f>G27+G30</f>
        <v>0</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43316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297" t="s">
        <v>3124</v>
      </c>
      <c r="O5" s="2295" t="s">
        <v>1985</v>
      </c>
      <c r="P5" s="2298" t="s">
        <v>1986</v>
      </c>
      <c r="Q5" s="69" t="s">
        <v>1987</v>
      </c>
      <c r="R5" s="2299" t="s">
        <v>1988</v>
      </c>
      <c r="S5" s="2300" t="s">
        <v>1989</v>
      </c>
      <c r="T5" s="2301" t="s">
        <v>1990</v>
      </c>
      <c r="U5" s="1269" t="s">
        <v>1991</v>
      </c>
      <c r="V5" s="1270" t="s">
        <v>1992</v>
      </c>
      <c r="W5" s="1270" t="s">
        <v>1993</v>
      </c>
      <c r="X5" s="71"/>
      <c r="Y5" s="70" t="s">
        <v>1994</v>
      </c>
      <c r="Z5" s="2302" t="s">
        <v>1991</v>
      </c>
      <c r="AA5" s="1270" t="s">
        <v>1992</v>
      </c>
      <c r="AB5" s="1270" t="s">
        <v>1993</v>
      </c>
      <c r="AC5" s="71"/>
      <c r="AD5" s="71" t="s">
        <v>1994</v>
      </c>
      <c r="AE5" s="1269" t="s">
        <v>1995</v>
      </c>
      <c r="AF5" s="1270" t="s">
        <v>1996</v>
      </c>
      <c r="AG5" s="70" t="s">
        <v>1997</v>
      </c>
      <c r="AH5" s="1269" t="s">
        <v>1998</v>
      </c>
      <c r="AI5" s="2302" t="s">
        <v>1999</v>
      </c>
      <c r="AJ5" s="2302" t="s">
        <v>2000</v>
      </c>
      <c r="AK5" s="1270" t="s">
        <v>2001</v>
      </c>
      <c r="AL5" s="1270" t="s">
        <v>2002</v>
      </c>
      <c r="AM5" s="70" t="s">
        <v>2003</v>
      </c>
      <c r="AN5" s="2303" t="s">
        <v>2004</v>
      </c>
      <c r="AO5" s="2073" t="s">
        <v>2005</v>
      </c>
      <c r="AP5" s="1251"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底商101</v>
      </c>
      <c r="B6" s="2306" t="str">
        <f>IF(A6=0,"","经营性")</f>
        <v>经营性</v>
      </c>
      <c r="C6" s="2307" t="s">
        <v>1377</v>
      </c>
      <c r="D6" s="1053">
        <f>SUMIF(项目基本情况!D$12:I$12,C6,项目基本情况!D$14:I$14)</f>
        <v>40</v>
      </c>
      <c r="E6" s="1050">
        <f>IF(B6="","",SUMIF(项目基本情况!D$12:I$12,C6,项目基本情况!D$13:I$13))</f>
        <v>50896</v>
      </c>
      <c r="F6" s="72">
        <f>SUMIF(项目基本情况!D$12:I$12,C6,项目基本情况!D$15:I$15)</f>
        <v>20.76</v>
      </c>
      <c r="G6" s="73">
        <f>IF(ISERROR(ROUND(POWER(1+H6,D6-F6)*(POWER(1+H6,F6)-1)/(POWER(1+H6,D6)-1),3)),0,ROUND(POWER(1+H6,D6-F6)*(POWER(1+H6,F6)-1)/(POWER(1+H6,D6)-1),3))</f>
        <v>0.74199999999999999</v>
      </c>
      <c r="H6" s="2963">
        <v>0.05</v>
      </c>
      <c r="I6" s="2963">
        <v>5.5E-2</v>
      </c>
      <c r="J6" s="74">
        <v>0.08</v>
      </c>
      <c r="K6" s="1253">
        <f>SUMIF('数据-汇总表'!C$19:C$33,A6,'数据-汇总表'!E$19:E$33)</f>
        <v>32.75</v>
      </c>
      <c r="L6" s="2967">
        <v>2800</v>
      </c>
      <c r="M6" s="75">
        <f t="shared" ref="M6:M14" si="0">ROUND(K6*L6/10000,0)</f>
        <v>9</v>
      </c>
      <c r="N6" s="800">
        <f>ROUND((44/60+80%)/2,2)</f>
        <v>0.77</v>
      </c>
      <c r="O6" s="75" t="str">
        <f>IF($N$5="成新度","——",ROUND(M6*N6,0))</f>
        <v>——</v>
      </c>
      <c r="P6" s="76" t="str">
        <f>IF($N$5="成新度","——",M6-O6)</f>
        <v>——</v>
      </c>
      <c r="Q6" s="803">
        <v>0.15</v>
      </c>
      <c r="R6" s="77">
        <f ca="1">SUMIF('数据-汇总表'!C$19:C$33,A6,'数据-汇总表'!R$19:R$27)</f>
        <v>2.06</v>
      </c>
      <c r="S6" s="54">
        <f>IF('数据-汇总表'!$I$17="按面积比例",SUMIF('数据-汇总表'!C$19:C$33,A6,'数据-汇总表'!K$19:K$33),SUMIF('数据-汇总表'!C$19:C$33,A6,'数据-汇总表'!N$19:N$33))</f>
        <v>0</v>
      </c>
      <c r="T6" s="1445">
        <f>ROUND($L$14*S6/10000,0)</f>
        <v>0</v>
      </c>
      <c r="U6" s="78">
        <v>3.5</v>
      </c>
      <c r="V6" s="2964">
        <v>0.03</v>
      </c>
      <c r="W6" s="79">
        <v>0.1</v>
      </c>
      <c r="X6" s="1263"/>
      <c r="Y6" s="80">
        <f>N6</f>
        <v>0.77</v>
      </c>
      <c r="Z6" s="81"/>
      <c r="AA6" s="74"/>
      <c r="AB6" s="74"/>
      <c r="AC6" s="1263"/>
      <c r="AD6" s="82"/>
      <c r="AE6" s="1264">
        <f ca="1">IF(AN6="",0,SUMIF(INDIRECT("'"&amp;AN6&amp;"'"&amp;"!E:E"),$AE$5,INDIRECT("'"&amp;AN6&amp;"'"&amp;"!F:F")))</f>
        <v>20.76</v>
      </c>
      <c r="AF6" s="1806"/>
      <c r="AG6" s="147">
        <f>IF(AF6="",0,AE6-AF6)</f>
        <v>0</v>
      </c>
      <c r="AH6" s="83"/>
      <c r="AI6" s="85">
        <v>365</v>
      </c>
      <c r="AJ6" s="86"/>
      <c r="AK6" s="87">
        <v>1.4999999999999999E-2</v>
      </c>
      <c r="AL6" s="88">
        <v>1.5E-3</v>
      </c>
      <c r="AM6" s="89">
        <v>0.01</v>
      </c>
      <c r="AN6" s="2308" t="s">
        <v>3125</v>
      </c>
      <c r="AO6" s="55">
        <f ca="1">SUMIF(INDIRECT("'"&amp;AN6&amp;"'"&amp;"!A:A"),"总价",INDIRECT("'"&amp;AN6&amp;"'"&amp;"!B:B"))</f>
        <v>45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7"/>
      <c r="D16" s="2313"/>
      <c r="E16" s="97"/>
      <c r="F16" s="97"/>
      <c r="G16" s="98">
        <f>ROUND(SUMPRODUCT(G6:G13,K6:K13)/SUMPRODUCT((G6:G13&gt;0)*(K6:K13)),3)</f>
        <v>0.74199999999999999</v>
      </c>
      <c r="H16" s="99">
        <f>ROUND(SUMPRODUCT(H6:H13,K6:K13)/SUMPRODUCT((H6:H13&gt;0)*(K6:K13)),3)</f>
        <v>0.05</v>
      </c>
      <c r="I16" s="100"/>
      <c r="J16" s="100"/>
      <c r="K16" s="101">
        <f>SUM(K6:K15)</f>
        <v>32.75</v>
      </c>
      <c r="L16" s="102">
        <f>ROUND(M16*10000/SUM(K6:K14),0)</f>
        <v>2748</v>
      </c>
      <c r="M16" s="102">
        <f>SUM(M6:M14)</f>
        <v>9</v>
      </c>
      <c r="N16" s="103">
        <f>ROUND(SUMPRODUCT(M6:M14,N6:N14)/M16,3)</f>
        <v>0.77</v>
      </c>
      <c r="O16" s="102">
        <f>SUM(O6:O14)</f>
        <v>0</v>
      </c>
      <c r="P16" s="102">
        <f>SUM(P6:P14)</f>
        <v>0</v>
      </c>
      <c r="Q16" s="104">
        <f>ROUND(SUMPRODUCT(Q6:Q13,K6:K13)/SUMPRODUCT((Q6:Q13&gt;0)*(K6:K13)),2)</f>
        <v>0.15</v>
      </c>
      <c r="R16" s="1257">
        <f ca="1">SUM(R6:R13)</f>
        <v>2.06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2</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1766" t="s">
        <v>2027</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2028</v>
      </c>
      <c r="B28" s="119"/>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2029</v>
      </c>
      <c r="B29" s="121"/>
      <c r="C29" s="1766" t="s">
        <v>2030</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2031</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2032</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2033</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2034</v>
      </c>
      <c r="B33" s="725">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2036</v>
      </c>
      <c r="B34" s="122">
        <v>0</v>
      </c>
      <c r="C34" s="1765" t="s">
        <v>2037</v>
      </c>
      <c r="D34" s="2277" t="s">
        <v>2038</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2039</v>
      </c>
      <c r="B35" s="119">
        <v>200</v>
      </c>
      <c r="C35" s="1765" t="s">
        <v>2040</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2965">
        <v>0.03</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2">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10</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442</v>
      </c>
      <c r="C53" s="1429"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10</v>
      </c>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1" t="s">
        <v>2080</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70" t="s">
        <v>2084</v>
      </c>
      <c r="C3" s="2369"/>
      <c r="D3" s="2370"/>
      <c r="E3" s="431" t="s">
        <v>2083</v>
      </c>
      <c r="F3" s="2371" t="s">
        <v>2085</v>
      </c>
      <c r="G3" s="2372"/>
      <c r="H3" s="2367"/>
      <c r="I3" s="2367"/>
      <c r="J3" s="2367"/>
      <c r="K3" s="2367"/>
      <c r="L3" s="2367"/>
      <c r="M3" s="2367"/>
      <c r="N3" s="2367"/>
      <c r="O3" s="2367"/>
      <c r="P3" s="2367"/>
      <c r="Q3" s="2367"/>
      <c r="R3" s="2367"/>
    </row>
    <row r="4" spans="1:29" ht="15">
      <c r="A4" s="431"/>
      <c r="B4" s="1797" t="s">
        <v>2086</v>
      </c>
      <c r="C4" s="2953" t="s">
        <v>3126</v>
      </c>
      <c r="D4" s="2370"/>
      <c r="E4" s="2373"/>
      <c r="F4" s="42" t="s">
        <v>2087</v>
      </c>
      <c r="G4" s="2374"/>
      <c r="H4" s="2367"/>
      <c r="I4" s="2367"/>
      <c r="J4" s="2367"/>
      <c r="K4" s="2367"/>
      <c r="L4" s="2367"/>
      <c r="M4" s="2367"/>
      <c r="N4" s="2367"/>
      <c r="O4" s="2367"/>
      <c r="P4" s="2367"/>
      <c r="Q4" s="2367"/>
      <c r="R4" s="2367"/>
    </row>
    <row r="5" spans="1:29" ht="15">
      <c r="A5" s="431"/>
      <c r="B5" s="1797" t="s">
        <v>2088</v>
      </c>
      <c r="C5" s="2953"/>
      <c r="D5" s="2370"/>
      <c r="E5" s="2373"/>
      <c r="F5" s="1797" t="s">
        <v>2089</v>
      </c>
      <c r="G5" s="2374"/>
      <c r="H5" s="2367"/>
      <c r="I5" s="2367"/>
      <c r="J5" s="2367"/>
      <c r="K5" s="2367"/>
      <c r="L5" s="2367"/>
      <c r="M5" s="2367"/>
      <c r="N5" s="2367"/>
      <c r="O5" s="2367"/>
      <c r="P5" s="2367"/>
      <c r="Q5" s="2367"/>
      <c r="R5" s="2367"/>
    </row>
    <row r="6" spans="1:29" ht="15">
      <c r="A6" s="431"/>
      <c r="B6" s="1797" t="s">
        <v>2090</v>
      </c>
      <c r="C6" s="2954" t="s">
        <v>3127</v>
      </c>
      <c r="D6" s="2370"/>
      <c r="E6" s="2373"/>
      <c r="F6" s="1797" t="s">
        <v>2091</v>
      </c>
      <c r="G6" s="2374"/>
      <c r="H6" s="2367"/>
      <c r="I6" s="2367"/>
      <c r="J6" s="2367"/>
      <c r="K6" s="2367"/>
      <c r="L6" s="2367"/>
      <c r="M6" s="2367"/>
      <c r="N6" s="2367"/>
      <c r="O6" s="2367"/>
      <c r="P6" s="2367"/>
      <c r="Q6" s="2367"/>
      <c r="R6" s="2367"/>
    </row>
    <row r="7" spans="1:29" ht="15.75" thickBot="1">
      <c r="A7" s="431"/>
      <c r="B7" s="1797" t="s">
        <v>2089</v>
      </c>
      <c r="C7" s="2954" t="s">
        <v>3128</v>
      </c>
      <c r="D7" s="2375"/>
      <c r="E7" s="2376"/>
      <c r="F7" s="2377" t="s">
        <v>2092</v>
      </c>
      <c r="G7" s="2378"/>
      <c r="H7" s="2367"/>
      <c r="I7" s="2367"/>
      <c r="J7" s="2367"/>
      <c r="K7" s="2367"/>
      <c r="L7" s="2367"/>
      <c r="M7" s="2367"/>
      <c r="N7" s="2367"/>
      <c r="O7" s="2367"/>
      <c r="P7" s="2367"/>
      <c r="Q7" s="2367"/>
      <c r="R7" s="2367"/>
    </row>
    <row r="8" spans="1:29" ht="15">
      <c r="A8" s="431"/>
      <c r="B8" s="1797" t="s">
        <v>2091</v>
      </c>
      <c r="C8" s="2954" t="s">
        <v>3129</v>
      </c>
      <c r="D8" s="2375"/>
      <c r="E8" s="2375"/>
      <c r="F8" s="1135"/>
      <c r="G8" s="1135"/>
      <c r="H8" s="2367"/>
      <c r="I8" s="2367"/>
      <c r="J8" s="2367"/>
      <c r="K8" s="2367"/>
      <c r="L8" s="2367"/>
      <c r="M8" s="2367"/>
      <c r="N8" s="2367"/>
      <c r="O8" s="2367"/>
      <c r="P8" s="2367"/>
      <c r="Q8" s="2367"/>
      <c r="R8" s="2367"/>
    </row>
    <row r="9" spans="1:29" ht="15">
      <c r="A9" s="431"/>
      <c r="B9" s="1797" t="s">
        <v>2093</v>
      </c>
      <c r="C9" s="2953" t="s">
        <v>3130</v>
      </c>
      <c r="D9" s="2370"/>
      <c r="E9" s="2375"/>
      <c r="F9" s="1135"/>
      <c r="G9" s="1135"/>
      <c r="H9" s="2367"/>
      <c r="I9" s="2367"/>
      <c r="J9" s="2367"/>
      <c r="K9" s="2367"/>
      <c r="L9" s="2367"/>
      <c r="M9" s="2367"/>
      <c r="N9" s="2367"/>
      <c r="O9" s="2367"/>
      <c r="P9" s="2367"/>
      <c r="Q9" s="2367"/>
      <c r="R9" s="2367"/>
    </row>
    <row r="10" spans="1:29" s="117" customFormat="1" ht="15.75" thickBot="1">
      <c r="A10" s="2379"/>
      <c r="B10" s="2380" t="s">
        <v>2094</v>
      </c>
      <c r="C10" s="2955" t="s">
        <v>3131</v>
      </c>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2095</v>
      </c>
      <c r="B13" s="2385"/>
      <c r="C13" s="2385"/>
      <c r="D13" s="2392"/>
      <c r="E13" s="2385"/>
      <c r="F13" s="2385"/>
      <c r="G13" s="2385"/>
    </row>
    <row r="14" spans="1:29" ht="15.75" thickBot="1">
      <c r="A14" s="2396"/>
      <c r="B14" s="2397"/>
      <c r="C14" s="2398" t="s">
        <v>2096</v>
      </c>
      <c r="D14" s="2370"/>
      <c r="E14" s="2399"/>
      <c r="F14" s="2399"/>
      <c r="G14" s="2364" t="s">
        <v>2097</v>
      </c>
    </row>
    <row r="15" spans="1:29" ht="27">
      <c r="A15" s="68" t="s">
        <v>2098</v>
      </c>
      <c r="B15" s="1269" t="s">
        <v>2084</v>
      </c>
      <c r="C15" s="2400">
        <f>C3</f>
        <v>0</v>
      </c>
      <c r="D15" s="2370"/>
      <c r="E15" s="2401" t="s">
        <v>2099</v>
      </c>
      <c r="F15" s="1269" t="s">
        <v>2100</v>
      </c>
      <c r="G15" s="135">
        <f>G3</f>
        <v>0</v>
      </c>
    </row>
    <row r="16" spans="1:29" ht="15">
      <c r="A16" s="645"/>
      <c r="B16" s="2402" t="s">
        <v>2086</v>
      </c>
      <c r="C16" s="2403" t="str">
        <f>C4</f>
        <v>一般</v>
      </c>
      <c r="D16" s="2370"/>
      <c r="E16" s="2404"/>
      <c r="F16" s="2405" t="s">
        <v>2087</v>
      </c>
      <c r="G16" s="136">
        <f>G4</f>
        <v>0</v>
      </c>
    </row>
    <row r="17" spans="1:18" ht="15">
      <c r="A17" s="645"/>
      <c r="B17" s="2402" t="s">
        <v>2088</v>
      </c>
      <c r="C17" s="2403">
        <f>C5</f>
        <v>0</v>
      </c>
      <c r="D17" s="2375"/>
      <c r="E17" s="2404"/>
      <c r="F17" s="2405" t="s">
        <v>2101</v>
      </c>
      <c r="G17" s="1571"/>
    </row>
    <row r="18" spans="1:18" ht="15">
      <c r="A18" s="645"/>
      <c r="B18" s="2405" t="s">
        <v>2090</v>
      </c>
      <c r="C18" s="136" t="str">
        <f>C6</f>
        <v>较好</v>
      </c>
      <c r="D18" s="2375"/>
      <c r="E18" s="2404"/>
      <c r="F18" s="2405" t="s">
        <v>2092</v>
      </c>
      <c r="G18" s="136">
        <f>G7</f>
        <v>0</v>
      </c>
    </row>
    <row r="19" spans="1:18" ht="15">
      <c r="A19" s="645"/>
      <c r="B19" s="2405" t="s">
        <v>2102</v>
      </c>
      <c r="C19" s="1571"/>
      <c r="D19" s="2370"/>
      <c r="E19" s="2404"/>
      <c r="F19" s="1797" t="s">
        <v>2089</v>
      </c>
      <c r="G19" s="136">
        <f>G5</f>
        <v>0</v>
      </c>
    </row>
    <row r="20" spans="1:18" ht="15">
      <c r="A20" s="645"/>
      <c r="B20" s="2405" t="s">
        <v>2103</v>
      </c>
      <c r="C20" s="2403" t="str">
        <f>C9</f>
        <v>较好</v>
      </c>
      <c r="D20" s="2375"/>
      <c r="E20" s="2404"/>
      <c r="F20" s="1797" t="s">
        <v>2104</v>
      </c>
      <c r="G20" s="136">
        <f>G6</f>
        <v>0</v>
      </c>
    </row>
    <row r="21" spans="1:18" ht="15">
      <c r="A21" s="645"/>
      <c r="B21" s="1797" t="s">
        <v>2089</v>
      </c>
      <c r="C21" s="136" t="str">
        <f>C7</f>
        <v>较齐备</v>
      </c>
      <c r="D21" s="2370"/>
      <c r="E21" s="2404"/>
      <c r="F21" s="2405" t="s">
        <v>2105</v>
      </c>
      <c r="G21" s="2406"/>
    </row>
    <row r="22" spans="1:18" ht="13.5" customHeight="1">
      <c r="A22" s="645"/>
      <c r="B22" s="1797" t="s">
        <v>2091</v>
      </c>
      <c r="C22" s="136" t="str">
        <f>C8</f>
        <v>六通</v>
      </c>
      <c r="D22" s="2370"/>
      <c r="E22" s="2404"/>
      <c r="F22" s="2405" t="s">
        <v>2094</v>
      </c>
      <c r="G22" s="1571"/>
    </row>
    <row r="23" spans="1:18" s="2367" customFormat="1" ht="15.75" thickBot="1">
      <c r="A23" s="645"/>
      <c r="B23" s="2405" t="s">
        <v>2105</v>
      </c>
      <c r="C23" s="2406" t="s">
        <v>3132</v>
      </c>
      <c r="D23" s="2393"/>
      <c r="E23" s="2407"/>
      <c r="F23" s="2408" t="s">
        <v>2106</v>
      </c>
      <c r="G23" s="2409"/>
      <c r="H23" s="2393"/>
      <c r="I23" s="2394"/>
      <c r="J23" s="2393"/>
      <c r="K23" s="2393"/>
      <c r="L23" s="2394"/>
      <c r="M23" s="2393"/>
      <c r="N23" s="2393"/>
      <c r="O23" s="2394"/>
      <c r="P23" s="2393"/>
      <c r="Q23" s="2393"/>
      <c r="R23" s="2395"/>
    </row>
    <row r="24" spans="1:18" s="2367" customFormat="1" ht="15.75" thickBot="1">
      <c r="A24" s="2410"/>
      <c r="B24" s="2408" t="s">
        <v>2107</v>
      </c>
      <c r="C24" s="137" t="str">
        <f>C10</f>
        <v>区内道路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4011.5999999999995</v>
      </c>
      <c r="C1" s="1744"/>
      <c r="D1" s="1744"/>
      <c r="E1" s="1744"/>
      <c r="F1" s="1744"/>
      <c r="G1" s="1742"/>
    </row>
    <row r="2" spans="1:10" ht="16.5">
      <c r="A2" s="1745" t="s">
        <v>1353</v>
      </c>
      <c r="B2" s="1745">
        <f>SUM(C14:C23)</f>
        <v>253.70000000000002</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8361</v>
      </c>
      <c r="C5" s="1745">
        <f ca="1">ROUND(B5*10000/$B$1,0)</f>
        <v>20842</v>
      </c>
      <c r="D5" s="1745">
        <f ca="1">ROUND(B5*10000/$B$2,0)</f>
        <v>329562</v>
      </c>
      <c r="E5" s="1744"/>
      <c r="F5" s="1742"/>
      <c r="G5" s="1742"/>
    </row>
    <row r="6" spans="1:10" ht="16.5">
      <c r="A6" s="1745" t="s">
        <v>1356</v>
      </c>
      <c r="B6" s="1745">
        <f ca="1">SUM(G14:G23)</f>
        <v>8361</v>
      </c>
      <c r="C6" s="1745">
        <f ca="1">ROUND(B6*10000/$B$1,0)</f>
        <v>20842</v>
      </c>
      <c r="D6" s="1745">
        <f ca="1">ROUND(B6*10000/$B$2,0)</f>
        <v>329562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32.75</v>
      </c>
      <c r="C14" s="1743">
        <f>结果表!C118</f>
        <v>2.06</v>
      </c>
      <c r="D14" s="1743">
        <f ca="1">结果表!H118</f>
        <v>75</v>
      </c>
      <c r="E14" s="1743">
        <f ca="1">ROUND(D14*10000/B14,0)</f>
        <v>22901</v>
      </c>
      <c r="F14" s="1743">
        <f ca="1">ROUND(D14*10000/C14,0)</f>
        <v>364078</v>
      </c>
      <c r="G14" s="1743">
        <f ca="1">结果表!D122</f>
        <v>75</v>
      </c>
      <c r="H14" s="1743" t="str">
        <f>结果表!D124</f>
        <v>——</v>
      </c>
      <c r="I14" s="1743" t="str">
        <f>结果表!D126</f>
        <v>——</v>
      </c>
      <c r="J14" s="1742"/>
    </row>
    <row r="15" spans="1:10" ht="16.5">
      <c r="A15" s="1741" t="s">
        <v>1349</v>
      </c>
      <c r="B15" s="1748">
        <f>面积表!J20-面积表!J2</f>
        <v>729.31999999999994</v>
      </c>
      <c r="C15" s="1748">
        <f>面积表!H20-面积表!H2</f>
        <v>45.870000000000005</v>
      </c>
      <c r="D15" s="1748">
        <f ca="1">典型户型修正!S22-D14</f>
        <v>1672</v>
      </c>
      <c r="E15" s="1743">
        <f t="shared" ref="E15:E23" ca="1" si="0">ROUND(D15*10000/B15,0)</f>
        <v>22925</v>
      </c>
      <c r="F15" s="1743">
        <f t="shared" ref="F15:F23" ca="1" si="1">ROUND(D15*10000/C15,0)</f>
        <v>364508</v>
      </c>
      <c r="G15" s="1749">
        <f ca="1">D15</f>
        <v>1672</v>
      </c>
      <c r="H15" s="1749"/>
      <c r="I15" s="1748"/>
      <c r="J15" s="1742"/>
    </row>
    <row r="16" spans="1:10" ht="16.5">
      <c r="A16" s="1741" t="s">
        <v>1348</v>
      </c>
      <c r="B16" s="1748">
        <f>[1]系统读取表!$B$14</f>
        <v>3249.5299999999997</v>
      </c>
      <c r="C16" s="1748">
        <f>[1]系统读取表!$C$14</f>
        <v>205.77</v>
      </c>
      <c r="D16" s="1748">
        <f ca="1">[1]系统读取表!$D$14</f>
        <v>6614</v>
      </c>
      <c r="E16" s="1743">
        <f t="shared" ca="1" si="0"/>
        <v>20354</v>
      </c>
      <c r="F16" s="1743">
        <f t="shared" ca="1" si="1"/>
        <v>321427</v>
      </c>
      <c r="G16" s="1749">
        <f ca="1">D16</f>
        <v>6614</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2108</v>
      </c>
      <c r="B1" s="2416"/>
      <c r="C1" s="2417"/>
      <c r="D1" s="2416"/>
      <c r="E1" s="2416"/>
      <c r="F1" s="2418" t="s">
        <v>2109</v>
      </c>
      <c r="G1" s="2069" t="s">
        <v>3114</v>
      </c>
      <c r="H1" s="2419" t="str">
        <f>IF(G1="现房","——","估价对象范围")</f>
        <v>——</v>
      </c>
      <c r="I1" s="2420" t="s">
        <v>3133</v>
      </c>
    </row>
    <row r="2" spans="1:12" ht="21.75" customHeight="1" thickBot="1">
      <c r="A2" s="3135" t="str">
        <f>项目基本情况!S2</f>
        <v>广东省广州市白云区黄石路天云街14号101商铺等18套商业用房及翰云路287号之一201铺等2套商业用房房地产</v>
      </c>
      <c r="B2" s="3136"/>
      <c r="C2" s="3136"/>
      <c r="D2" s="3136"/>
      <c r="E2" s="3136"/>
      <c r="F2" s="3136"/>
      <c r="G2" s="3136"/>
      <c r="H2" s="3136"/>
      <c r="I2" s="3137"/>
    </row>
    <row r="3" spans="1:12" ht="12.75">
      <c r="A3" s="3138" t="s">
        <v>2110</v>
      </c>
      <c r="B3" s="3139"/>
      <c r="C3" s="3139"/>
      <c r="D3" s="3139"/>
      <c r="E3" s="3139"/>
      <c r="F3" s="3139"/>
      <c r="G3" s="3139"/>
      <c r="H3" s="3139"/>
      <c r="I3" s="3139"/>
    </row>
    <row r="4" spans="1:12" ht="14.25">
      <c r="A4" s="2423" t="s">
        <v>2111</v>
      </c>
      <c r="B4" s="2424" t="s">
        <v>2112</v>
      </c>
      <c r="C4" s="2425" t="s">
        <v>3134</v>
      </c>
      <c r="D4" s="2425" t="s">
        <v>3125</v>
      </c>
      <c r="E4" s="3119" t="s">
        <v>2113</v>
      </c>
      <c r="F4" s="3132"/>
      <c r="G4" s="3132"/>
      <c r="H4" s="3132"/>
      <c r="I4" s="3120"/>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2114</v>
      </c>
      <c r="B5" s="3036">
        <v>25</v>
      </c>
      <c r="C5" s="3140"/>
      <c r="D5" s="3128"/>
      <c r="E5" s="140" t="s">
        <v>2115</v>
      </c>
      <c r="F5" s="2427"/>
      <c r="G5" s="2427"/>
      <c r="H5" s="2427"/>
      <c r="I5" s="1833"/>
    </row>
    <row r="6" spans="1:12" ht="12.75">
      <c r="A6" s="3110"/>
      <c r="B6" s="3036"/>
      <c r="C6" s="3142"/>
      <c r="D6" s="3128"/>
      <c r="E6" s="140" t="s">
        <v>2116</v>
      </c>
      <c r="F6" s="2427"/>
      <c r="G6" s="2427"/>
      <c r="H6" s="2427"/>
      <c r="I6" s="1833"/>
    </row>
    <row r="7" spans="1:12" ht="12.75">
      <c r="A7" s="3110"/>
      <c r="B7" s="3036"/>
      <c r="C7" s="3141"/>
      <c r="D7" s="3128"/>
      <c r="E7" s="140" t="s">
        <v>2117</v>
      </c>
      <c r="F7" s="2427"/>
      <c r="G7" s="2427"/>
      <c r="H7" s="2427"/>
      <c r="I7" s="1833"/>
    </row>
    <row r="8" spans="1:12" ht="12.75">
      <c r="A8" s="3110" t="s">
        <v>2118</v>
      </c>
      <c r="B8" s="3036">
        <v>15</v>
      </c>
      <c r="C8" s="3140"/>
      <c r="D8" s="3128"/>
      <c r="E8" s="140" t="s">
        <v>2119</v>
      </c>
      <c r="F8" s="2427"/>
      <c r="G8" s="2427"/>
      <c r="H8" s="2427"/>
      <c r="I8" s="1833"/>
    </row>
    <row r="9" spans="1:12" ht="12.75">
      <c r="A9" s="3110"/>
      <c r="B9" s="3036"/>
      <c r="C9" s="3141"/>
      <c r="D9" s="3128"/>
      <c r="E9" s="140" t="s">
        <v>2120</v>
      </c>
      <c r="F9" s="2427"/>
      <c r="G9" s="2427"/>
      <c r="H9" s="2427"/>
      <c r="I9" s="1833"/>
    </row>
    <row r="10" spans="1:12" ht="12.75">
      <c r="A10" s="3110" t="s">
        <v>2121</v>
      </c>
      <c r="B10" s="3036">
        <v>15</v>
      </c>
      <c r="C10" s="3140"/>
      <c r="D10" s="3128"/>
      <c r="E10" s="140" t="s">
        <v>2122</v>
      </c>
      <c r="F10" s="2427"/>
      <c r="G10" s="2427"/>
      <c r="H10" s="2427"/>
      <c r="I10" s="1833"/>
    </row>
    <row r="11" spans="1:12" ht="12.75">
      <c r="A11" s="3110"/>
      <c r="B11" s="3036"/>
      <c r="C11" s="3141"/>
      <c r="D11" s="3128"/>
      <c r="E11" s="140" t="s">
        <v>2123</v>
      </c>
      <c r="F11" s="2427"/>
      <c r="G11" s="2427"/>
      <c r="H11" s="2427"/>
      <c r="I11" s="1833"/>
    </row>
    <row r="12" spans="1:12" ht="12.75">
      <c r="A12" s="3110" t="s">
        <v>2124</v>
      </c>
      <c r="B12" s="3036">
        <v>15</v>
      </c>
      <c r="C12" s="3140"/>
      <c r="D12" s="3128"/>
      <c r="E12" s="140" t="s">
        <v>2125</v>
      </c>
      <c r="F12" s="2427"/>
      <c r="G12" s="2427"/>
      <c r="H12" s="2427"/>
      <c r="I12" s="1833"/>
    </row>
    <row r="13" spans="1:12" ht="12.75">
      <c r="A13" s="3110"/>
      <c r="B13" s="3036"/>
      <c r="C13" s="3141"/>
      <c r="D13" s="3128"/>
      <c r="E13" s="140" t="s">
        <v>2126</v>
      </c>
      <c r="F13" s="2427"/>
      <c r="G13" s="2427"/>
      <c r="H13" s="2427"/>
      <c r="I13" s="1833"/>
    </row>
    <row r="14" spans="1:12" ht="12.75">
      <c r="A14" s="3110" t="s">
        <v>2127</v>
      </c>
      <c r="B14" s="3036">
        <v>30</v>
      </c>
      <c r="C14" s="3140">
        <v>7</v>
      </c>
      <c r="D14" s="3128">
        <v>3</v>
      </c>
      <c r="E14" s="140" t="s">
        <v>2128</v>
      </c>
      <c r="F14" s="2427"/>
      <c r="G14" s="2427"/>
      <c r="H14" s="2427"/>
      <c r="I14" s="1833"/>
    </row>
    <row r="15" spans="1:12" ht="12.75">
      <c r="A15" s="3110"/>
      <c r="B15" s="3036"/>
      <c r="C15" s="3142"/>
      <c r="D15" s="3128"/>
      <c r="E15" s="140" t="s">
        <v>2129</v>
      </c>
      <c r="F15" s="2427"/>
      <c r="G15" s="2427"/>
      <c r="H15" s="2427"/>
      <c r="I15" s="1833"/>
    </row>
    <row r="16" spans="1:12" ht="12.75">
      <c r="A16" s="3110"/>
      <c r="B16" s="3036"/>
      <c r="C16" s="3141"/>
      <c r="D16" s="3128"/>
      <c r="E16" s="140" t="s">
        <v>2130</v>
      </c>
      <c r="F16" s="2427"/>
      <c r="G16" s="2427"/>
      <c r="H16" s="2427"/>
      <c r="I16" s="1833"/>
    </row>
    <row r="17" spans="1:35" ht="15">
      <c r="A17" s="2428" t="s">
        <v>2131</v>
      </c>
      <c r="B17" s="64"/>
      <c r="C17" s="141">
        <f>SUM(C5:C16)</f>
        <v>7</v>
      </c>
      <c r="D17" s="141">
        <f>SUM(D5:D16)</f>
        <v>3</v>
      </c>
      <c r="E17" s="138"/>
      <c r="F17" s="138"/>
      <c r="G17" s="138"/>
      <c r="H17" s="138"/>
      <c r="I17" s="138"/>
      <c r="K17" s="2426"/>
      <c r="L17" s="2429" t="s">
        <v>2132</v>
      </c>
      <c r="M17" s="2429" t="s">
        <v>2133</v>
      </c>
    </row>
    <row r="18" spans="1:35" ht="15.75" thickBot="1">
      <c r="A18" s="2430" t="s">
        <v>2134</v>
      </c>
      <c r="B18" s="2431"/>
      <c r="C18" s="142">
        <f>ROUND(C17/SUM(C17:D17),2)</f>
        <v>0.7</v>
      </c>
      <c r="D18" s="142">
        <f>1-C18</f>
        <v>0.30000000000000004</v>
      </c>
      <c r="E18" s="138"/>
      <c r="F18" s="138"/>
      <c r="G18" s="138"/>
      <c r="H18" s="138"/>
      <c r="I18" s="138"/>
      <c r="K18" s="2426" t="s">
        <v>2135</v>
      </c>
      <c r="L18" s="2426">
        <f>IF(C1="",'数据-汇总表'!E3,SUMIF(项目类型,C1,'数据-汇总表'!E17:E26)+SUMIF(项目类型,C1,'数据-汇总表'!I17:I26))</f>
        <v>32.75</v>
      </c>
      <c r="M18" s="2426">
        <f>IF(C1="",'数据-汇总表'!E3,SUMIF(项目类型,C1,'数据-汇总表'!E17:E26))</f>
        <v>32.75</v>
      </c>
    </row>
    <row r="19" spans="1:35" ht="15">
      <c r="A19" s="2432" t="s">
        <v>2136</v>
      </c>
      <c r="B19" s="2433" t="s">
        <v>2137</v>
      </c>
      <c r="C19" s="143">
        <f ca="1">SUMIF(INDIRECT("'"&amp;C4&amp;"'"&amp;"!A:A"),结果表!B19,INDIRECT("'"&amp;C4&amp;"'"&amp;"!B:B"))</f>
        <v>88</v>
      </c>
      <c r="D19" s="144">
        <f ca="1">SUMIF(INDIRECT("'"&amp;D4&amp;"'"&amp;"!A:A"),结果表!B19,INDIRECT("'"&amp;D4&amp;"'"&amp;"!B:B"))</f>
        <v>45</v>
      </c>
      <c r="E19" s="2432" t="s">
        <v>2138</v>
      </c>
      <c r="F19" s="2433" t="s">
        <v>2137</v>
      </c>
      <c r="G19" s="145">
        <f ca="1">ROUND(C19*$C$18+D19*$D$18,0)</f>
        <v>75</v>
      </c>
      <c r="H19" s="2434" t="s">
        <v>2139</v>
      </c>
      <c r="I19" s="138"/>
      <c r="K19" s="2426" t="s">
        <v>2140</v>
      </c>
      <c r="L19" s="2426">
        <f>IF(C1="",'数据-汇总表'!D3,SUMIF(项目类型,C1,'数据-汇总表'!D17:D26)+SUMIF(项目类型,C1,'数据-汇总表'!H17:H27))</f>
        <v>2.06</v>
      </c>
      <c r="M19" s="2426">
        <f>IF(C1="",'数据-汇总表'!D3,SUMIF(项目类型,C1,'数据-汇总表'!D17:D26))</f>
        <v>2.06</v>
      </c>
    </row>
    <row r="20" spans="1:35" ht="15">
      <c r="A20" s="2435"/>
      <c r="B20" s="1249" t="s">
        <v>2141</v>
      </c>
      <c r="C20" s="146">
        <f ca="1">SUMIF(INDIRECT("'"&amp;C4&amp;"'"&amp;"!A:A"),结果表!B20,INDIRECT("'"&amp;C4&amp;"'"&amp;"!B:B"))</f>
        <v>26981</v>
      </c>
      <c r="D20" s="147">
        <f ca="1">SUMIF(INDIRECT("'"&amp;D4&amp;"'"&amp;"!A:A"),结果表!B20,INDIRECT("'"&amp;D4&amp;"'"&amp;"!B:B"))</f>
        <v>13675</v>
      </c>
      <c r="E20" s="2435"/>
      <c r="F20" s="1249" t="s">
        <v>2141</v>
      </c>
      <c r="G20" s="148">
        <f ca="1">ROUND(C20*$C$18+D20*$D$18,0)</f>
        <v>22989</v>
      </c>
      <c r="H20" s="982" t="s">
        <v>2142</v>
      </c>
      <c r="I20" s="138"/>
    </row>
    <row r="21" spans="1:35" ht="15" customHeight="1" thickBot="1">
      <c r="A21" s="1002"/>
      <c r="B21" s="2436" t="s">
        <v>2143</v>
      </c>
      <c r="C21" s="788">
        <f ca="1">ROUND(C19*10000/L19,0)</f>
        <v>427184</v>
      </c>
      <c r="D21" s="789">
        <f ca="1">ROUND(D19*10000/L19,0)</f>
        <v>218447</v>
      </c>
      <c r="E21" s="1002"/>
      <c r="F21" s="2436" t="s">
        <v>2143</v>
      </c>
      <c r="G21" s="149">
        <f ca="1">ROUND(G19*10000/L19,0)</f>
        <v>364078</v>
      </c>
      <c r="H21" s="2437" t="s">
        <v>2142</v>
      </c>
      <c r="I21" s="138"/>
    </row>
    <row r="22" spans="1:35" ht="15" thickBot="1">
      <c r="A22" s="2280" t="s">
        <v>2144</v>
      </c>
      <c r="B22" s="2438"/>
      <c r="C22" s="2439"/>
      <c r="D22" s="790">
        <f ca="1">IF(C19&lt;D19,D19/C19-1,C19/D19-1)</f>
        <v>0.95555555555555549</v>
      </c>
      <c r="E22" s="138"/>
      <c r="F22" s="138"/>
      <c r="G22" s="138"/>
      <c r="H22" s="138"/>
      <c r="I22" s="138"/>
    </row>
    <row r="23" spans="1:35" ht="13.5" thickBot="1">
      <c r="A23" s="2416"/>
      <c r="B23" s="2416"/>
      <c r="C23" s="2416"/>
      <c r="D23" s="2416"/>
      <c r="E23" s="138"/>
      <c r="F23" s="138"/>
      <c r="G23" s="138"/>
      <c r="H23" s="138"/>
      <c r="I23" s="138"/>
    </row>
    <row r="24" spans="1:35" ht="14.25">
      <c r="A24" s="3149" t="s">
        <v>2145</v>
      </c>
      <c r="B24" s="2433" t="s">
        <v>2137</v>
      </c>
      <c r="C24" s="145">
        <f>IF(B30=0,0,D30)</f>
        <v>0</v>
      </c>
      <c r="D24" s="2440"/>
      <c r="E24" s="138"/>
      <c r="F24" s="138"/>
      <c r="G24" s="138"/>
      <c r="H24" s="138"/>
      <c r="I24" s="138"/>
    </row>
    <row r="25" spans="1:35" ht="14.25">
      <c r="A25" s="3150"/>
      <c r="B25" s="1249" t="s">
        <v>2141</v>
      </c>
      <c r="C25" s="150">
        <f>IF(B30=0,0,C30)</f>
        <v>0</v>
      </c>
      <c r="D25" s="2441"/>
      <c r="E25" s="138"/>
      <c r="F25" s="138"/>
      <c r="G25" s="138"/>
      <c r="H25" s="138"/>
      <c r="I25" s="138"/>
    </row>
    <row r="26" spans="1:35" ht="13.5" customHeight="1">
      <c r="A26" s="2442" t="s">
        <v>2146</v>
      </c>
      <c r="B26" s="151" t="s">
        <v>2147</v>
      </c>
      <c r="C26" s="151" t="s">
        <v>2148</v>
      </c>
      <c r="D26" s="152" t="s">
        <v>2149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2150</v>
      </c>
      <c r="B30" s="151"/>
      <c r="C30" s="151"/>
      <c r="D30" s="151"/>
      <c r="E30" s="2925" t="s">
        <v>3028</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2151</v>
      </c>
      <c r="B32" s="2446"/>
      <c r="C32" s="153">
        <f ca="1">IF(D32="总价",G19-C24,G20-C25)</f>
        <v>75</v>
      </c>
      <c r="D32" s="2447" t="s">
        <v>2152</v>
      </c>
      <c r="E32" s="138"/>
      <c r="F32" s="138"/>
      <c r="G32" s="138"/>
      <c r="H32" s="138"/>
      <c r="I32" s="138"/>
    </row>
    <row r="33" spans="1:15" ht="15">
      <c r="A33" s="959" t="s">
        <v>2153</v>
      </c>
      <c r="B33" s="2448"/>
      <c r="C33" s="2449"/>
      <c r="D33" s="2450"/>
      <c r="E33" s="2451" t="s">
        <v>2154</v>
      </c>
      <c r="F33" s="2452" t="str">
        <f>IF(D32="楼面单价","取值（单价）","取值（总价）")</f>
        <v>取值（总价）</v>
      </c>
      <c r="G33" s="138"/>
      <c r="H33" s="138"/>
      <c r="I33" s="138"/>
    </row>
    <row r="34" spans="1:15" ht="15">
      <c r="A34" s="2453"/>
      <c r="B34" s="2454"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2156</v>
      </c>
      <c r="F34" s="1738"/>
      <c r="G34" s="138"/>
      <c r="H34" s="138"/>
      <c r="I34" s="138"/>
    </row>
    <row r="35" spans="1:15" ht="15.75" thickBot="1">
      <c r="A35" s="2456"/>
      <c r="B35" s="2457"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2158</v>
      </c>
      <c r="F35" s="163"/>
      <c r="G35" s="138"/>
      <c r="H35" s="138"/>
      <c r="I35" s="138"/>
    </row>
    <row r="36" spans="1:15" ht="15.75" thickBot="1">
      <c r="A36" s="3129" t="s">
        <v>2159</v>
      </c>
      <c r="B36" s="2459" t="s">
        <v>2160</v>
      </c>
      <c r="C36" s="154"/>
      <c r="D36" s="2460"/>
      <c r="E36" s="2461"/>
      <c r="F36" s="2462"/>
      <c r="G36" s="138"/>
      <c r="H36" s="138"/>
      <c r="I36" s="138"/>
    </row>
    <row r="37" spans="1:15" ht="15.75" thickBot="1">
      <c r="A37" s="3130"/>
      <c r="B37" s="2266" t="s">
        <v>2161</v>
      </c>
      <c r="C37" s="156"/>
      <c r="D37" s="1394"/>
      <c r="E37" s="1394"/>
      <c r="F37" s="2462"/>
      <c r="G37" s="138"/>
      <c r="H37" s="138"/>
      <c r="I37" s="138"/>
    </row>
    <row r="38" spans="1:15" ht="15.75" thickBot="1">
      <c r="A38" s="3131"/>
      <c r="B38" s="2463" t="s">
        <v>2162</v>
      </c>
      <c r="C38" s="726"/>
      <c r="D38" s="2464" t="s">
        <v>2163</v>
      </c>
      <c r="E38" s="1394"/>
      <c r="F38" s="2462"/>
      <c r="G38" s="138"/>
      <c r="H38" s="138"/>
      <c r="I38" s="138"/>
    </row>
    <row r="39" spans="1:15" ht="15">
      <c r="A39" s="2435" t="s">
        <v>2164</v>
      </c>
      <c r="B39" s="2465" t="s">
        <v>2165</v>
      </c>
      <c r="C39" s="2466" t="s">
        <v>2166</v>
      </c>
      <c r="D39" s="2466" t="s">
        <v>2167</v>
      </c>
      <c r="E39" s="2467" t="s">
        <v>2168</v>
      </c>
      <c r="F39" s="2462"/>
      <c r="G39" s="138"/>
      <c r="H39" s="138"/>
      <c r="I39" s="138"/>
    </row>
    <row r="40" spans="1:15" ht="14.25">
      <c r="A40" s="2468" t="s">
        <v>2169</v>
      </c>
      <c r="B40" s="158"/>
      <c r="C40" s="159"/>
      <c r="D40" s="159"/>
      <c r="E40" s="160"/>
      <c r="F40" s="2462"/>
      <c r="G40" s="138"/>
      <c r="H40" s="138"/>
      <c r="I40" s="138"/>
    </row>
    <row r="41" spans="1:15" ht="14.25">
      <c r="A41" s="2468" t="s">
        <v>2170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2171</v>
      </c>
      <c r="B44" s="2473"/>
      <c r="C44" s="2473"/>
      <c r="D44" s="2474"/>
      <c r="E44" s="2474"/>
      <c r="F44" s="2475"/>
      <c r="G44" s="2475"/>
      <c r="H44" s="2475"/>
      <c r="I44" s="2475"/>
      <c r="J44" s="2476" t="s">
        <v>2172</v>
      </c>
      <c r="K44" s="2477"/>
      <c r="L44" s="2477"/>
      <c r="M44" s="2477"/>
      <c r="N44" s="2477"/>
      <c r="O44" s="2477"/>
    </row>
    <row r="45" spans="1:15" ht="14.25" customHeight="1" thickBot="1">
      <c r="A45" s="3146" t="s">
        <v>2173</v>
      </c>
      <c r="B45" s="3147"/>
      <c r="C45" s="3148"/>
      <c r="D45" s="164">
        <f ca="1">ROUND(H101*F45,0)</f>
        <v>75</v>
      </c>
      <c r="E45" s="165" t="s">
        <v>2174</v>
      </c>
      <c r="F45" s="166">
        <v>1</v>
      </c>
      <c r="G45" s="167" t="s">
        <v>2175</v>
      </c>
      <c r="H45" s="138"/>
      <c r="I45" s="138"/>
      <c r="J45" s="3065" t="s">
        <v>2176</v>
      </c>
      <c r="K45" s="3065"/>
      <c r="L45" s="3065"/>
      <c r="M45" s="3065"/>
      <c r="N45" s="3065"/>
      <c r="O45" s="3065"/>
    </row>
    <row r="46" spans="1:15" ht="14.25" customHeight="1">
      <c r="A46" s="3143" t="s">
        <v>2177</v>
      </c>
      <c r="B46" s="3144"/>
      <c r="C46" s="3144"/>
      <c r="D46" s="3144"/>
      <c r="E46" s="3144"/>
      <c r="F46" s="3144"/>
      <c r="G46" s="3145"/>
      <c r="H46" s="2478"/>
      <c r="I46" s="168"/>
      <c r="J46" s="1811">
        <v>1</v>
      </c>
      <c r="K46" s="3065" t="s">
        <v>2178</v>
      </c>
      <c r="L46" s="3065"/>
      <c r="M46" s="3066"/>
      <c r="N46" s="3066"/>
      <c r="O46" s="3066"/>
    </row>
    <row r="47" spans="1:15" ht="12" customHeight="1">
      <c r="A47" s="169" t="s">
        <v>2179</v>
      </c>
      <c r="B47" s="170"/>
      <c r="C47" s="171"/>
      <c r="D47" s="172" t="s">
        <v>2180</v>
      </c>
      <c r="E47" s="24" t="s">
        <v>2181</v>
      </c>
      <c r="F47" s="173" t="s">
        <v>2182</v>
      </c>
      <c r="G47" s="174" t="s">
        <v>2183</v>
      </c>
      <c r="H47" s="2478"/>
      <c r="I47" s="168"/>
      <c r="J47" s="1811">
        <v>2</v>
      </c>
      <c r="K47" s="3065" t="s">
        <v>2184</v>
      </c>
      <c r="L47" s="3065"/>
      <c r="M47" s="3067">
        <f>'数据-取费表'!B2</f>
        <v>43316</v>
      </c>
      <c r="N47" s="3067"/>
      <c r="O47" s="3067"/>
    </row>
    <row r="48" spans="1:15" ht="25.5">
      <c r="A48" s="3133" t="s">
        <v>2185</v>
      </c>
      <c r="B48" s="3134"/>
      <c r="C48" s="3134"/>
      <c r="D48" s="140">
        <f>IF(H48="情况1",0,IF(H48="情况2",D52,IF(H48="情况3",D53,IF(H48="情况4",D54))))</f>
        <v>0</v>
      </c>
      <c r="E48" s="1800" t="str">
        <f>IF(H48="情况4","(销售额-原购置价)×税（费）率","销售额×税（费）率")</f>
        <v>销售额×税（费）率</v>
      </c>
      <c r="F48" s="175" t="str">
        <f>IF(H48="情况1","免征",'数据-取费表'!B41)</f>
        <v>免征</v>
      </c>
      <c r="G48" s="2479" t="s">
        <v>2186</v>
      </c>
      <c r="H48" s="2480" t="s">
        <v>2187</v>
      </c>
      <c r="I48" s="2478"/>
      <c r="J48" s="1811">
        <v>3</v>
      </c>
      <c r="K48" s="3065" t="s">
        <v>2188</v>
      </c>
      <c r="L48" s="3065"/>
      <c r="M48" s="3068">
        <f ca="1">H101</f>
        <v>75</v>
      </c>
      <c r="N48" s="3068"/>
      <c r="O48" s="3068"/>
    </row>
    <row r="49" spans="1:35" ht="25.5" customHeight="1">
      <c r="A49" s="176" t="s">
        <v>2189</v>
      </c>
      <c r="B49" s="3113" t="s">
        <v>2190</v>
      </c>
      <c r="C49" s="3113"/>
      <c r="D49" s="177">
        <v>0</v>
      </c>
      <c r="E49" s="23" t="s">
        <v>2191</v>
      </c>
      <c r="F49" s="28" t="s">
        <v>34</v>
      </c>
      <c r="G49" s="3094"/>
      <c r="H49" s="138"/>
      <c r="I49" s="2481"/>
      <c r="J49" s="1811">
        <v>4</v>
      </c>
      <c r="K49" s="3065" t="str">
        <f>IF(项目基本情况!E8="房地产抵押价值","房地产抵押价值","抵押担保权已注销时的房地产抵押价值")</f>
        <v>房地产抵押价值</v>
      </c>
      <c r="L49" s="3065"/>
      <c r="M49" s="3068">
        <f ca="1">IF(项目基本情况!E8="房地产抵押价值",H107,H109)</f>
        <v>75</v>
      </c>
      <c r="N49" s="3068"/>
      <c r="O49" s="3068"/>
    </row>
    <row r="50" spans="1:35" ht="25.5" customHeight="1">
      <c r="A50" s="178"/>
      <c r="B50" s="3113" t="s">
        <v>2192</v>
      </c>
      <c r="C50" s="3113"/>
      <c r="D50" s="179"/>
      <c r="E50" s="31"/>
      <c r="F50" s="180"/>
      <c r="G50" s="3095"/>
      <c r="H50" s="138"/>
      <c r="I50" s="2481"/>
      <c r="J50" s="3065" t="s">
        <v>2193</v>
      </c>
      <c r="K50" s="3065"/>
      <c r="L50" s="3065"/>
      <c r="M50" s="3065"/>
      <c r="N50" s="3065"/>
      <c r="O50" s="3065"/>
    </row>
    <row r="51" spans="1:35" ht="12" customHeight="1">
      <c r="A51" s="181"/>
      <c r="B51" s="3113" t="s">
        <v>2194</v>
      </c>
      <c r="C51" s="3113"/>
      <c r="D51" s="182"/>
      <c r="E51" s="30"/>
      <c r="F51" s="180"/>
      <c r="G51" s="3096"/>
      <c r="H51" s="138"/>
      <c r="I51" s="2481"/>
      <c r="J51" s="2482" t="s">
        <v>2195</v>
      </c>
      <c r="K51" s="3065" t="s">
        <v>2196</v>
      </c>
      <c r="L51" s="3065"/>
      <c r="M51" s="2482" t="s">
        <v>2197</v>
      </c>
      <c r="N51" s="2482" t="s">
        <v>2198</v>
      </c>
      <c r="O51" s="2482" t="s">
        <v>2199</v>
      </c>
    </row>
    <row r="52" spans="1:35" ht="24" customHeight="1">
      <c r="A52" s="183" t="s">
        <v>2200</v>
      </c>
      <c r="B52" s="3113" t="s">
        <v>2201</v>
      </c>
      <c r="C52" s="3113"/>
      <c r="D52" s="182">
        <f ca="1">ROUND(D45*'数据-取费表'!B41/(1+'数据-取费表'!C42),0)</f>
        <v>4</v>
      </c>
      <c r="E52" s="11" t="s">
        <v>2202</v>
      </c>
      <c r="F52" s="184">
        <f>'数据-取费表'!B41</f>
        <v>5.6000000000000001E-2</v>
      </c>
      <c r="G52" s="2483"/>
      <c r="H52" s="138"/>
      <c r="I52" s="2481"/>
      <c r="J52" s="1811">
        <v>1</v>
      </c>
      <c r="K52" s="3088" t="s">
        <v>2203</v>
      </c>
      <c r="L52" s="3088"/>
      <c r="M52" s="1753">
        <f>D48</f>
        <v>0</v>
      </c>
      <c r="N52" s="1811" t="str">
        <f>E48</f>
        <v>销售额×税（费）率</v>
      </c>
      <c r="O52" s="1754" t="str">
        <f>F48</f>
        <v>免征</v>
      </c>
    </row>
    <row r="53" spans="1:35" ht="12" customHeight="1">
      <c r="A53" s="183" t="s">
        <v>2204</v>
      </c>
      <c r="B53" s="3114" t="s">
        <v>2205</v>
      </c>
      <c r="C53" s="3115"/>
      <c r="D53" s="182">
        <f ca="1">ROUND(D45*'数据-取费表'!B41/(1+'数据-取费表'!C42),0)</f>
        <v>4</v>
      </c>
      <c r="E53" s="11" t="s">
        <v>2202</v>
      </c>
      <c r="F53" s="184">
        <f>'数据-取费表'!B41</f>
        <v>5.6000000000000001E-2</v>
      </c>
      <c r="G53" s="2483"/>
      <c r="H53" s="138"/>
      <c r="I53" s="2481"/>
      <c r="J53" s="1811">
        <v>2</v>
      </c>
      <c r="K53" s="3088" t="s">
        <v>2206</v>
      </c>
      <c r="L53" s="3088"/>
      <c r="M53" s="1753">
        <f t="shared" ref="M53:O54" ca="1" si="0">D55</f>
        <v>0</v>
      </c>
      <c r="N53" s="1811" t="str">
        <f t="shared" si="0"/>
        <v>销售额×税（费）率</v>
      </c>
      <c r="O53" s="1754">
        <f t="shared" si="0"/>
        <v>5.0000000000000001E-4</v>
      </c>
    </row>
    <row r="54" spans="1:35" ht="12" customHeight="1">
      <c r="A54" s="183" t="s">
        <v>2207</v>
      </c>
      <c r="B54" s="3114" t="s">
        <v>2208</v>
      </c>
      <c r="C54" s="3115"/>
      <c r="D54" s="182">
        <f ca="1">C68</f>
        <v>4</v>
      </c>
      <c r="E54" s="30" t="s">
        <v>2209</v>
      </c>
      <c r="F54" s="184">
        <f>'数据-取费表'!B41</f>
        <v>5.6000000000000001E-2</v>
      </c>
      <c r="G54" s="2483"/>
      <c r="H54" s="2484"/>
      <c r="I54" s="2481"/>
      <c r="J54" s="1811">
        <v>3</v>
      </c>
      <c r="K54" s="3088" t="s">
        <v>2210</v>
      </c>
      <c r="L54" s="3088"/>
      <c r="M54" s="1753" t="e">
        <f t="shared" ca="1" si="0"/>
        <v>#DIV/0!</v>
      </c>
      <c r="N54" s="1811" t="str">
        <f t="shared" si="0"/>
        <v>增值额×税（费）率</v>
      </c>
      <c r="O54" s="1755" t="str">
        <f t="shared" si="0"/>
        <v>——</v>
      </c>
    </row>
    <row r="55" spans="1:35" ht="24" customHeight="1">
      <c r="A55" s="3152" t="s">
        <v>2211</v>
      </c>
      <c r="B55" s="3134"/>
      <c r="C55" s="3134"/>
      <c r="D55" s="185">
        <f ca="1">IF(H55="个人住宅",0,ROUND(D45*I55,0))</f>
        <v>0</v>
      </c>
      <c r="E55" s="11" t="s">
        <v>2212</v>
      </c>
      <c r="F55" s="184">
        <f>IF(H55="正常",I55,"免征")</f>
        <v>5.0000000000000001E-4</v>
      </c>
      <c r="G55" s="2483"/>
      <c r="H55" s="2480" t="s">
        <v>2213</v>
      </c>
      <c r="I55" s="186">
        <f>'数据-取费表'!B49</f>
        <v>5.0000000000000001E-4</v>
      </c>
      <c r="J55" s="1811" t="str">
        <f>IF(H59="非个人房产","",4)</f>
        <v/>
      </c>
      <c r="K55" s="3088" t="str">
        <f>IF(H59="非个人房产","——","个人所得税")</f>
        <v>——</v>
      </c>
      <c r="L55" s="3088"/>
      <c r="M55" s="1756" t="str">
        <f>D59</f>
        <v>——</v>
      </c>
      <c r="N55" s="1809" t="str">
        <f>E59</f>
        <v>——</v>
      </c>
      <c r="O55" s="1757" t="str">
        <f>F59</f>
        <v>——</v>
      </c>
    </row>
    <row r="56" spans="1:35" ht="24.75">
      <c r="A56" s="3152" t="s">
        <v>2214</v>
      </c>
      <c r="B56" s="3134"/>
      <c r="C56" s="3134"/>
      <c r="D56" s="185" t="e">
        <f ca="1">IF(H56="个人住宅",D57,D58)</f>
        <v>#DIV/0!</v>
      </c>
      <c r="E56" s="11" t="s">
        <v>2215</v>
      </c>
      <c r="F56" s="184" t="str">
        <f>IF(H56="正常",F58,"免征")</f>
        <v>——</v>
      </c>
      <c r="G56" s="2485" t="s">
        <v>2216</v>
      </c>
      <c r="H56" s="2486" t="s">
        <v>2213</v>
      </c>
      <c r="I56" s="2487"/>
      <c r="J56" s="1811" t="str">
        <f>IF(项目基本情况!K6="上海银行",IF(J55="",4,J55+1),"")</f>
        <v/>
      </c>
      <c r="K56" s="3071" t="str">
        <f>IF(项目基本情况!K6="上海银行","其他处置费用","")</f>
        <v/>
      </c>
      <c r="L56" s="3072"/>
      <c r="M56" s="1753" t="str">
        <f>IF(项目基本情况!K6="上海银行",M69,"")</f>
        <v/>
      </c>
      <c r="N56" s="3074" t="str">
        <f>IF(项目基本情况!K6="上海银行","包含处置中涉及的律师、诉讼、拍卖、评估等费用","")</f>
        <v/>
      </c>
      <c r="O56" s="3075"/>
    </row>
    <row r="57" spans="1:35" ht="12.75">
      <c r="A57" s="183" t="s">
        <v>2189</v>
      </c>
      <c r="B57" s="3119" t="s">
        <v>2217</v>
      </c>
      <c r="C57" s="3120"/>
      <c r="D57" s="187">
        <v>0</v>
      </c>
      <c r="E57" s="23" t="s">
        <v>2191</v>
      </c>
      <c r="F57" s="155"/>
      <c r="G57" s="2483"/>
      <c r="H57" s="2487"/>
      <c r="I57" s="2487"/>
      <c r="J57" s="3088">
        <f>IF(AND(J55="",J56=""),4,IF(项目基本情况!K6="上海银行",结果表!J56+1,结果表!J55+1))</f>
        <v>4</v>
      </c>
      <c r="K57" s="3088" t="s">
        <v>2218</v>
      </c>
      <c r="L57" s="2488" t="s">
        <v>2219</v>
      </c>
      <c r="M57" s="1758"/>
      <c r="N57" s="1759">
        <f ca="1">SUMIF(M52:M56,"&lt;9e307")</f>
        <v>0</v>
      </c>
      <c r="O57" s="2489"/>
      <c r="P57" s="1752">
        <f ca="1">N57/M49</f>
        <v>0</v>
      </c>
    </row>
    <row r="58" spans="1:35" ht="24.75">
      <c r="A58" s="183" t="s">
        <v>2200</v>
      </c>
      <c r="B58" s="3119" t="s">
        <v>2220</v>
      </c>
      <c r="C58" s="3132"/>
      <c r="D58" s="185" t="e">
        <f ca="1">IF(H58="转让取得",C81,C97)</f>
        <v>#DIV/0!</v>
      </c>
      <c r="E58" s="11" t="s">
        <v>2215</v>
      </c>
      <c r="F58" s="24" t="s">
        <v>34</v>
      </c>
      <c r="G58" s="2483"/>
      <c r="H58" s="2486" t="s">
        <v>2221</v>
      </c>
      <c r="I58" s="2487"/>
      <c r="J58" s="3088"/>
      <c r="K58" s="3088"/>
      <c r="L58" s="2488" t="s">
        <v>2222</v>
      </c>
      <c r="M58" s="1760"/>
      <c r="N58" s="2490" t="str">
        <f ca="1">NUMBERSTRING(INT(N57*10000),2)&amp;"元整"</f>
        <v>零元整</v>
      </c>
      <c r="O58" s="2491"/>
    </row>
    <row r="59" spans="1:35" ht="24.75" thickBot="1">
      <c r="A59" s="3092" t="s">
        <v>2223</v>
      </c>
      <c r="B59" s="3093"/>
      <c r="C59" s="3093"/>
      <c r="D59" s="188" t="str">
        <f>IF(H59="非个人房产","——",IF(H59="个人住宅",0,ROUND(D45*I59,0)))</f>
        <v>——</v>
      </c>
      <c r="E59" s="189" t="str">
        <f>IF(H59="非个人房产","——","销售额×税（费）率")</f>
        <v>——</v>
      </c>
      <c r="F59" s="190" t="str">
        <f>IF(H59="非个人房产","——",IF(H59="个人住宅","免征",I59))</f>
        <v>——</v>
      </c>
      <c r="G59" s="2492" t="s">
        <v>2216</v>
      </c>
      <c r="H59" s="2486" t="s">
        <v>2224</v>
      </c>
      <c r="I59" s="191">
        <v>0.01</v>
      </c>
      <c r="J59" s="3090">
        <f>J57+1</f>
        <v>5</v>
      </c>
      <c r="K59" s="3088" t="s">
        <v>2225</v>
      </c>
      <c r="L59" s="1811" t="s">
        <v>2219</v>
      </c>
      <c r="M59" s="1761"/>
      <c r="N59" s="1762">
        <f ca="1">M49-N57</f>
        <v>75</v>
      </c>
      <c r="O59" s="2493"/>
    </row>
    <row r="60" spans="1:35" ht="12" customHeight="1">
      <c r="A60" s="2494"/>
      <c r="B60" s="2416"/>
      <c r="C60" s="2416"/>
      <c r="D60" s="2416"/>
      <c r="E60" s="2165"/>
      <c r="F60" s="2487"/>
      <c r="G60" s="2487"/>
      <c r="H60" s="2495"/>
      <c r="I60" s="138"/>
      <c r="J60" s="3091"/>
      <c r="K60" s="3088"/>
      <c r="L60" s="2488" t="s">
        <v>2222</v>
      </c>
      <c r="M60" s="1760"/>
      <c r="N60" s="2490" t="str">
        <f ca="1">NUMBERSTRING(INT(N59*10000),2)&amp;"元整"</f>
        <v>柒拾伍万元整</v>
      </c>
      <c r="O60" s="2491"/>
    </row>
    <row r="61" spans="1:35" ht="13.5" thickBot="1">
      <c r="A61" s="3151" t="s">
        <v>2226</v>
      </c>
      <c r="B61" s="3151"/>
      <c r="C61" s="3151"/>
      <c r="D61" s="3151"/>
      <c r="E61" s="3151"/>
      <c r="F61" s="2487"/>
      <c r="G61" s="2487"/>
      <c r="H61" s="2495"/>
      <c r="I61" s="138"/>
      <c r="J61" s="1811">
        <f>J59+1</f>
        <v>6</v>
      </c>
      <c r="K61" s="3088" t="s">
        <v>2227</v>
      </c>
      <c r="L61" s="3088"/>
      <c r="M61" s="1763"/>
      <c r="N61" s="1764">
        <f ca="1">ROUND(N59*10000/'数据-汇总表'!E3,0)</f>
        <v>22901</v>
      </c>
      <c r="O61" s="2496"/>
    </row>
    <row r="62" spans="1:35" ht="12.75">
      <c r="A62" s="3108" t="s">
        <v>2228</v>
      </c>
      <c r="B62" s="3109"/>
      <c r="C62" s="1803"/>
      <c r="D62" s="1803" t="s">
        <v>2229</v>
      </c>
      <c r="E62" s="192" t="s">
        <v>2230</v>
      </c>
      <c r="F62" s="2487"/>
      <c r="G62" s="2487"/>
      <c r="H62" s="2495"/>
      <c r="I62" s="138"/>
    </row>
    <row r="63" spans="1:35" ht="12.75">
      <c r="A63" s="203" t="s">
        <v>775</v>
      </c>
      <c r="B63" s="193" t="s">
        <v>2231</v>
      </c>
      <c r="C63" s="194">
        <f ca="1">ROUND((C64+C65)/(1+'数据-取费表'!C42),0)</f>
        <v>71</v>
      </c>
      <c r="D63" s="195"/>
      <c r="E63" s="196"/>
      <c r="F63" s="2487"/>
      <c r="G63" s="2487"/>
      <c r="H63" s="2495"/>
      <c r="I63" s="138"/>
      <c r="J63" s="3073" t="s">
        <v>2232</v>
      </c>
      <c r="K63" s="2497" t="s">
        <v>2233</v>
      </c>
      <c r="L63" s="1751">
        <f ca="1">IF(M49&gt;10000,M49*0.5%,IF(AND(M49&gt;1000,M49&lt;=10000),M49*1%,IF(AND(M49&gt;100,M49&lt;=1000),M49*3%,IF(AND(M49&gt;10,M49&lt;=100),M49*5%,M49*8%))))</f>
        <v>3.75</v>
      </c>
      <c r="M63" s="24">
        <f ca="1">ROUND(L63,1)</f>
        <v>3.8</v>
      </c>
      <c r="Z63" s="2421"/>
      <c r="AI63" s="2422"/>
    </row>
    <row r="64" spans="1:35" ht="14.25" customHeight="1">
      <c r="A64" s="197" t="s">
        <v>770</v>
      </c>
      <c r="B64" s="198" t="s">
        <v>2234</v>
      </c>
      <c r="C64" s="199">
        <f ca="1">D45</f>
        <v>75</v>
      </c>
      <c r="D64" s="200" t="s">
        <v>32</v>
      </c>
      <c r="E64" s="201"/>
      <c r="F64" s="2487"/>
      <c r="G64" s="2487"/>
      <c r="H64" s="2495"/>
      <c r="I64" s="138"/>
      <c r="J64" s="3073"/>
      <c r="K64" s="2497" t="s">
        <v>2235</v>
      </c>
      <c r="L64" s="1751">
        <f ca="1">IF(M49&gt;2000,M49*0.5%,IF(AND(M49&gt;1000,M49&lt;=2000),M49*0.6%,IF(AND(M49&gt;500,M49&lt;=1000),M49*0.7%,IF(AND(M49&gt;200,M49&lt;=500),M49*0.8%,IF(AND(M49&gt;100,M49&lt;=200),M49*0.9%,IF(AND(M49&gt;50,M49&lt;=100),M49*1%,IF(AND(M49&gt;20,M49&lt;=50),M49*1.5%,IF(AND(M49&gt;10,M49&lt;=20),M49*2%,IF(AND(M49&gt;1,M49&lt;=10),M49*2.5%)))))))))</f>
        <v>0.75</v>
      </c>
      <c r="M64" s="24">
        <f t="shared" ref="M64:M65" ca="1" si="1">ROUND(L64,1)</f>
        <v>0.8</v>
      </c>
      <c r="N64" s="138" t="s">
        <v>2236</v>
      </c>
      <c r="Z64" s="2421"/>
      <c r="AI64" s="2422"/>
    </row>
    <row r="65" spans="1:35" ht="14.25" customHeight="1">
      <c r="A65" s="197" t="s">
        <v>771</v>
      </c>
      <c r="B65" s="198" t="s">
        <v>2237</v>
      </c>
      <c r="C65" s="202"/>
      <c r="D65" s="200"/>
      <c r="E65" s="201"/>
      <c r="F65" s="2487"/>
      <c r="G65" s="2487"/>
      <c r="H65" s="2495"/>
      <c r="I65" s="138"/>
      <c r="J65" s="3073"/>
      <c r="K65" s="2497" t="s">
        <v>2238</v>
      </c>
      <c r="L65" s="1751">
        <f ca="1">IF(M49&gt;1000,M49*0.1%,IF(AND(M49&gt;500,M49&lt;=1000),M49*0.5%,IF(AND(M49&gt;50,M49&lt;=500),M49*1%,IF(AND(M49&gt;1,M49&lt;=50),M49*1.5%))))</f>
        <v>0.75</v>
      </c>
      <c r="M65" s="24">
        <f t="shared" ca="1" si="1"/>
        <v>0.8</v>
      </c>
      <c r="N65" s="138" t="s">
        <v>2236</v>
      </c>
      <c r="Z65" s="2421"/>
      <c r="AI65" s="2422"/>
    </row>
    <row r="66" spans="1:35" ht="14.25" customHeight="1">
      <c r="A66" s="203" t="s">
        <v>772</v>
      </c>
      <c r="B66" s="204" t="s">
        <v>2239</v>
      </c>
      <c r="C66" s="205"/>
      <c r="D66" s="206" t="s">
        <v>32</v>
      </c>
      <c r="E66" s="1775" t="s">
        <v>1371</v>
      </c>
      <c r="F66" s="2487"/>
      <c r="G66" s="2487"/>
      <c r="H66" s="2495"/>
      <c r="I66" s="138"/>
      <c r="J66" s="3073"/>
      <c r="K66" s="2497" t="s">
        <v>2240</v>
      </c>
      <c r="L66" s="1751">
        <f ca="1">M49*0.5%</f>
        <v>0.375</v>
      </c>
      <c r="M66" s="24">
        <f ca="1">IF(L66&gt;0.5,0.5,ROUND(L66,0))</f>
        <v>0</v>
      </c>
      <c r="N66" s="138" t="s">
        <v>2241</v>
      </c>
      <c r="Z66" s="2421"/>
      <c r="AI66" s="2422"/>
    </row>
    <row r="67" spans="1:35" ht="14.25" customHeight="1">
      <c r="A67" s="203" t="s">
        <v>773</v>
      </c>
      <c r="B67" s="204" t="s">
        <v>2242</v>
      </c>
      <c r="C67" s="207">
        <f ca="1">C63-C66</f>
        <v>71</v>
      </c>
      <c r="D67" s="200" t="s">
        <v>32</v>
      </c>
      <c r="E67" s="201"/>
      <c r="F67" s="2487"/>
      <c r="G67" s="2487"/>
      <c r="H67" s="2495"/>
      <c r="I67" s="138"/>
      <c r="J67" s="3073"/>
      <c r="K67" s="2497" t="s">
        <v>2243</v>
      </c>
      <c r="L67" s="1751">
        <f ca="1">IF(M49&gt;=10000,(8.25+(M49-10000)*0.01%),IF(AND(M49&gt;=8000,M49&lt;10000),(7.85+(M49-8000)*0.02%),IF(AND(M49&gt;=5000,M49&lt;8000),(6.65+(M49-5000)*0.04%),IF(AND(M49&gt;=2000,M49&lt;5000),(4.25+(PM49-2000)*0.08%),IF(AND(M49&gt;=1000,M49&lt;2000),(2.75+(M49-1000)*0.15%),IF(AND(M49&gt;=100,M49&lt;1000),(0.5+(M49-100)*0.25%),IF(AND(M49&gt;0,M49&lt;100),M49*0.5%)))))))</f>
        <v>0.375</v>
      </c>
      <c r="M67" s="24">
        <f ca="1">ROUND(L67*0.9,1)</f>
        <v>0.3</v>
      </c>
      <c r="Z67" s="2421"/>
      <c r="AI67" s="2422"/>
    </row>
    <row r="68" spans="1:35" ht="14.25" customHeight="1" thickBot="1">
      <c r="A68" s="208" t="s">
        <v>774</v>
      </c>
      <c r="B68" s="209" t="s">
        <v>2244</v>
      </c>
      <c r="C68" s="210">
        <f ca="1">IF(C67&lt;=0,0,ROUND(C67*D68,0))</f>
        <v>4</v>
      </c>
      <c r="D68" s="211">
        <f>'数据-取费表'!B41</f>
        <v>5.6000000000000001E-2</v>
      </c>
      <c r="E68" s="212"/>
      <c r="F68" s="2487"/>
      <c r="G68" s="2487"/>
      <c r="H68" s="2495"/>
      <c r="I68" s="138"/>
      <c r="J68" s="3073"/>
      <c r="K68" s="2497" t="s">
        <v>2245</v>
      </c>
      <c r="L68" s="1751">
        <f ca="1">IF(M49&gt;10000,M49*0.5%,IF(AND(M49&gt;5000,M49&lt;=10000),M49*1%,IF(AND(M49&gt;1000,M49&lt;=5000),M49*2%,IF(AND(M49&gt;200,M49&lt;=1000),M49*3%,M49*5%))))</f>
        <v>3.75</v>
      </c>
      <c r="M68" s="24">
        <f ca="1">ROUND(L68,1)</f>
        <v>3.8</v>
      </c>
      <c r="Z68" s="2421"/>
      <c r="AI68" s="2422"/>
    </row>
    <row r="69" spans="1:35" s="2444" customFormat="1" ht="16.5" customHeight="1">
      <c r="A69" s="2498"/>
      <c r="B69" s="2499"/>
      <c r="C69" s="2500"/>
      <c r="D69" s="2501"/>
      <c r="E69" s="2502"/>
      <c r="F69" s="2165"/>
      <c r="G69" s="2165"/>
      <c r="H69" s="2164"/>
      <c r="I69" s="2416"/>
      <c r="J69" s="3073"/>
      <c r="K69" s="2497" t="s">
        <v>2246</v>
      </c>
      <c r="L69" s="2503"/>
      <c r="M69" s="24">
        <f ca="1">ROUND(SUM(M63:M68),0)</f>
        <v>10</v>
      </c>
      <c r="N69" s="1752">
        <f ca="1">M69/M49</f>
        <v>0.13333333333333333</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7" t="s">
        <v>2247</v>
      </c>
      <c r="B70" s="3118"/>
      <c r="C70" s="3118"/>
      <c r="D70" s="3118"/>
      <c r="E70" s="3118"/>
      <c r="F70" s="3118"/>
      <c r="G70" s="3118"/>
      <c r="H70" s="311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2228</v>
      </c>
      <c r="B71" s="3109"/>
      <c r="C71" s="1803"/>
      <c r="D71" s="1803" t="s">
        <v>2229</v>
      </c>
      <c r="E71" s="213" t="s">
        <v>2230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2248</v>
      </c>
      <c r="C72" s="207">
        <f ca="1">ROUND(D45/(1+'数据-取费表'!C42),0)</f>
        <v>71</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2249</v>
      </c>
      <c r="C73" s="207">
        <f ca="1">C74+C78</f>
        <v>0</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2250</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2251</v>
      </c>
      <c r="C75" s="218"/>
      <c r="D75" s="200" t="s">
        <v>32</v>
      </c>
      <c r="E75" s="219" t="s">
        <v>2252</v>
      </c>
      <c r="F75" s="2509" t="s">
        <v>2253</v>
      </c>
      <c r="G75" s="219" t="s">
        <v>2254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2255</v>
      </c>
      <c r="C76" s="200">
        <f>IF(F75="购房发票",ROUND(C75*H75*D76,0),0)</f>
        <v>0</v>
      </c>
      <c r="D76" s="222">
        <v>0.05</v>
      </c>
      <c r="E76" s="3114" t="s">
        <v>2256</v>
      </c>
      <c r="F76" s="3113"/>
      <c r="G76" s="3113"/>
      <c r="H76" s="311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1" t="s">
        <v>2259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2260</v>
      </c>
      <c r="C78" s="225">
        <f ca="1">ROUND(D45*D78/(1+'数据-取费表'!C42),0)</f>
        <v>0</v>
      </c>
      <c r="D78" s="226">
        <f>'数据-取费表'!B43</f>
        <v>6.000000000000001E-3</v>
      </c>
      <c r="E78" s="3105" t="s">
        <v>2261</v>
      </c>
      <c r="F78" s="3106"/>
      <c r="G78" s="3106"/>
      <c r="H78" s="310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2262</v>
      </c>
      <c r="C79" s="207">
        <f ca="1">C72-C73</f>
        <v>71</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7" t="s">
        <v>2265</v>
      </c>
      <c r="B83" s="3118"/>
      <c r="C83" s="3118"/>
      <c r="D83" s="3118"/>
      <c r="E83" s="3118"/>
      <c r="F83" s="3118"/>
      <c r="G83" s="3118"/>
      <c r="H83" s="311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2228</v>
      </c>
      <c r="B84" s="3109"/>
      <c r="C84" s="1803"/>
      <c r="D84" s="1803" t="s">
        <v>2229</v>
      </c>
      <c r="E84" s="213" t="s">
        <v>2230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2248</v>
      </c>
      <c r="C85" s="207">
        <f ca="1">ROUND(D45/(1+'数据-取费表'!C42),0)</f>
        <v>71</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2249</v>
      </c>
      <c r="C86" s="207">
        <f ca="1">IF(H88="仅含出让金",C87+C90+C91+C92+C93+C94,C87+C91+C92+C93+C94)</f>
        <v>0</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2266</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2267</v>
      </c>
      <c r="C88" s="236"/>
      <c r="D88" s="226"/>
      <c r="E88" s="237" t="s">
        <v>2268</v>
      </c>
      <c r="F88" s="1799"/>
      <c r="G88" s="238" t="s">
        <v>2269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2257</v>
      </c>
      <c r="C89" s="225">
        <f>ROUND(C88*D89,0)</f>
        <v>0</v>
      </c>
      <c r="D89" s="226">
        <f>'数据-取费表'!B48+'数据-取费表'!B49</f>
        <v>3.0499999999999999E-2</v>
      </c>
      <c r="E89" s="237" t="s">
        <v>2270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2271</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2272</v>
      </c>
      <c r="B91" s="198" t="s">
        <v>2273</v>
      </c>
      <c r="C91" s="225">
        <f>IF(H91="——",成本法!C33,I91)</f>
        <v>0</v>
      </c>
      <c r="D91" s="226"/>
      <c r="E91" s="3105" t="s">
        <v>2274</v>
      </c>
      <c r="F91" s="3106"/>
      <c r="G91" s="3106"/>
      <c r="H91" s="2516" t="s">
        <v>2275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2276</v>
      </c>
      <c r="B92" s="198" t="s">
        <v>2277</v>
      </c>
      <c r="C92" s="225">
        <f>ROUND((C87+C90+C91)*D92,0)</f>
        <v>0</v>
      </c>
      <c r="D92" s="226">
        <v>0.1</v>
      </c>
      <c r="E92" s="3105" t="s">
        <v>2278</v>
      </c>
      <c r="F92" s="3106"/>
      <c r="G92" s="3106"/>
      <c r="H92" s="310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2279</v>
      </c>
      <c r="B93" s="198" t="s">
        <v>2260</v>
      </c>
      <c r="C93" s="225">
        <f ca="1">ROUND(D45*D93/(1+'数据-取费表'!C42),0)</f>
        <v>0</v>
      </c>
      <c r="D93" s="226">
        <f>'数据-取费表'!B43</f>
        <v>6.000000000000001E-3</v>
      </c>
      <c r="E93" s="3105" t="s">
        <v>2261</v>
      </c>
      <c r="F93" s="3106"/>
      <c r="G93" s="3106"/>
      <c r="H93" s="310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2280</v>
      </c>
      <c r="B94" s="198" t="s">
        <v>2281</v>
      </c>
      <c r="C94" s="236">
        <f>ROUND((C87+C90+C91)*D94,0)</f>
        <v>0</v>
      </c>
      <c r="D94" s="226">
        <v>0.2</v>
      </c>
      <c r="E94" s="3153" t="s">
        <v>2282</v>
      </c>
      <c r="F94" s="3154"/>
      <c r="G94" s="3154"/>
      <c r="H94" s="315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2262</v>
      </c>
      <c r="C95" s="207">
        <f ca="1">ROUND(C85-C86,0)</f>
        <v>71</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2283</v>
      </c>
      <c r="B99" s="2416"/>
      <c r="C99" s="2416"/>
      <c r="D99" s="2416"/>
      <c r="E99" s="2165"/>
      <c r="F99" s="2165"/>
      <c r="G99" s="2165"/>
      <c r="H99" s="2164"/>
      <c r="I99" s="138"/>
    </row>
    <row r="100" spans="1:35" ht="18.75" customHeight="1">
      <c r="A100" s="3057" t="s">
        <v>2284</v>
      </c>
      <c r="B100" s="3058"/>
      <c r="C100" s="3058"/>
      <c r="D100" s="3089"/>
      <c r="E100" s="3058" t="s">
        <v>2285</v>
      </c>
      <c r="F100" s="3058"/>
      <c r="G100" s="3058"/>
      <c r="H100" s="3089"/>
      <c r="I100" s="138"/>
    </row>
    <row r="101" spans="1:35" ht="18.75" customHeight="1">
      <c r="A101" s="3097" t="s">
        <v>2286</v>
      </c>
      <c r="B101" s="3098"/>
      <c r="C101" s="735" t="str">
        <f>C4</f>
        <v>比较法-商业</v>
      </c>
      <c r="D101" s="736" t="str">
        <f>D4</f>
        <v>收益法 (元)</v>
      </c>
      <c r="E101" s="3069" t="s">
        <v>2287</v>
      </c>
      <c r="F101" s="3070"/>
      <c r="G101" s="2518" t="s">
        <v>2288</v>
      </c>
      <c r="H101" s="1047">
        <f ca="1">H118</f>
        <v>75</v>
      </c>
      <c r="I101" s="138"/>
    </row>
    <row r="102" spans="1:35" ht="18.75" customHeight="1">
      <c r="A102" s="3099" t="s">
        <v>2289</v>
      </c>
      <c r="B102" s="2518" t="s">
        <v>2288</v>
      </c>
      <c r="C102" s="735">
        <f ca="1">C19</f>
        <v>88</v>
      </c>
      <c r="D102" s="736">
        <f ca="1">D19</f>
        <v>45</v>
      </c>
      <c r="E102" s="3069"/>
      <c r="F102" s="3070"/>
      <c r="G102" s="2518" t="s">
        <v>2290</v>
      </c>
      <c r="H102" s="371">
        <f ca="1">I118</f>
        <v>22901</v>
      </c>
      <c r="I102" s="138"/>
    </row>
    <row r="103" spans="1:35" ht="42.75" customHeight="1">
      <c r="A103" s="3099"/>
      <c r="B103" s="2518" t="s">
        <v>2290</v>
      </c>
      <c r="C103" s="737">
        <f ca="1">C20</f>
        <v>26981</v>
      </c>
      <c r="D103" s="738">
        <f ca="1">D20</f>
        <v>13675</v>
      </c>
      <c r="E103" s="3063" t="s">
        <v>2291</v>
      </c>
      <c r="F103" s="3064"/>
      <c r="G103" s="2519" t="s">
        <v>2292</v>
      </c>
      <c r="H103" s="1047">
        <f>IF(D36="正常操作",H104+H105+H106,H105+H106)</f>
        <v>0</v>
      </c>
      <c r="I103" s="138"/>
    </row>
    <row r="104" spans="1:35" ht="18.75" customHeight="1">
      <c r="A104" s="3099" t="s">
        <v>2293</v>
      </c>
      <c r="B104" s="2520" t="s">
        <v>2288</v>
      </c>
      <c r="C104" s="739">
        <f ca="1">H118</f>
        <v>75</v>
      </c>
      <c r="D104" s="740"/>
      <c r="E104" s="2266" t="s">
        <v>2294</v>
      </c>
      <c r="F104" s="2257"/>
      <c r="G104" s="2519" t="s">
        <v>2292</v>
      </c>
      <c r="H104" s="1048">
        <f>IF(D36="同一抵押权人同一抵押物续贷",C36&amp;"（未扣减，详见特别提示）",C36)</f>
        <v>0</v>
      </c>
      <c r="I104" s="138"/>
    </row>
    <row r="105" spans="1:35" ht="18.75" customHeight="1" thickBot="1">
      <c r="A105" s="3111"/>
      <c r="B105" s="2521" t="s">
        <v>2290</v>
      </c>
      <c r="C105" s="741">
        <f ca="1">I118</f>
        <v>22901</v>
      </c>
      <c r="D105" s="742"/>
      <c r="E105" s="2266" t="s">
        <v>2295</v>
      </c>
      <c r="F105" s="2257"/>
      <c r="G105" s="2519" t="s">
        <v>2292</v>
      </c>
      <c r="H105" s="1048">
        <f>C37</f>
        <v>0</v>
      </c>
      <c r="I105" s="138"/>
    </row>
    <row r="106" spans="1:35" ht="18.75" customHeight="1">
      <c r="A106" s="2416" t="s">
        <v>2296</v>
      </c>
      <c r="B106" s="2416"/>
      <c r="C106" s="2416"/>
      <c r="D106" s="2416"/>
      <c r="E106" s="2522" t="s">
        <v>2297</v>
      </c>
      <c r="F106" s="2257"/>
      <c r="G106" s="2519" t="s">
        <v>2292</v>
      </c>
      <c r="H106" s="1048">
        <f>C38</f>
        <v>0</v>
      </c>
      <c r="I106" s="138"/>
    </row>
    <row r="107" spans="1:35" ht="18.75" customHeight="1">
      <c r="A107" s="138"/>
      <c r="B107" s="138"/>
      <c r="C107" s="138"/>
      <c r="D107" s="138"/>
      <c r="E107" s="3100" t="str">
        <f>IF(项目基本情况!E8="已注销","——","3.房地产抵押价值")</f>
        <v>3.房地产抵押价值</v>
      </c>
      <c r="F107" s="3070"/>
      <c r="G107" s="2518" t="s">
        <v>2288</v>
      </c>
      <c r="H107" s="1047">
        <f ca="1">IF(E107="——","——",H101-H103)</f>
        <v>75</v>
      </c>
      <c r="I107" s="138"/>
    </row>
    <row r="108" spans="1:35" ht="18.75" customHeight="1">
      <c r="A108" s="138"/>
      <c r="B108" s="138"/>
      <c r="C108" s="138"/>
      <c r="D108" s="138"/>
      <c r="E108" s="3100"/>
      <c r="F108" s="3070"/>
      <c r="G108" s="2518" t="s">
        <v>2290</v>
      </c>
      <c r="H108" s="371">
        <f ca="1">ROUND(H107*10000/'数据-汇总表'!E3,0)</f>
        <v>22901</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8" t="s">
        <v>2288</v>
      </c>
      <c r="H109" s="348" t="str">
        <f>IF(E109="——","——",H101-H105-H106)</f>
        <v>——</v>
      </c>
      <c r="I109" s="138"/>
    </row>
    <row r="110" spans="1:35" ht="18.75" customHeight="1">
      <c r="A110" s="138"/>
      <c r="B110" s="138"/>
      <c r="C110" s="138"/>
      <c r="D110" s="138"/>
      <c r="E110" s="3100"/>
      <c r="F110" s="3070"/>
      <c r="G110" s="2518" t="s">
        <v>2290</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8" t="s">
        <v>2288</v>
      </c>
      <c r="H111" s="1047" t="str">
        <f>IF(E111="——","——",N59)</f>
        <v>——</v>
      </c>
      <c r="I111" s="138"/>
    </row>
    <row r="112" spans="1:35" ht="18.75" customHeight="1" thickBot="1">
      <c r="A112" s="138"/>
      <c r="B112" s="138"/>
      <c r="C112" s="138"/>
      <c r="D112" s="138"/>
      <c r="E112" s="3103"/>
      <c r="F112" s="3104"/>
      <c r="G112" s="2523" t="s">
        <v>2290</v>
      </c>
      <c r="H112" s="789" t="str">
        <f>IF(E111="——","——",N61)</f>
        <v>——</v>
      </c>
      <c r="I112" s="138"/>
    </row>
    <row r="113" spans="1:11" ht="18.75" customHeight="1">
      <c r="A113" s="138"/>
      <c r="B113" s="138"/>
      <c r="C113" s="138"/>
      <c r="D113" s="138"/>
      <c r="E113" s="3112" t="s">
        <v>2296</v>
      </c>
      <c r="F113" s="3112"/>
      <c r="G113" s="3112"/>
      <c r="H113" s="3112"/>
      <c r="I113" s="138"/>
    </row>
    <row r="114" spans="1:11" ht="3.75" customHeight="1">
      <c r="A114" s="2416"/>
      <c r="B114" s="2416"/>
      <c r="C114" s="2416"/>
      <c r="D114" s="2416"/>
      <c r="E114" s="2494"/>
      <c r="F114" s="2494"/>
      <c r="G114" s="2494"/>
      <c r="H114" s="2494"/>
      <c r="I114" s="2416"/>
    </row>
    <row r="115" spans="1:11" ht="18.75" customHeight="1">
      <c r="A115" s="3125" t="s">
        <v>2298</v>
      </c>
      <c r="B115" s="3126"/>
      <c r="C115" s="3126"/>
      <c r="D115" s="3126"/>
      <c r="E115" s="3126"/>
      <c r="F115" s="3126"/>
      <c r="G115" s="3126"/>
      <c r="H115" s="3126"/>
      <c r="I115" s="3127"/>
    </row>
    <row r="116" spans="1:11" ht="27" customHeight="1">
      <c r="A116" s="3036" t="s">
        <v>2299</v>
      </c>
      <c r="B116" s="3079" t="s">
        <v>2300</v>
      </c>
      <c r="C116" s="3079" t="s">
        <v>2301</v>
      </c>
      <c r="D116" s="3085" t="s">
        <v>2302</v>
      </c>
      <c r="E116" s="3086"/>
      <c r="F116" s="3121" t="s">
        <v>2303</v>
      </c>
      <c r="G116" s="3121"/>
      <c r="H116" s="3036" t="s">
        <v>2304</v>
      </c>
      <c r="I116" s="3036"/>
    </row>
    <row r="117" spans="1:11" ht="18.75" customHeight="1">
      <c r="A117" s="3036"/>
      <c r="B117" s="3080"/>
      <c r="C117" s="3080"/>
      <c r="D117" s="1797" t="s">
        <v>2305</v>
      </c>
      <c r="E117" s="1797" t="s">
        <v>2306</v>
      </c>
      <c r="F117" s="1797" t="s">
        <v>2305</v>
      </c>
      <c r="G117" s="1797" t="s">
        <v>2307</v>
      </c>
      <c r="H117" s="1797" t="s">
        <v>2305</v>
      </c>
      <c r="I117" s="1797" t="s">
        <v>2307</v>
      </c>
    </row>
    <row r="118" spans="1:11" ht="24.75" customHeight="1">
      <c r="A118" s="2524" t="str">
        <f>项目基本情况!S2</f>
        <v>广东省广州市白云区黄石路天云街14号101商铺等18套商业用房及翰云路287号之一201铺等2套商业用房房地产</v>
      </c>
      <c r="B118" s="1797">
        <f>M18</f>
        <v>32.75</v>
      </c>
      <c r="C118" s="1797">
        <f>M19</f>
        <v>2.06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75</v>
      </c>
      <c r="I118" s="1797">
        <f ca="1">ROUND(IF(D32="楼面单价",C32,H118*10000/B118),0)</f>
        <v>22901</v>
      </c>
    </row>
    <row r="119" spans="1:11" ht="18.75" customHeight="1">
      <c r="A119" s="3036" t="s">
        <v>2308</v>
      </c>
      <c r="B119" s="3036"/>
      <c r="C119" s="3036"/>
      <c r="D119" s="3081" t="e">
        <f ca="1">NUMBERSTRING(INT(D118*10000),2)&amp;"元整"</f>
        <v>#REF!</v>
      </c>
      <c r="E119" s="3082"/>
      <c r="F119" s="3081" t="e">
        <f ca="1">NUMBERSTRING(INT(F118*10000),2)&amp;"元整"</f>
        <v>#REF!</v>
      </c>
      <c r="G119" s="3082"/>
      <c r="H119" s="3081" t="str">
        <f ca="1">NUMBERSTRING(INT(H118*10000),2)&amp;"元整"</f>
        <v>柒拾伍万元整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1" t="str">
        <f>IF(D120=0,"故，本次评估不存在"&amp;A120,"故，本次评估"&amp;A120&amp;"为人民币"&amp;D120&amp;"万元整。")</f>
        <v>故，本次评估不存在估价师知悉的法定优先受偿款</v>
      </c>
    </row>
    <row r="121" spans="1:11" ht="18.75" customHeight="1">
      <c r="A121" s="3122" t="s">
        <v>2308</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75</v>
      </c>
      <c r="E122" s="3077"/>
      <c r="F122" s="3077"/>
      <c r="G122" s="3077"/>
      <c r="H122" s="3077"/>
      <c r="I122" s="3078"/>
    </row>
    <row r="123" spans="1:11" ht="18.75" customHeight="1">
      <c r="A123" s="3036" t="s">
        <v>2308</v>
      </c>
      <c r="B123" s="3036"/>
      <c r="C123" s="3036"/>
      <c r="D123" s="3081" t="str">
        <f ca="1">NUMBERSTRING(INT(D122*10000),2)&amp;"元整"</f>
        <v>柒拾伍万元整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2308</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2308</v>
      </c>
      <c r="B127" s="3036"/>
      <c r="C127" s="3036"/>
      <c r="D127" s="3081" t="e">
        <f>NUMBERSTRING(INT(D126*10000),2)&amp;"元整"</f>
        <v>#VALUE!</v>
      </c>
      <c r="E127" s="3083"/>
      <c r="F127" s="3083"/>
      <c r="G127" s="3083"/>
      <c r="H127" s="3083"/>
      <c r="I127" s="3082"/>
    </row>
    <row r="128" spans="1:11" ht="21.75" customHeight="1">
      <c r="A128" s="3084" t="s">
        <v>2309</v>
      </c>
      <c r="B128" s="3084"/>
      <c r="C128" s="3084"/>
      <c r="D128" s="3084"/>
      <c r="E128" s="3084"/>
      <c r="F128" s="3084"/>
      <c r="G128" s="3084"/>
      <c r="H128" s="3084"/>
      <c r="I128" s="3084"/>
    </row>
    <row r="129" spans="1:35" ht="21.75" customHeight="1">
      <c r="A129" s="2525" t="s">
        <v>2310</v>
      </c>
      <c r="B129" s="2526"/>
      <c r="C129" s="2527" t="s">
        <v>2311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2312</v>
      </c>
      <c r="G135" s="2542"/>
      <c r="H135" s="2542"/>
      <c r="I135" s="2543" t="s">
        <v>2313</v>
      </c>
    </row>
    <row r="136" spans="1:35" ht="21.75" customHeight="1">
      <c r="A136" s="794"/>
      <c r="B136" s="2544"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2315</v>
      </c>
    </row>
    <row r="139" spans="1:35" ht="21.75" customHeight="1">
      <c r="A139" s="794"/>
      <c r="B139" s="2544" t="s">
        <v>2316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1">
        <f>MATCH(B1,'数据-取费表'!A6:A16,0)+5</f>
        <v>7</v>
      </c>
    </row>
    <row r="2" spans="1:9" s="244" customFormat="1" ht="18" customHeight="1">
      <c r="A2" s="245" t="s">
        <v>2318</v>
      </c>
      <c r="B2" s="246">
        <f ca="1">IF(D2="——",C52,C52-E2)</f>
        <v>11</v>
      </c>
      <c r="C2" s="243" t="s">
        <v>2319</v>
      </c>
      <c r="D2" s="2547" t="s">
        <v>70</v>
      </c>
      <c r="E2" s="1442" t="e">
        <f ca="1">SUMIF(INDIRECT("'"&amp;G2&amp;"'"&amp;"!A:A"),"承租人权益价值",INDIRECT("'"&amp;G2&amp;"'"&amp;"!c:c"))</f>
        <v>#REF!</v>
      </c>
      <c r="F2" s="2548" t="s">
        <v>2319</v>
      </c>
      <c r="G2" s="2549"/>
    </row>
    <row r="3" spans="1:9" s="244" customFormat="1" ht="18" customHeight="1" thickBot="1">
      <c r="A3" s="247" t="s">
        <v>2320</v>
      </c>
      <c r="B3" s="248">
        <f ca="1">ROUND(B2*10000/(IF(B1="",'数据-汇总表'!E3,INDIRECT("'数据-取费表'!k"&amp;$G$1))),0)</f>
        <v>3359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50"/>
    </row>
    <row r="9" spans="1:9" s="258" customFormat="1" ht="13.5" customHeight="1">
      <c r="A9" s="952" t="s">
        <v>800</v>
      </c>
      <c r="B9" s="268" t="s">
        <v>2334</v>
      </c>
      <c r="C9" s="269">
        <f ca="1">ROUND(D9*E9/10000,0)</f>
        <v>0</v>
      </c>
      <c r="D9" s="1034">
        <f ca="1">IF(B1="",'数据-汇总表'!E5,IF(INDIRECT("'数据-取费表'!c"&amp;$G$1)="住宅",INDIRECT("'数据-取费表'!k"&amp;$G$1),0))</f>
        <v>0</v>
      </c>
      <c r="E9" s="269">
        <f>'数据-取费表'!B27</f>
        <v>0</v>
      </c>
      <c r="F9" s="265"/>
      <c r="G9" s="2551"/>
      <c r="H9" s="1392"/>
      <c r="I9" s="2552"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32.75</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v>
      </c>
      <c r="D19" s="1038">
        <f ca="1">D9+D10</f>
        <v>32.75</v>
      </c>
      <c r="E19" s="255">
        <f>'数据-取费表'!B31</f>
        <v>200</v>
      </c>
      <c r="F19" s="275"/>
      <c r="G19" s="2550"/>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6">
        <f ca="1">ROUND(SUM(C23:C25),0)</f>
        <v>0</v>
      </c>
      <c r="D22" s="279">
        <f ca="1">C26</f>
        <v>1.4E-3</v>
      </c>
      <c r="E22" s="280" t="s">
        <v>2354</v>
      </c>
      <c r="F22" s="281">
        <f ca="1">'数据-取费表'!B40</f>
        <v>4.7500000000000001E-2</v>
      </c>
      <c r="G22" s="278" t="str">
        <f>IF('数据-取费表'!B22&lt;=1,"单利计息","复利计息")</f>
        <v>复利计息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0</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0</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ROUND((C5+C19+C20)*F27*'数据-取费表'!B21/'数据-取费表'!B20,0)</f>
        <v>0</v>
      </c>
      <c r="D28" s="279"/>
      <c r="E28" s="280"/>
      <c r="F28" s="290"/>
      <c r="G28" s="291"/>
    </row>
    <row r="29" spans="1:7" s="258" customFormat="1" ht="13.5" customHeight="1">
      <c r="A29" s="953"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9</v>
      </c>
      <c r="D34" s="261"/>
      <c r="E34" s="264"/>
      <c r="F34" s="301">
        <f ca="1">IF('数据-取费表'!B24=0,1,IF(B1="",'数据-取费表'!N16,INDIRECT("'数据-取费表'!n"&amp;$G$1)))</f>
        <v>1</v>
      </c>
      <c r="G34" s="263" t="s">
        <v>2382</v>
      </c>
    </row>
    <row r="35" spans="1:7" ht="13.5" customHeight="1">
      <c r="A35" s="953" t="s">
        <v>796</v>
      </c>
      <c r="B35" s="259" t="s">
        <v>2383</v>
      </c>
      <c r="C35" s="264">
        <f ca="1">ROUND(C34*F35,0)</f>
        <v>0</v>
      </c>
      <c r="D35" s="264"/>
      <c r="E35" s="264"/>
      <c r="F35" s="303">
        <f>'数据-取费表'!B33</f>
        <v>0.03</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v>
      </c>
      <c r="D37" s="261">
        <f ca="1">D19</f>
        <v>32.75</v>
      </c>
      <c r="E37" s="293">
        <f>'数据-取费表'!B35</f>
        <v>200</v>
      </c>
      <c r="F37" s="303"/>
      <c r="G37" s="305" t="s">
        <v>2388</v>
      </c>
    </row>
    <row r="38" spans="1:7" ht="13.5" customHeight="1">
      <c r="A38" s="953" t="s">
        <v>799</v>
      </c>
      <c r="B38" s="259" t="s">
        <v>2389</v>
      </c>
      <c r="C38" s="264">
        <f ca="1">ROUND(C34*F38,0)</f>
        <v>0</v>
      </c>
      <c r="D38" s="264"/>
      <c r="E38" s="264"/>
      <c r="F38" s="303">
        <f>'数据-取费表'!B36</f>
        <v>1.4999999999999999E-2</v>
      </c>
      <c r="G38" s="263" t="s">
        <v>2384</v>
      </c>
    </row>
    <row r="39" spans="1:7" s="258" customFormat="1" ht="13.5" customHeight="1">
      <c r="A39" s="299" t="s">
        <v>2390</v>
      </c>
      <c r="B39" s="254" t="s">
        <v>2391</v>
      </c>
      <c r="C39" s="276">
        <f ca="1">ROUND(C33*F20,0)</f>
        <v>0</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ROUND(IF('数据-取费表'!B22&lt;=1,C33*F22*'数据-取费表'!B21/2,C33*(POWER((1+F22),'数据-取费表'!B21/2)-1)),0)</f>
        <v>0</v>
      </c>
      <c r="D42" s="282"/>
      <c r="E42" s="282"/>
      <c r="F42" s="283"/>
      <c r="G42" s="3156" t="s">
        <v>2400</v>
      </c>
    </row>
    <row r="43" spans="1:7" ht="13.5" customHeight="1">
      <c r="A43" s="953" t="s">
        <v>792</v>
      </c>
      <c r="B43" s="259" t="s">
        <v>2401</v>
      </c>
      <c r="C43" s="282">
        <f ca="1">ROUND(IF('数据-取费表'!B22&lt;=1,C39*F22*'数据-取费表'!B21/2,C39*(POWER((1+F22),'数据-取费表'!B21/2)-1)),0)</f>
        <v>0</v>
      </c>
      <c r="D43" s="282"/>
      <c r="E43" s="282"/>
      <c r="F43" s="283"/>
      <c r="G43" s="3157"/>
    </row>
    <row r="44" spans="1:7" ht="13.5" customHeight="1">
      <c r="A44" s="953" t="s">
        <v>793</v>
      </c>
      <c r="B44" s="259" t="s">
        <v>2402</v>
      </c>
      <c r="C44" s="282">
        <f ca="1">ROUND(IF('数据-取费表'!B22&lt;=1,C40*F22*'数据-取费表'!B21/2,C40*(POWER((1+F22),'数据-取费表'!B21/2)-1)),4)</f>
        <v>1.4E-3</v>
      </c>
      <c r="D44" s="282"/>
      <c r="E44" s="282"/>
      <c r="F44" s="283"/>
      <c r="G44" s="3158"/>
    </row>
    <row r="45" spans="1:7" s="258" customFormat="1" ht="13.5" customHeight="1">
      <c r="A45" s="299" t="s">
        <v>2403</v>
      </c>
      <c r="B45" s="288" t="s">
        <v>2369</v>
      </c>
      <c r="C45" s="289">
        <f ca="1">C46</f>
        <v>2</v>
      </c>
      <c r="D45" s="279">
        <f ca="1">C47</f>
        <v>4.4999999999999997E-3</v>
      </c>
      <c r="E45" s="280" t="s">
        <v>2395</v>
      </c>
      <c r="F45" s="290"/>
      <c r="G45" s="291" t="s">
        <v>2404</v>
      </c>
    </row>
    <row r="46" spans="1:7" s="258" customFormat="1" ht="13.5" customHeight="1">
      <c r="A46" s="953" t="s">
        <v>791</v>
      </c>
      <c r="B46" s="292" t="s">
        <v>2405</v>
      </c>
      <c r="C46" s="293">
        <f ca="1">ROUND((C33+C39)*F27,0)</f>
        <v>2</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13</v>
      </c>
      <c r="D49" s="276"/>
      <c r="E49" s="276"/>
      <c r="F49" s="308"/>
      <c r="G49" s="278" t="s">
        <v>2410</v>
      </c>
    </row>
    <row r="50" spans="1:7" s="302" customFormat="1" ht="24">
      <c r="A50" s="299" t="s">
        <v>2411</v>
      </c>
      <c r="B50" s="254" t="s">
        <v>2412</v>
      </c>
      <c r="C50" s="276"/>
      <c r="D50" s="276"/>
      <c r="E50" s="276"/>
      <c r="F50" s="308">
        <f>IF('数据-取费表'!B24=0,'数据-取费表'!N16,1)</f>
        <v>0.77</v>
      </c>
      <c r="G50" s="291" t="s">
        <v>2413</v>
      </c>
    </row>
    <row r="51" spans="1:7" ht="16.5" customHeight="1">
      <c r="A51" s="299" t="s">
        <v>2414</v>
      </c>
      <c r="B51" s="254" t="s">
        <v>2415</v>
      </c>
      <c r="C51" s="276">
        <f ca="1">ROUND(C49*F50,0)</f>
        <v>10</v>
      </c>
      <c r="D51" s="276"/>
      <c r="E51" s="276"/>
      <c r="F51" s="308"/>
      <c r="G51" s="278" t="s">
        <v>2416</v>
      </c>
    </row>
    <row r="52" spans="1:7" s="252" customFormat="1" ht="16.5" thickBot="1">
      <c r="A52" s="309" t="s">
        <v>2417</v>
      </c>
      <c r="B52" s="310"/>
      <c r="C52" s="311">
        <f ca="1">C31+C51</f>
        <v>11</v>
      </c>
      <c r="D52" s="310"/>
      <c r="E52" s="310"/>
      <c r="F52" s="310"/>
      <c r="G52" s="312"/>
    </row>
    <row r="55" spans="1:7" ht="15">
      <c r="B55" s="314" t="s">
        <v>2418</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0" t="str">
        <f>项目基本情况!B1</f>
        <v>广东省广州市白云区黄石路天云街14号101商铺等18套商业用房及翰云路287号之一201铺等2套商业用房房地产抵押价值预评估</v>
      </c>
      <c r="C37" s="2970"/>
      <c r="D37" s="2970"/>
      <c r="E37" s="2970"/>
      <c r="F37" s="2970"/>
      <c r="G37" s="2970"/>
      <c r="H37" s="2970"/>
      <c r="I37" s="2970"/>
    </row>
    <row r="38" spans="1:9">
      <c r="A38" s="1018"/>
      <c r="B38" s="1018"/>
    </row>
    <row r="39" spans="1:9">
      <c r="A39" s="1016" t="s">
        <v>818</v>
      </c>
      <c r="B39" s="1016" t="s">
        <v>820</v>
      </c>
    </row>
    <row r="40" spans="1:9">
      <c r="A40" s="1016"/>
      <c r="B40" s="1944" t="str">
        <f>项目基本情况!B5</f>
        <v>广州市方圆房地产发展有限公司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3"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11</v>
      </c>
      <c r="C2" s="243" t="s">
        <v>2319</v>
      </c>
      <c r="D2" s="2547" t="s">
        <v>70</v>
      </c>
      <c r="E2" s="1442" t="e">
        <f ca="1">SUMIF(INDIRECT("'"&amp;G2&amp;"'"&amp;"!A:A"),"承租人权益价值",INDIRECT("'"&amp;G2&amp;"'"&amp;"!c:c"))</f>
        <v>#REF!</v>
      </c>
      <c r="F2" s="2548" t="s">
        <v>2319</v>
      </c>
      <c r="G2" s="2549"/>
    </row>
    <row r="3" spans="1:8" s="244" customFormat="1" ht="18" customHeight="1" thickBot="1">
      <c r="A3" s="247" t="s">
        <v>2320</v>
      </c>
      <c r="B3" s="248">
        <f ca="1">ROUND(B2*10000/(IF(B1="",'数据-汇总表'!E3,INDIRECT("'数据-取费表'!k"&amp;$G$1))),0)</f>
        <v>3359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50"/>
    </row>
    <row r="9" spans="1:8" s="258" customFormat="1" ht="13.5" customHeight="1">
      <c r="A9" s="952" t="s">
        <v>800</v>
      </c>
      <c r="B9" s="268" t="s">
        <v>2334</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32.75</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6550</v>
      </c>
      <c r="D19" s="1038">
        <f ca="1">D9+D10</f>
        <v>32.75</v>
      </c>
      <c r="E19" s="255">
        <f>'数据-取费表'!B31</f>
        <v>200</v>
      </c>
      <c r="F19" s="275"/>
      <c r="G19" s="2550"/>
    </row>
    <row r="20" spans="1:7" s="258" customFormat="1" ht="13.5" customHeight="1">
      <c r="A20" s="299" t="s">
        <v>2430</v>
      </c>
      <c r="B20" s="254" t="s">
        <v>2431</v>
      </c>
      <c r="C20" s="276">
        <f ca="1">ROUND((C5+C19)*F20,0)</f>
        <v>131</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2">
        <f ca="1">ROUND(SUM(C23:C25),0)</f>
        <v>643</v>
      </c>
      <c r="D22" s="279">
        <f ca="1">C26</f>
        <v>1.4E-3</v>
      </c>
      <c r="E22" s="280" t="s">
        <v>2435</v>
      </c>
      <c r="F22" s="281">
        <f ca="1">'数据-取费表'!B40</f>
        <v>4.7500000000000001E-2</v>
      </c>
      <c r="G22" s="278" t="str">
        <f>IF('数据-取费表'!B22&lt;=1,"单利计息","复利计息")</f>
        <v>复利计息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637</v>
      </c>
      <c r="D24" s="282"/>
      <c r="E24" s="282"/>
      <c r="F24" s="283"/>
      <c r="G24" s="284" t="s">
        <v>2442</v>
      </c>
    </row>
    <row r="25" spans="1:7" s="258" customFormat="1" ht="24">
      <c r="A25" s="953" t="s">
        <v>2332</v>
      </c>
      <c r="B25" s="259" t="s">
        <v>2443</v>
      </c>
      <c r="C25" s="1383">
        <f ca="1">ROUND(IF('数据-取费表'!B22&lt;=1,C20*F22*'数据-取费表'!B22/2,C20*(POWER((1+F22),'数据-取费表'!B22/2)-1)),0)</f>
        <v>6</v>
      </c>
      <c r="D25" s="282"/>
      <c r="E25" s="285"/>
      <c r="F25" s="283"/>
      <c r="G25" s="286" t="s">
        <v>2444</v>
      </c>
    </row>
    <row r="26" spans="1:7" s="258" customFormat="1">
      <c r="A26" s="953"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1002</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ROUND((C5+C19+C20)*F27,0)</f>
        <v>1002</v>
      </c>
      <c r="D28" s="279"/>
      <c r="E28" s="280"/>
      <c r="F28" s="290"/>
      <c r="G28" s="291"/>
    </row>
    <row r="29" spans="1:7" s="258" customFormat="1" ht="13.5" customHeight="1">
      <c r="A29" s="953"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9141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102377</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91700</v>
      </c>
      <c r="D34" s="261"/>
      <c r="E34" s="264"/>
      <c r="F34" s="301"/>
      <c r="G34" s="263"/>
    </row>
    <row r="35" spans="1:7" ht="13.5" customHeight="1">
      <c r="A35" s="953" t="s">
        <v>796</v>
      </c>
      <c r="B35" s="259" t="s">
        <v>2383</v>
      </c>
      <c r="C35" s="264">
        <f ca="1">ROUND(C34*F35,0)</f>
        <v>2751</v>
      </c>
      <c r="D35" s="264"/>
      <c r="E35" s="264"/>
      <c r="F35" s="303">
        <f>'数据-取费表'!B33</f>
        <v>0.03</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6550</v>
      </c>
      <c r="D37" s="261">
        <f ca="1">D19</f>
        <v>32.75</v>
      </c>
      <c r="E37" s="293">
        <f>'数据-取费表'!B35</f>
        <v>200</v>
      </c>
      <c r="F37" s="303"/>
      <c r="G37" s="305"/>
    </row>
    <row r="38" spans="1:7" ht="13.5" customHeight="1">
      <c r="A38" s="953" t="s">
        <v>799</v>
      </c>
      <c r="B38" s="259" t="s">
        <v>2389</v>
      </c>
      <c r="C38" s="264">
        <f ca="1">ROUND(C34*F38,0)</f>
        <v>1376</v>
      </c>
      <c r="D38" s="264"/>
      <c r="E38" s="264"/>
      <c r="F38" s="303">
        <f>'数据-取费表'!B36</f>
        <v>1.4999999999999999E-2</v>
      </c>
      <c r="G38" s="263" t="s">
        <v>2384</v>
      </c>
    </row>
    <row r="39" spans="1:7" s="258" customFormat="1" ht="13.5" customHeight="1">
      <c r="A39" s="299" t="s">
        <v>2390</v>
      </c>
      <c r="B39" s="254" t="s">
        <v>2391</v>
      </c>
      <c r="C39" s="276">
        <f ca="1">ROUND(C33*F20,0)</f>
        <v>2048</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4960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ROUND(IF('数据-取费表'!B22&lt;=1,C33*F22*'数据-取费表'!B20/2,C33*(POWER((1+F22),'数据-取费表'!B20/2)-1)),0)</f>
        <v>4863</v>
      </c>
      <c r="D42" s="282"/>
      <c r="E42" s="282"/>
      <c r="F42" s="283"/>
      <c r="G42" s="3156" t="s">
        <v>2447</v>
      </c>
    </row>
    <row r="43" spans="1:7" ht="13.5" customHeight="1">
      <c r="A43" s="953" t="s">
        <v>792</v>
      </c>
      <c r="B43" s="259" t="s">
        <v>2401</v>
      </c>
      <c r="C43" s="282">
        <f ca="1">ROUND(IF('数据-取费表'!B22&lt;=1,C39*F22*'数据-取费表'!B20/2,C39*(POWER((1+F22),'数据-取费表'!B20/2)-1)),0)</f>
        <v>97</v>
      </c>
      <c r="D43" s="282"/>
      <c r="E43" s="282"/>
      <c r="F43" s="283"/>
      <c r="G43" s="3157"/>
    </row>
    <row r="44" spans="1:7" ht="13.5" customHeight="1">
      <c r="A44" s="953" t="s">
        <v>793</v>
      </c>
      <c r="B44" s="259" t="s">
        <v>2402</v>
      </c>
      <c r="C44" s="282">
        <f ca="1">ROUND(IF('数据-取费表'!B22&lt;=1,C40*F22*'数据-取费表'!B20/2,C40*(POWER((1+F22),'数据-取费表'!B20/2)-1)),4)</f>
        <v>1.4E-3</v>
      </c>
      <c r="D44" s="282"/>
      <c r="E44" s="282"/>
      <c r="F44" s="283"/>
      <c r="G44" s="3158"/>
    </row>
    <row r="45" spans="1:7" s="258" customFormat="1" ht="13.5" customHeight="1">
      <c r="A45" s="299" t="s">
        <v>2403</v>
      </c>
      <c r="B45" s="288" t="s">
        <v>2369</v>
      </c>
      <c r="C45" s="289">
        <f ca="1">C46</f>
        <v>15664</v>
      </c>
      <c r="D45" s="279">
        <f ca="1">C47</f>
        <v>4.4999999999999997E-3</v>
      </c>
      <c r="E45" s="280" t="s">
        <v>2395</v>
      </c>
      <c r="F45" s="290"/>
      <c r="G45" s="291" t="s">
        <v>2404</v>
      </c>
    </row>
    <row r="46" spans="1:7" s="258" customFormat="1" ht="13.5" customHeight="1">
      <c r="A46" s="953" t="s">
        <v>791</v>
      </c>
      <c r="B46" s="292" t="s">
        <v>2405</v>
      </c>
      <c r="C46" s="293">
        <f ca="1">ROUND((C33+C39)*F27,0)</f>
        <v>15664</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137296</v>
      </c>
      <c r="D49" s="276"/>
      <c r="E49" s="276"/>
      <c r="F49" s="308"/>
      <c r="G49" s="278" t="s">
        <v>2410</v>
      </c>
    </row>
    <row r="50" spans="1:7" s="302" customFormat="1">
      <c r="A50" s="299" t="s">
        <v>2411</v>
      </c>
      <c r="B50" s="254" t="s">
        <v>2412</v>
      </c>
      <c r="C50" s="276"/>
      <c r="D50" s="276"/>
      <c r="E50" s="276"/>
      <c r="F50" s="308">
        <f>IF('数据-取费表'!B24=0,'数据-取费表'!N16,1)</f>
        <v>0.77</v>
      </c>
      <c r="G50" s="291"/>
    </row>
    <row r="51" spans="1:7" ht="16.5" customHeight="1">
      <c r="A51" s="299" t="s">
        <v>2414</v>
      </c>
      <c r="B51" s="254" t="s">
        <v>2449</v>
      </c>
      <c r="C51" s="276">
        <f ca="1">ROUND(C49*F50,0)</f>
        <v>105718</v>
      </c>
      <c r="D51" s="276"/>
      <c r="E51" s="276"/>
      <c r="F51" s="308"/>
      <c r="G51" s="278" t="s">
        <v>2416</v>
      </c>
    </row>
    <row r="52" spans="1:7" s="252" customFormat="1" ht="16.5" thickBot="1">
      <c r="A52" s="309" t="s">
        <v>2417</v>
      </c>
      <c r="B52" s="310"/>
      <c r="C52" s="311">
        <f ca="1">C31+C51</f>
        <v>114859</v>
      </c>
      <c r="D52" s="310"/>
      <c r="E52" s="310"/>
      <c r="F52" s="310"/>
      <c r="G52" s="312"/>
    </row>
    <row r="55" spans="1:7" ht="15">
      <c r="B55" s="314" t="s">
        <v>2418</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4" t="s">
        <v>2456</v>
      </c>
      <c r="D5" s="2554" t="s">
        <v>2457</v>
      </c>
      <c r="E5" s="2554" t="s">
        <v>2458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0.03</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32.75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32.75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6"/>
      <c r="H18" s="1579"/>
      <c r="I18" s="2557"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32.75</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0.03</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2500</v>
      </c>
      <c r="B28" s="2559" t="s">
        <v>2501</v>
      </c>
      <c r="C28" s="331">
        <f ca="1">C30</f>
        <v>0</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60"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27" sqref="K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2633</v>
      </c>
      <c r="C1" s="1636" t="s">
        <v>2521</v>
      </c>
      <c r="D1" s="1623" t="s">
        <v>3187</v>
      </c>
      <c r="E1" s="2657"/>
      <c r="F1" s="2584" t="s">
        <v>3136</v>
      </c>
      <c r="G1" s="1633" t="s">
        <v>2634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2318</v>
      </c>
      <c r="B2" s="1420">
        <f>IF(C2="——",ROUND(C49*D3/10000,0),ROUND(C49*D3/10000,0)-D2)</f>
        <v>88</v>
      </c>
      <c r="C2" s="2586" t="s">
        <v>70</v>
      </c>
      <c r="D2" s="1367" t="e">
        <f ca="1">SUMIF(INDIRECT("'"&amp;F2&amp;"'"&amp;"!A:A"),"承租人权益价值",INDIRECT("'"&amp;F2&amp;"'"&amp;"!c:c"))</f>
        <v>#REF!</v>
      </c>
      <c r="E2" s="2587" t="s">
        <v>2319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2320</v>
      </c>
      <c r="B3" s="609">
        <f>IF(C2="——",C49,ROUND(B2*10000/D3,0))</f>
        <v>26981</v>
      </c>
      <c r="C3" s="400" t="s">
        <v>2635</v>
      </c>
      <c r="D3" s="399">
        <f>IF(D1="",'数据-汇总表'!E3,SUMIF('数据-汇总表'!$C19:$C33,D1,'数据-汇总表'!$E19:$E33))</f>
        <v>32.75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2" t="s">
        <v>2639</v>
      </c>
      <c r="AC4" s="3159" t="s">
        <v>2640</v>
      </c>
    </row>
    <row r="5" spans="1:29" ht="15">
      <c r="A5" s="404"/>
      <c r="B5" s="405"/>
      <c r="C5" s="3171" t="s">
        <v>3144</v>
      </c>
      <c r="D5" s="3172"/>
      <c r="E5" s="3169" t="s">
        <v>3137</v>
      </c>
      <c r="F5" s="3170"/>
      <c r="G5" s="3171" t="s">
        <v>3137</v>
      </c>
      <c r="H5" s="3172"/>
      <c r="I5" s="3171" t="s">
        <v>3138</v>
      </c>
      <c r="J5" s="3172"/>
      <c r="K5" s="610"/>
      <c r="L5" s="1132"/>
      <c r="M5" s="1133"/>
      <c r="N5" s="1133"/>
      <c r="O5" s="1133"/>
      <c r="P5" s="3184"/>
      <c r="Q5" s="3185"/>
      <c r="R5" s="3167"/>
      <c r="S5" s="3168"/>
      <c r="T5" s="3167"/>
      <c r="U5" s="3168"/>
      <c r="V5" s="3162"/>
      <c r="W5" s="3162"/>
      <c r="X5" s="1815"/>
      <c r="Y5" s="3167"/>
      <c r="Z5" s="3168"/>
      <c r="AA5" s="3160"/>
      <c r="AB5" s="3162"/>
      <c r="AC5" s="3160"/>
    </row>
    <row r="6" spans="1:29" ht="15.75" thickBot="1">
      <c r="A6" s="406"/>
      <c r="B6" s="407"/>
      <c r="C6" s="3173" t="s">
        <v>2788</v>
      </c>
      <c r="D6" s="3174"/>
      <c r="E6" s="3175" t="s">
        <v>2788</v>
      </c>
      <c r="F6" s="3176"/>
      <c r="G6" s="3173" t="s">
        <v>2788</v>
      </c>
      <c r="H6" s="3174"/>
      <c r="I6" s="3173" t="s">
        <v>3143</v>
      </c>
      <c r="J6" s="3174"/>
      <c r="K6" s="610" t="s">
        <v>2538</v>
      </c>
      <c r="L6" s="1132"/>
      <c r="M6" s="1133"/>
      <c r="N6" s="1133"/>
      <c r="O6" s="1133"/>
      <c r="P6" s="3186"/>
      <c r="Q6" s="3187"/>
      <c r="R6" s="3167"/>
      <c r="S6" s="3168"/>
      <c r="T6" s="3188"/>
      <c r="U6" s="3189"/>
      <c r="V6" s="3162"/>
      <c r="W6" s="3162"/>
      <c r="X6" s="1815"/>
      <c r="Y6" s="3188"/>
      <c r="Z6" s="3189"/>
      <c r="AA6" s="3161"/>
      <c r="AB6" s="3162"/>
      <c r="AC6" s="3161"/>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163" t="s">
        <v>2540</v>
      </c>
      <c r="Q7" s="3190"/>
      <c r="R7" s="769" t="s">
        <v>17</v>
      </c>
      <c r="S7" s="770">
        <f t="shared" ref="S7:S15" si="0">F7</f>
        <v>100</v>
      </c>
      <c r="T7" s="769" t="s">
        <v>17</v>
      </c>
      <c r="U7" s="770">
        <f t="shared" ref="U7:U15" si="1">H7</f>
        <v>100</v>
      </c>
      <c r="V7" s="769" t="s">
        <v>17</v>
      </c>
      <c r="W7" s="770">
        <f t="shared" ref="W7:W15" si="2">J7</f>
        <v>100</v>
      </c>
      <c r="X7" s="771"/>
      <c r="Y7" s="3163" t="s">
        <v>2540</v>
      </c>
      <c r="Z7" s="3164"/>
      <c r="AA7" s="772">
        <f>D7/F7</f>
        <v>1</v>
      </c>
      <c r="AB7" s="772">
        <f>D7/H7</f>
        <v>1</v>
      </c>
      <c r="AC7" s="772">
        <f>D7/J7</f>
        <v>1</v>
      </c>
    </row>
    <row r="8" spans="1:29" s="117" customFormat="1" ht="15.75" thickBot="1">
      <c r="A8" s="408" t="s">
        <v>2541</v>
      </c>
      <c r="B8" s="409"/>
      <c r="C8" s="414" t="s">
        <v>2643</v>
      </c>
      <c r="D8" s="411">
        <v>100</v>
      </c>
      <c r="E8" s="414" t="s">
        <v>3139</v>
      </c>
      <c r="F8" s="413">
        <f>SUMIF(61:61,E8,62:62)-SUMIF(61:61,C8,62:62)+100</f>
        <v>100</v>
      </c>
      <c r="G8" s="414" t="s">
        <v>3139</v>
      </c>
      <c r="H8" s="411">
        <f>SUMIF(61:61,G8,62:62)-SUMIF(61:61,C8,62:62)+100</f>
        <v>100</v>
      </c>
      <c r="I8" s="414" t="s">
        <v>3139</v>
      </c>
      <c r="J8" s="411">
        <f>SUMIF(61:61,I8,62:62)-SUMIF(61:61,C8,62:62)+100</f>
        <v>100</v>
      </c>
      <c r="K8" s="611"/>
      <c r="L8" s="1134"/>
      <c r="M8" s="1135"/>
      <c r="N8" s="1135"/>
      <c r="O8" s="1135"/>
      <c r="P8" s="3163" t="s">
        <v>2543</v>
      </c>
      <c r="Q8" s="3164"/>
      <c r="R8" s="769" t="s">
        <v>17</v>
      </c>
      <c r="S8" s="770">
        <f t="shared" si="0"/>
        <v>100</v>
      </c>
      <c r="T8" s="769" t="s">
        <v>17</v>
      </c>
      <c r="U8" s="770">
        <f t="shared" si="1"/>
        <v>100</v>
      </c>
      <c r="V8" s="769" t="s">
        <v>17</v>
      </c>
      <c r="W8" s="770">
        <f t="shared" si="2"/>
        <v>100</v>
      </c>
      <c r="X8" s="771"/>
      <c r="Y8" s="3163" t="s">
        <v>2543</v>
      </c>
      <c r="Z8" s="3164"/>
      <c r="AA8" s="772">
        <f t="shared" ref="AA8:AA46" si="3">D8/F8</f>
        <v>1</v>
      </c>
      <c r="AB8" s="772">
        <f t="shared" ref="AB8:AB46" si="4">D8/H8</f>
        <v>1</v>
      </c>
      <c r="AC8" s="772">
        <f t="shared" ref="AC8:AC46" si="5">D8/J8</f>
        <v>1</v>
      </c>
    </row>
    <row r="9" spans="1:29" s="117" customFormat="1">
      <c r="A9" s="415" t="s">
        <v>2544</v>
      </c>
      <c r="B9" s="71" t="s">
        <v>2545</v>
      </c>
      <c r="C9" s="2956" t="s">
        <v>3140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75" thickBot="1">
      <c r="A10" s="421"/>
      <c r="B10" s="422" t="s">
        <v>2548</v>
      </c>
      <c r="C10" s="423" t="s">
        <v>3141</v>
      </c>
      <c r="D10" s="136">
        <v>100</v>
      </c>
      <c r="E10" s="424" t="s">
        <v>3142</v>
      </c>
      <c r="F10" s="425">
        <f>SUMIF(65:65,E10,66:66)-SUMIF(65:65,C10,66:66)+100</f>
        <v>101</v>
      </c>
      <c r="G10" s="423" t="s">
        <v>3142</v>
      </c>
      <c r="H10" s="136">
        <f>SUMIF(65:65,G10,66:66)-SUMIF(65:65,C10,66:66)+100</f>
        <v>101</v>
      </c>
      <c r="I10" s="423" t="s">
        <v>3142</v>
      </c>
      <c r="J10" s="136">
        <f>SUMIF(65:65,I10,66:66)-SUMIF(65:65,C10,66:66)+100</f>
        <v>101</v>
      </c>
      <c r="K10" s="612">
        <v>1</v>
      </c>
      <c r="L10" s="1137"/>
      <c r="M10" s="1138"/>
      <c r="N10" s="1138"/>
      <c r="O10" s="1138"/>
      <c r="P10" s="3177"/>
      <c r="Q10" s="1797"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77"/>
      <c r="Q11" s="1797" t="str">
        <f t="shared" si="6"/>
        <v>容积率</v>
      </c>
      <c r="R11" s="769" t="s">
        <v>17</v>
      </c>
      <c r="S11" s="770">
        <f t="shared" si="0"/>
        <v>100</v>
      </c>
      <c r="T11" s="769" t="s">
        <v>17</v>
      </c>
      <c r="U11" s="770">
        <f t="shared" si="1"/>
        <v>100</v>
      </c>
      <c r="V11" s="769" t="s">
        <v>17</v>
      </c>
      <c r="W11" s="770">
        <f t="shared" si="2"/>
        <v>100</v>
      </c>
      <c r="X11" s="771"/>
      <c r="Y11" s="3036"/>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7"/>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7"/>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7"/>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9" t="s">
        <v>2644</v>
      </c>
      <c r="C15" s="2603"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2968">
        <v>2</v>
      </c>
      <c r="L15" s="1142"/>
      <c r="M15" s="1133"/>
      <c r="N15" s="1133"/>
      <c r="O15" s="1133"/>
      <c r="P15" s="3191" t="s">
        <v>2551</v>
      </c>
      <c r="Q15" s="1812" t="str">
        <f t="shared" si="6"/>
        <v>商业繁华度</v>
      </c>
      <c r="R15" s="773" t="s">
        <v>17</v>
      </c>
      <c r="S15" s="774">
        <f t="shared" si="0"/>
        <v>102</v>
      </c>
      <c r="T15" s="773" t="s">
        <v>17</v>
      </c>
      <c r="U15" s="774">
        <f t="shared" si="1"/>
        <v>102</v>
      </c>
      <c r="V15" s="773" t="s">
        <v>17</v>
      </c>
      <c r="W15" s="774">
        <f t="shared" si="2"/>
        <v>102</v>
      </c>
      <c r="X15" s="1815"/>
      <c r="Y15" s="3193" t="s">
        <v>2551</v>
      </c>
      <c r="Z15" s="1816" t="str">
        <f t="shared" si="7"/>
        <v>商业繁华度</v>
      </c>
      <c r="AA15" s="1813">
        <f t="shared" si="3"/>
        <v>0.98039215686274506</v>
      </c>
      <c r="AB15" s="1813">
        <f t="shared" si="4"/>
        <v>0.98039215686274506</v>
      </c>
      <c r="AC15" s="1813">
        <f t="shared" si="5"/>
        <v>0.98039215686274506</v>
      </c>
    </row>
    <row r="16" spans="1:29" ht="15">
      <c r="A16" s="428"/>
      <c r="B16" s="446"/>
      <c r="C16" s="447" t="s">
        <v>3145</v>
      </c>
      <c r="D16" s="448"/>
      <c r="E16" s="447" t="s">
        <v>3146</v>
      </c>
      <c r="F16" s="449"/>
      <c r="G16" s="447" t="s">
        <v>3146</v>
      </c>
      <c r="H16" s="450"/>
      <c r="I16" s="447" t="s">
        <v>3146</v>
      </c>
      <c r="J16" s="448"/>
      <c r="K16" s="615"/>
      <c r="L16" s="1142"/>
      <c r="M16" s="1133"/>
      <c r="N16" s="1133"/>
      <c r="O16" s="1133"/>
      <c r="P16" s="3192"/>
      <c r="Q16" s="1812"/>
      <c r="R16" s="773"/>
      <c r="S16" s="774"/>
      <c r="T16" s="773"/>
      <c r="U16" s="774"/>
      <c r="V16" s="773"/>
      <c r="W16" s="774"/>
      <c r="X16" s="1815"/>
      <c r="Y16" s="3194"/>
      <c r="Z16" s="1816"/>
      <c r="AA16" s="1813">
        <v>1</v>
      </c>
      <c r="AB16" s="1813">
        <v>1</v>
      </c>
      <c r="AC16" s="1813">
        <v>1</v>
      </c>
    </row>
    <row r="17" spans="1:29" ht="15">
      <c r="A17" s="428"/>
      <c r="B17" s="451" t="s">
        <v>2090</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192"/>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456"/>
      <c r="C18" s="2608" t="s">
        <v>3146</v>
      </c>
      <c r="D18" s="450"/>
      <c r="E18" s="2610" t="s">
        <v>3146</v>
      </c>
      <c r="F18" s="453"/>
      <c r="G18" s="2609" t="s">
        <v>3146</v>
      </c>
      <c r="H18" s="448"/>
      <c r="I18" s="2610" t="s">
        <v>3146</v>
      </c>
      <c r="J18" s="448"/>
      <c r="K18" s="615"/>
      <c r="L18" s="1142"/>
      <c r="M18" s="1133"/>
      <c r="N18" s="1133"/>
      <c r="O18" s="1133"/>
      <c r="P18" s="3192"/>
      <c r="Q18" s="1812"/>
      <c r="R18" s="773"/>
      <c r="S18" s="774"/>
      <c r="T18" s="773"/>
      <c r="U18" s="774"/>
      <c r="V18" s="773"/>
      <c r="W18" s="774"/>
      <c r="X18" s="1815"/>
      <c r="Y18" s="3194"/>
      <c r="Z18" s="1816"/>
      <c r="AA18" s="1813">
        <v>1</v>
      </c>
      <c r="AB18" s="1813">
        <v>1</v>
      </c>
      <c r="AC18" s="1813">
        <v>1</v>
      </c>
    </row>
    <row r="19" spans="1:29" ht="15">
      <c r="A19" s="428"/>
      <c r="B19" s="451" t="s">
        <v>2645</v>
      </c>
      <c r="C19" s="2607" t="str">
        <f>估价对象房地状况!C7</f>
        <v>较齐备</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192"/>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1813">
        <f t="shared" si="5"/>
        <v>1</v>
      </c>
    </row>
    <row r="20" spans="1:29" ht="15">
      <c r="A20" s="428"/>
      <c r="B20" s="456"/>
      <c r="C20" s="447" t="s">
        <v>3146</v>
      </c>
      <c r="D20" s="448"/>
      <c r="E20" s="2605" t="s">
        <v>3146</v>
      </c>
      <c r="F20" s="449"/>
      <c r="G20" s="2604" t="s">
        <v>3146</v>
      </c>
      <c r="H20" s="448"/>
      <c r="I20" s="2605" t="s">
        <v>3146</v>
      </c>
      <c r="J20" s="448"/>
      <c r="K20" s="615"/>
      <c r="L20" s="1142"/>
      <c r="M20" s="1133"/>
      <c r="N20" s="1133"/>
      <c r="O20" s="1133"/>
      <c r="P20" s="3192"/>
      <c r="Q20" s="1812"/>
      <c r="R20" s="773"/>
      <c r="S20" s="774"/>
      <c r="T20" s="773"/>
      <c r="U20" s="774"/>
      <c r="V20" s="773"/>
      <c r="W20" s="774"/>
      <c r="X20" s="1815"/>
      <c r="Y20" s="3194"/>
      <c r="Z20" s="1816"/>
      <c r="AA20" s="1813">
        <v>1</v>
      </c>
      <c r="AB20" s="1813">
        <v>1</v>
      </c>
      <c r="AC20" s="1813">
        <v>1</v>
      </c>
    </row>
    <row r="21" spans="1:29" ht="15">
      <c r="A21" s="428"/>
      <c r="B21" s="1386" t="s">
        <v>2646</v>
      </c>
      <c r="C21" s="2607"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t="s">
        <v>3147</v>
      </c>
      <c r="D22" s="448"/>
      <c r="E22" s="447" t="s">
        <v>3147</v>
      </c>
      <c r="F22" s="449"/>
      <c r="G22" s="447" t="s">
        <v>3147</v>
      </c>
      <c r="H22" s="448"/>
      <c r="I22" s="447" t="s">
        <v>3147</v>
      </c>
      <c r="J22" s="448"/>
      <c r="K22" s="1385"/>
      <c r="L22" s="1142"/>
      <c r="M22" s="1133"/>
      <c r="N22" s="1133"/>
      <c r="O22" s="1133"/>
      <c r="P22" s="3192"/>
      <c r="Q22" s="1812"/>
      <c r="R22" s="773"/>
      <c r="S22" s="774"/>
      <c r="T22" s="773"/>
      <c r="U22" s="774"/>
      <c r="V22" s="773"/>
      <c r="W22" s="774"/>
      <c r="X22" s="1815"/>
      <c r="Y22" s="3194"/>
      <c r="Z22" s="1816"/>
      <c r="AA22" s="1813">
        <v>1</v>
      </c>
      <c r="AB22" s="1813">
        <v>1</v>
      </c>
      <c r="AC22" s="1813">
        <v>1</v>
      </c>
    </row>
    <row r="23" spans="1:29" ht="15">
      <c r="A23" s="428"/>
      <c r="B23" s="451" t="s">
        <v>2093</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192"/>
      <c r="Q23" s="1812" t="str">
        <f>B23</f>
        <v>自然及人文环境</v>
      </c>
      <c r="R23" s="773" t="s">
        <v>17</v>
      </c>
      <c r="S23" s="774">
        <f>F23</f>
        <v>100</v>
      </c>
      <c r="T23" s="773" t="s">
        <v>17</v>
      </c>
      <c r="U23" s="774">
        <f>H23</f>
        <v>100</v>
      </c>
      <c r="V23" s="773" t="s">
        <v>17</v>
      </c>
      <c r="W23" s="774">
        <f>J23</f>
        <v>100</v>
      </c>
      <c r="X23" s="1815"/>
      <c r="Y23" s="3194"/>
      <c r="Z23" s="1816" t="str">
        <f>Q23</f>
        <v>自然及人文环境</v>
      </c>
      <c r="AA23" s="1813">
        <f t="shared" si="3"/>
        <v>1</v>
      </c>
      <c r="AB23" s="1813">
        <f t="shared" si="4"/>
        <v>1</v>
      </c>
      <c r="AC23" s="1813">
        <f t="shared" si="5"/>
        <v>1</v>
      </c>
    </row>
    <row r="24" spans="1:29" ht="15">
      <c r="A24" s="428"/>
      <c r="B24" s="456"/>
      <c r="C24" s="447" t="s">
        <v>3146</v>
      </c>
      <c r="D24" s="448"/>
      <c r="E24" s="2605" t="s">
        <v>3146</v>
      </c>
      <c r="F24" s="449"/>
      <c r="G24" s="2604" t="s">
        <v>3146</v>
      </c>
      <c r="H24" s="448"/>
      <c r="I24" s="2605" t="s">
        <v>3146</v>
      </c>
      <c r="J24" s="448"/>
      <c r="K24" s="615"/>
      <c r="L24" s="1142"/>
      <c r="M24" s="1133"/>
      <c r="N24" s="1133"/>
      <c r="O24" s="1133"/>
      <c r="P24" s="3192"/>
      <c r="Q24" s="1812"/>
      <c r="R24" s="773"/>
      <c r="S24" s="774"/>
      <c r="T24" s="773"/>
      <c r="U24" s="774"/>
      <c r="V24" s="773"/>
      <c r="W24" s="774"/>
      <c r="X24" s="1815"/>
      <c r="Y24" s="3194"/>
      <c r="Z24" s="1816"/>
      <c r="AA24" s="1813">
        <v>1</v>
      </c>
      <c r="AB24" s="1813">
        <v>1</v>
      </c>
      <c r="AC24" s="1813">
        <v>1</v>
      </c>
    </row>
    <row r="25" spans="1:29" ht="15">
      <c r="A25" s="428"/>
      <c r="B25" s="422" t="s">
        <v>2647</v>
      </c>
      <c r="C25" s="616" t="s">
        <v>3132</v>
      </c>
      <c r="D25" s="435">
        <v>100</v>
      </c>
      <c r="E25" s="616" t="s">
        <v>3150</v>
      </c>
      <c r="F25" s="461">
        <f>SUMIF(86:86,E25,87:87)-SUMIF(86:86,C25,87:87)+100</f>
        <v>103</v>
      </c>
      <c r="G25" s="616" t="s">
        <v>3150</v>
      </c>
      <c r="H25" s="435">
        <f>SUMIF(86:86,G25,87:87)-SUMIF(86:86,C25,87:87)+100</f>
        <v>103</v>
      </c>
      <c r="I25" s="616" t="s">
        <v>3132</v>
      </c>
      <c r="J25" s="435">
        <f>SUMIF(86:86,I25,87:87)-SUMIF(86:86,C25,87:87)+100</f>
        <v>100</v>
      </c>
      <c r="K25" s="2969">
        <v>3</v>
      </c>
      <c r="L25" s="1142"/>
      <c r="M25" s="1133"/>
      <c r="N25" s="1133"/>
      <c r="O25" s="1133"/>
      <c r="P25" s="3192"/>
      <c r="Q25" s="1812" t="str">
        <f t="shared" ref="Q25:Q46" si="11">B25</f>
        <v>临街状况</v>
      </c>
      <c r="R25" s="773" t="s">
        <v>17</v>
      </c>
      <c r="S25" s="774">
        <f>F25</f>
        <v>103</v>
      </c>
      <c r="T25" s="773" t="s">
        <v>17</v>
      </c>
      <c r="U25" s="774">
        <f>H25</f>
        <v>103</v>
      </c>
      <c r="V25" s="773" t="s">
        <v>17</v>
      </c>
      <c r="W25" s="774">
        <f>J25</f>
        <v>100</v>
      </c>
      <c r="X25" s="1815"/>
      <c r="Y25" s="3194"/>
      <c r="Z25" s="1816" t="str">
        <f>Q25</f>
        <v>临街状况</v>
      </c>
      <c r="AA25" s="1813">
        <f t="shared" si="3"/>
        <v>0.970873786407767</v>
      </c>
      <c r="AB25" s="1813">
        <f t="shared" si="4"/>
        <v>0.970873786407767</v>
      </c>
      <c r="AC25" s="1813">
        <f t="shared" si="5"/>
        <v>1</v>
      </c>
    </row>
    <row r="26" spans="1:29" ht="15">
      <c r="A26" s="428"/>
      <c r="B26" s="1388" t="s">
        <v>2648</v>
      </c>
      <c r="C26" s="2959" t="s">
        <v>3156</v>
      </c>
      <c r="D26" s="435">
        <v>100</v>
      </c>
      <c r="E26" s="2959" t="s">
        <v>3181</v>
      </c>
      <c r="F26" s="461">
        <f>SUMIF(88:88,E26,89:89)-SUMIF(88:88,C26,89:89)+100</f>
        <v>104</v>
      </c>
      <c r="G26" s="2959" t="s">
        <v>3181</v>
      </c>
      <c r="H26" s="435">
        <f>SUMIF(88:88,G26,89:89)-SUMIF(88:88,C26,89:89)+100</f>
        <v>104</v>
      </c>
      <c r="I26" s="2959" t="s">
        <v>3181</v>
      </c>
      <c r="J26" s="435">
        <f>SUMIF(88:88,I26,89:89)-SUMIF(88:88,C26,89:89)+100</f>
        <v>104</v>
      </c>
      <c r="K26" s="613"/>
      <c r="L26" s="1142"/>
      <c r="M26" s="1133"/>
      <c r="N26" s="1133"/>
      <c r="O26" s="1133"/>
      <c r="P26" s="3192"/>
      <c r="Q26" s="1812" t="str">
        <f t="shared" si="11"/>
        <v>平面位置/可视性</v>
      </c>
      <c r="R26" s="773" t="s">
        <v>17</v>
      </c>
      <c r="S26" s="774">
        <f>F26</f>
        <v>104</v>
      </c>
      <c r="T26" s="773" t="s">
        <v>17</v>
      </c>
      <c r="U26" s="774">
        <f>H26</f>
        <v>104</v>
      </c>
      <c r="V26" s="773" t="s">
        <v>17</v>
      </c>
      <c r="W26" s="774">
        <f>J26</f>
        <v>104</v>
      </c>
      <c r="X26" s="1815"/>
      <c r="Y26" s="3194"/>
      <c r="Z26" s="1816" t="str">
        <f>Q26</f>
        <v>平面位置/可视性</v>
      </c>
      <c r="AA26" s="1813">
        <f t="shared" si="3"/>
        <v>0.96153846153846156</v>
      </c>
      <c r="AB26" s="1813">
        <f t="shared" si="4"/>
        <v>0.96153846153846156</v>
      </c>
      <c r="AC26" s="1813">
        <f t="shared" si="5"/>
        <v>0.96153846153846156</v>
      </c>
    </row>
    <row r="27" spans="1:29" s="117" customFormat="1" ht="15">
      <c r="A27" s="431"/>
      <c r="B27" s="451" t="s">
        <v>2649</v>
      </c>
      <c r="C27" s="2665" t="s">
        <v>3145</v>
      </c>
      <c r="D27" s="462">
        <v>100</v>
      </c>
      <c r="E27" s="2665" t="s">
        <v>3146</v>
      </c>
      <c r="F27" s="464">
        <f>SUMIF(90:90,E27,91:91)-SUMIF(90:90,C27,91:91)+100</f>
        <v>101</v>
      </c>
      <c r="G27" s="2665" t="s">
        <v>3146</v>
      </c>
      <c r="H27" s="462">
        <f>SUMIF(90:90,G27,91:91)-SUMIF(90:90,C27,91:91)+100</f>
        <v>101</v>
      </c>
      <c r="I27" s="2665" t="s">
        <v>3146</v>
      </c>
      <c r="J27" s="462">
        <f>SUMIF(90:90,I27,91:91)-SUMIF(90:90,C27,91:91)+100</f>
        <v>101</v>
      </c>
      <c r="K27" s="2969">
        <v>1</v>
      </c>
      <c r="L27" s="1134"/>
      <c r="M27" s="1135"/>
      <c r="N27" s="1135"/>
      <c r="O27" s="1135"/>
      <c r="P27" s="3192"/>
      <c r="Q27" s="1797" t="str">
        <f t="shared" si="11"/>
        <v>人流量</v>
      </c>
      <c r="R27" s="769" t="s">
        <v>17</v>
      </c>
      <c r="S27" s="770">
        <f>F27</f>
        <v>101</v>
      </c>
      <c r="T27" s="769" t="s">
        <v>17</v>
      </c>
      <c r="U27" s="770">
        <f>H27</f>
        <v>101</v>
      </c>
      <c r="V27" s="769" t="s">
        <v>17</v>
      </c>
      <c r="W27" s="770">
        <f>J27</f>
        <v>101</v>
      </c>
      <c r="X27" s="771"/>
      <c r="Y27" s="3194"/>
      <c r="Z27" s="55" t="str">
        <f>Q27</f>
        <v>人流量</v>
      </c>
      <c r="AA27" s="1813">
        <f>D27/F27</f>
        <v>0.99009900990099009</v>
      </c>
      <c r="AB27" s="1813">
        <f>D27/H27</f>
        <v>0.99009900990099009</v>
      </c>
      <c r="AC27" s="1813">
        <f>D27/J27</f>
        <v>0.99009900990099009</v>
      </c>
    </row>
    <row r="28" spans="1:29" ht="15.75" thickBot="1">
      <c r="A28" s="428"/>
      <c r="B28" s="422" t="s">
        <v>2650</v>
      </c>
      <c r="C28" s="616" t="s">
        <v>3162</v>
      </c>
      <c r="D28" s="435">
        <v>100</v>
      </c>
      <c r="E28" s="616" t="s">
        <v>3162</v>
      </c>
      <c r="F28" s="461">
        <f>SUMIF(92:92,E28,93:93)-SUMIF(92:92,C28,93:93)+100</f>
        <v>100</v>
      </c>
      <c r="G28" s="616" t="s">
        <v>3162</v>
      </c>
      <c r="H28" s="435">
        <f>SUMIF(92:92,G28,93:93)-SUMIF(92:92,C28,93:93)+100</f>
        <v>100</v>
      </c>
      <c r="I28" s="616" t="s">
        <v>3162</v>
      </c>
      <c r="J28" s="435">
        <f>SUMIF(92:92,I28,93:93)-SUMIF(92:92,C28,93:93)+100</f>
        <v>100</v>
      </c>
      <c r="K28" s="613"/>
      <c r="L28" s="1142"/>
      <c r="M28" s="1133"/>
      <c r="N28" s="1133"/>
      <c r="O28" s="1133"/>
      <c r="P28" s="319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2"/>
      <c r="Q29" s="1812">
        <f t="shared" si="11"/>
        <v>111</v>
      </c>
      <c r="R29" s="773" t="s">
        <v>17</v>
      </c>
      <c r="S29" s="774">
        <f t="shared" si="12"/>
        <v>100</v>
      </c>
      <c r="T29" s="773" t="s">
        <v>17</v>
      </c>
      <c r="U29" s="774">
        <f t="shared" si="13"/>
        <v>100</v>
      </c>
      <c r="V29" s="773" t="s">
        <v>17</v>
      </c>
      <c r="W29" s="774">
        <f t="shared" si="14"/>
        <v>100</v>
      </c>
      <c r="X29" s="1815"/>
      <c r="Y29" s="319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2"/>
      <c r="Q30" s="1812">
        <f t="shared" si="11"/>
        <v>111</v>
      </c>
      <c r="R30" s="773" t="s">
        <v>17</v>
      </c>
      <c r="S30" s="774">
        <f t="shared" si="12"/>
        <v>100</v>
      </c>
      <c r="T30" s="773" t="s">
        <v>17</v>
      </c>
      <c r="U30" s="774">
        <f t="shared" si="13"/>
        <v>100</v>
      </c>
      <c r="V30" s="773" t="s">
        <v>17</v>
      </c>
      <c r="W30" s="774">
        <f t="shared" si="14"/>
        <v>100</v>
      </c>
      <c r="X30" s="1815"/>
      <c r="Y30" s="319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2"/>
      <c r="Q31" s="1812">
        <f t="shared" si="11"/>
        <v>111</v>
      </c>
      <c r="R31" s="773" t="s">
        <v>17</v>
      </c>
      <c r="S31" s="774">
        <f t="shared" si="12"/>
        <v>100</v>
      </c>
      <c r="T31" s="773" t="s">
        <v>17</v>
      </c>
      <c r="U31" s="774">
        <f t="shared" si="13"/>
        <v>100</v>
      </c>
      <c r="V31" s="773" t="s">
        <v>17</v>
      </c>
      <c r="W31" s="774">
        <f t="shared" si="14"/>
        <v>100</v>
      </c>
      <c r="X31" s="1815"/>
      <c r="Y31" s="3194"/>
      <c r="Z31" s="1816">
        <f t="shared" si="15"/>
        <v>111</v>
      </c>
      <c r="AA31" s="1813">
        <f t="shared" si="3"/>
        <v>1</v>
      </c>
      <c r="AB31" s="1813">
        <f t="shared" si="4"/>
        <v>1</v>
      </c>
      <c r="AC31" s="1813">
        <f t="shared" si="5"/>
        <v>1</v>
      </c>
    </row>
    <row r="32" spans="1:29" ht="15">
      <c r="A32" s="440" t="s">
        <v>2554</v>
      </c>
      <c r="B32" s="71" t="s">
        <v>2651</v>
      </c>
      <c r="C32" s="2617" t="s">
        <v>3167</v>
      </c>
      <c r="D32" s="467">
        <v>100</v>
      </c>
      <c r="E32" s="2617" t="s">
        <v>3165</v>
      </c>
      <c r="F32" s="461">
        <f>SUMIF(100:100,E32,101:101)-SUMIF(100:100,C32,101:101)+100</f>
        <v>102</v>
      </c>
      <c r="G32" s="2617" t="s">
        <v>3165</v>
      </c>
      <c r="H32" s="435">
        <f>SUMIF(100:100,G32,101:101)-SUMIF(100:100,C32,101:101)+100</f>
        <v>102</v>
      </c>
      <c r="I32" s="2617" t="s">
        <v>3163</v>
      </c>
      <c r="J32" s="467">
        <f>SUMIF(100:100,I32,101:101)-SUMIF(100:100,C32,101:101)+100</f>
        <v>104</v>
      </c>
      <c r="K32" s="612">
        <v>2</v>
      </c>
      <c r="L32" s="1142"/>
      <c r="M32" s="1133"/>
      <c r="N32" s="1133"/>
      <c r="O32" s="1133"/>
      <c r="P32" s="3195" t="s">
        <v>2556</v>
      </c>
      <c r="Q32" s="1812" t="str">
        <f t="shared" si="11"/>
        <v>商业类型</v>
      </c>
      <c r="R32" s="773" t="s">
        <v>17</v>
      </c>
      <c r="S32" s="774">
        <f t="shared" si="12"/>
        <v>102</v>
      </c>
      <c r="T32" s="773" t="s">
        <v>17</v>
      </c>
      <c r="U32" s="774">
        <f t="shared" si="13"/>
        <v>102</v>
      </c>
      <c r="V32" s="773" t="s">
        <v>17</v>
      </c>
      <c r="W32" s="774">
        <f t="shared" si="14"/>
        <v>104</v>
      </c>
      <c r="X32" s="1815"/>
      <c r="Y32" s="3198" t="s">
        <v>2556</v>
      </c>
      <c r="Z32" s="1816" t="str">
        <f t="shared" si="15"/>
        <v>商业类型</v>
      </c>
      <c r="AA32" s="1813">
        <f t="shared" si="3"/>
        <v>0.98039215686274506</v>
      </c>
      <c r="AB32" s="1813">
        <f t="shared" si="4"/>
        <v>0.98039215686274506</v>
      </c>
      <c r="AC32" s="1813">
        <f t="shared" si="5"/>
        <v>0.96153846153846156</v>
      </c>
    </row>
    <row r="33" spans="1:29" s="471" customFormat="1" ht="15">
      <c r="A33" s="468"/>
      <c r="B33" s="422" t="s">
        <v>2557</v>
      </c>
      <c r="C33" s="469">
        <f>'数据-基础表'!I13</f>
        <v>32.75</v>
      </c>
      <c r="D33" s="136">
        <v>100</v>
      </c>
      <c r="E33" s="430">
        <v>70</v>
      </c>
      <c r="F33" s="425">
        <f>LOOKUP(E33,103:103,104:104)-LOOKUP(C33,103:103,104:104)+100</f>
        <v>100</v>
      </c>
      <c r="G33" s="429">
        <v>500</v>
      </c>
      <c r="H33" s="136">
        <f>LOOKUP(G33,103:103,104:104)-LOOKUP(C33,103:103,104:104)+100</f>
        <v>94</v>
      </c>
      <c r="I33" s="429">
        <v>24</v>
      </c>
      <c r="J33" s="136">
        <f>LOOKUP(I33,103:103,104:104)-LOOKUP(C33,103:103,104:104)+100</f>
        <v>100</v>
      </c>
      <c r="K33" s="613"/>
      <c r="L33" s="1140"/>
      <c r="M33" s="1143"/>
      <c r="N33" s="1143"/>
      <c r="O33" s="1143"/>
      <c r="P33" s="3196"/>
      <c r="Q33" s="775" t="str">
        <f t="shared" si="11"/>
        <v>项目建筑规模</v>
      </c>
      <c r="R33" s="776" t="s">
        <v>17</v>
      </c>
      <c r="S33" s="777">
        <f t="shared" si="12"/>
        <v>100</v>
      </c>
      <c r="T33" s="776" t="s">
        <v>17</v>
      </c>
      <c r="U33" s="777">
        <f t="shared" si="13"/>
        <v>94</v>
      </c>
      <c r="V33" s="776" t="s">
        <v>17</v>
      </c>
      <c r="W33" s="777">
        <f t="shared" si="14"/>
        <v>100</v>
      </c>
      <c r="X33" s="778"/>
      <c r="Y33" s="3198"/>
      <c r="Z33" s="779" t="str">
        <f t="shared" si="15"/>
        <v>项目建筑规模</v>
      </c>
      <c r="AA33" s="1813">
        <f t="shared" si="3"/>
        <v>1</v>
      </c>
      <c r="AB33" s="1813">
        <f t="shared" si="4"/>
        <v>1.0638297872340425</v>
      </c>
      <c r="AC33" s="1813">
        <f t="shared" si="5"/>
        <v>1</v>
      </c>
    </row>
    <row r="34" spans="1:29" ht="15">
      <c r="A34" s="472"/>
      <c r="B34" s="422" t="s">
        <v>2558</v>
      </c>
      <c r="C34" s="2619" t="s">
        <v>3168</v>
      </c>
      <c r="D34" s="435">
        <v>100</v>
      </c>
      <c r="E34" s="2619" t="s">
        <v>3168</v>
      </c>
      <c r="F34" s="461">
        <f>SUMIF(105:105,E34,106:106)-SUMIF(105:105,C34,106:106)+100</f>
        <v>100</v>
      </c>
      <c r="G34" s="2619" t="s">
        <v>3168</v>
      </c>
      <c r="H34" s="435">
        <f>SUMIF(105:105,G34,106:106)-SUMIF(105:105,C34,106:106)+100</f>
        <v>100</v>
      </c>
      <c r="I34" s="2619" t="s">
        <v>3168</v>
      </c>
      <c r="J34" s="435">
        <f>SUMIF(105:105,I34,106:106)-SUMIF(105:105,C34,106:106)+100</f>
        <v>100</v>
      </c>
      <c r="K34" s="612">
        <v>2</v>
      </c>
      <c r="L34" s="1142"/>
      <c r="M34" s="1133"/>
      <c r="N34" s="1133"/>
      <c r="O34" s="1133"/>
      <c r="P34" s="3196"/>
      <c r="Q34" s="1812" t="str">
        <f t="shared" si="11"/>
        <v>建筑结构</v>
      </c>
      <c r="R34" s="773" t="s">
        <v>17</v>
      </c>
      <c r="S34" s="774">
        <f t="shared" si="12"/>
        <v>100</v>
      </c>
      <c r="T34" s="773" t="s">
        <v>17</v>
      </c>
      <c r="U34" s="774">
        <f t="shared" si="13"/>
        <v>100</v>
      </c>
      <c r="V34" s="773" t="s">
        <v>17</v>
      </c>
      <c r="W34" s="774">
        <f t="shared" si="14"/>
        <v>100</v>
      </c>
      <c r="X34" s="1815"/>
      <c r="Y34" s="3198"/>
      <c r="Z34" s="1816" t="str">
        <f t="shared" si="15"/>
        <v>建筑结构</v>
      </c>
      <c r="AA34" s="1813">
        <f t="shared" si="3"/>
        <v>1</v>
      </c>
      <c r="AB34" s="1813">
        <f t="shared" si="4"/>
        <v>1</v>
      </c>
      <c r="AC34" s="1813">
        <f t="shared" si="5"/>
        <v>1</v>
      </c>
    </row>
    <row r="35" spans="1:29" ht="15" hidden="1">
      <c r="A35" s="472"/>
      <c r="B35" s="422" t="s">
        <v>2652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2</v>
      </c>
      <c r="L35" s="1142"/>
      <c r="M35" s="1133"/>
      <c r="N35" s="1133"/>
      <c r="O35" s="1133"/>
      <c r="P35" s="3196"/>
      <c r="Q35" s="1812" t="str">
        <f t="shared" si="11"/>
        <v>公共部分装修</v>
      </c>
      <c r="R35" s="773" t="s">
        <v>17</v>
      </c>
      <c r="S35" s="774">
        <f t="shared" si="12"/>
        <v>100</v>
      </c>
      <c r="T35" s="773" t="s">
        <v>17</v>
      </c>
      <c r="U35" s="774">
        <f t="shared" si="13"/>
        <v>100</v>
      </c>
      <c r="V35" s="773" t="s">
        <v>17</v>
      </c>
      <c r="W35" s="774">
        <f t="shared" si="14"/>
        <v>100</v>
      </c>
      <c r="X35" s="1815"/>
      <c r="Y35" s="3198"/>
      <c r="Z35" s="1816" t="str">
        <f t="shared" si="15"/>
        <v>公共部分装修</v>
      </c>
      <c r="AA35" s="1813">
        <f t="shared" si="3"/>
        <v>1</v>
      </c>
      <c r="AB35" s="1813">
        <f t="shared" si="4"/>
        <v>1</v>
      </c>
      <c r="AC35" s="1813">
        <f t="shared" si="5"/>
        <v>1</v>
      </c>
    </row>
    <row r="36" spans="1:29" ht="15">
      <c r="A36" s="472"/>
      <c r="B36" s="422" t="s">
        <v>2653</v>
      </c>
      <c r="C36" s="474">
        <f>'数据-取费表'!N6</f>
        <v>0.77</v>
      </c>
      <c r="D36" s="435">
        <v>100</v>
      </c>
      <c r="E36" s="474">
        <v>0.95</v>
      </c>
      <c r="F36" s="461">
        <f>LOOKUP(E36,110:110,111:111)-LOOKUP(C36,110:110,111:111)+100</f>
        <v>102</v>
      </c>
      <c r="G36" s="474">
        <v>0.95</v>
      </c>
      <c r="H36" s="461">
        <f>LOOKUP(G36,110:110,111:111)-LOOKUP(C36,110:110,111:111)+100</f>
        <v>102</v>
      </c>
      <c r="I36" s="474">
        <v>0.9</v>
      </c>
      <c r="J36" s="435">
        <f>LOOKUP(I36,110:110,111:111)-LOOKUP(C36,110:110,111:111)+100</f>
        <v>102</v>
      </c>
      <c r="K36" s="612">
        <v>1</v>
      </c>
      <c r="L36" s="1142"/>
      <c r="M36" s="1133"/>
      <c r="N36" s="1133"/>
      <c r="O36" s="1133"/>
      <c r="P36" s="3196"/>
      <c r="Q36" s="1812" t="str">
        <f t="shared" si="11"/>
        <v>成新度</v>
      </c>
      <c r="R36" s="773" t="s">
        <v>17</v>
      </c>
      <c r="S36" s="774">
        <f t="shared" si="12"/>
        <v>102</v>
      </c>
      <c r="T36" s="773" t="s">
        <v>17</v>
      </c>
      <c r="U36" s="774">
        <f t="shared" si="13"/>
        <v>102</v>
      </c>
      <c r="V36" s="773" t="s">
        <v>17</v>
      </c>
      <c r="W36" s="774">
        <f t="shared" si="14"/>
        <v>102</v>
      </c>
      <c r="X36" s="1815"/>
      <c r="Y36" s="3198"/>
      <c r="Z36" s="1816" t="str">
        <f t="shared" si="15"/>
        <v>成新度</v>
      </c>
      <c r="AA36" s="1813">
        <f t="shared" si="3"/>
        <v>0.98039215686274506</v>
      </c>
      <c r="AB36" s="1813">
        <f t="shared" si="4"/>
        <v>0.98039215686274506</v>
      </c>
      <c r="AC36" s="1813">
        <f t="shared" si="5"/>
        <v>0.98039215686274506</v>
      </c>
    </row>
    <row r="37" spans="1:29" s="117" customFormat="1" ht="15" hidden="1">
      <c r="A37" s="473"/>
      <c r="B37" s="422" t="s">
        <v>2654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v>2</v>
      </c>
      <c r="L37" s="1134"/>
      <c r="M37" s="1135"/>
      <c r="N37" s="1135"/>
      <c r="O37" s="1135"/>
      <c r="P37" s="3196"/>
      <c r="Q37" s="1797" t="str">
        <f t="shared" si="11"/>
        <v>市政基础设施</v>
      </c>
      <c r="R37" s="769" t="s">
        <v>17</v>
      </c>
      <c r="S37" s="770">
        <f t="shared" si="12"/>
        <v>100</v>
      </c>
      <c r="T37" s="769" t="s">
        <v>17</v>
      </c>
      <c r="U37" s="770">
        <f t="shared" si="13"/>
        <v>100</v>
      </c>
      <c r="V37" s="769" t="s">
        <v>17</v>
      </c>
      <c r="W37" s="770">
        <f t="shared" si="14"/>
        <v>100</v>
      </c>
      <c r="X37" s="771"/>
      <c r="Y37" s="3198"/>
      <c r="Z37" s="55" t="str">
        <f t="shared" si="15"/>
        <v>市政基础设施</v>
      </c>
      <c r="AA37" s="772">
        <f t="shared" si="3"/>
        <v>1</v>
      </c>
      <c r="AB37" s="772">
        <f t="shared" si="4"/>
        <v>1</v>
      </c>
      <c r="AC37" s="772">
        <f t="shared" si="5"/>
        <v>1</v>
      </c>
    </row>
    <row r="38" spans="1:29" ht="15">
      <c r="A38" s="472"/>
      <c r="B38" s="422" t="s">
        <v>2655</v>
      </c>
      <c r="C38" s="2613" t="s">
        <v>3179</v>
      </c>
      <c r="D38" s="435">
        <v>100</v>
      </c>
      <c r="E38" s="2613" t="s">
        <v>3179</v>
      </c>
      <c r="F38" s="461">
        <f>SUMIF(114:114,E38,115:115)-SUMIF(114:114,C38,115:115)+100</f>
        <v>100</v>
      </c>
      <c r="G38" s="2613" t="s">
        <v>3179</v>
      </c>
      <c r="H38" s="435">
        <f>SUMIF(114:114,G38,115:115)-SUMIF(114:114,C38,115:115)+100</f>
        <v>100</v>
      </c>
      <c r="I38" s="2613" t="s">
        <v>3179</v>
      </c>
      <c r="J38" s="435">
        <f>SUMIF(114:114,I38,115:115)-SUMIF(114:114,C38,115:115)+100</f>
        <v>100</v>
      </c>
      <c r="K38" s="612">
        <v>2</v>
      </c>
      <c r="L38" s="1142"/>
      <c r="M38" s="1133"/>
      <c r="N38" s="1133"/>
      <c r="O38" s="1133"/>
      <c r="P38" s="3196" t="s">
        <v>2556</v>
      </c>
      <c r="Q38" s="1812" t="str">
        <f t="shared" si="11"/>
        <v>业态</v>
      </c>
      <c r="R38" s="773" t="s">
        <v>17</v>
      </c>
      <c r="S38" s="774">
        <f t="shared" si="12"/>
        <v>100</v>
      </c>
      <c r="T38" s="773" t="s">
        <v>17</v>
      </c>
      <c r="U38" s="774">
        <f t="shared" si="13"/>
        <v>100</v>
      </c>
      <c r="V38" s="773" t="s">
        <v>17</v>
      </c>
      <c r="W38" s="774">
        <f t="shared" si="14"/>
        <v>100</v>
      </c>
      <c r="X38" s="1815"/>
      <c r="Y38" s="3198" t="s">
        <v>2556</v>
      </c>
      <c r="Z38" s="1816" t="str">
        <f t="shared" si="15"/>
        <v>业态</v>
      </c>
      <c r="AA38" s="1813">
        <f t="shared" si="3"/>
        <v>1</v>
      </c>
      <c r="AB38" s="1813">
        <f t="shared" si="4"/>
        <v>1</v>
      </c>
      <c r="AC38" s="1813">
        <f t="shared" si="5"/>
        <v>1</v>
      </c>
    </row>
    <row r="39" spans="1:29" ht="15" hidden="1">
      <c r="A39" s="472"/>
      <c r="B39" s="422" t="s">
        <v>2656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96"/>
      <c r="Q39" s="1812" t="str">
        <f t="shared" si="11"/>
        <v>层高</v>
      </c>
      <c r="R39" s="773" t="s">
        <v>17</v>
      </c>
      <c r="S39" s="774">
        <f t="shared" si="12"/>
        <v>100</v>
      </c>
      <c r="T39" s="773" t="s">
        <v>17</v>
      </c>
      <c r="U39" s="774">
        <f t="shared" si="13"/>
        <v>100</v>
      </c>
      <c r="V39" s="773" t="s">
        <v>17</v>
      </c>
      <c r="W39" s="774">
        <f t="shared" si="14"/>
        <v>100</v>
      </c>
      <c r="X39" s="1815"/>
      <c r="Y39" s="3198"/>
      <c r="Z39" s="1816" t="str">
        <f t="shared" si="15"/>
        <v>层高</v>
      </c>
      <c r="AA39" s="1813">
        <f t="shared" si="3"/>
        <v>1</v>
      </c>
      <c r="AB39" s="1813">
        <f t="shared" si="4"/>
        <v>1</v>
      </c>
      <c r="AC39" s="1813">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2" t="str">
        <f t="shared" si="11"/>
        <v>单套建筑面积</v>
      </c>
      <c r="R40" s="773" t="s">
        <v>17</v>
      </c>
      <c r="S40" s="774">
        <f t="shared" si="12"/>
        <v>100</v>
      </c>
      <c r="T40" s="773" t="s">
        <v>17</v>
      </c>
      <c r="U40" s="774">
        <f t="shared" si="13"/>
        <v>100</v>
      </c>
      <c r="V40" s="773" t="s">
        <v>17</v>
      </c>
      <c r="W40" s="774">
        <f t="shared" si="14"/>
        <v>100</v>
      </c>
      <c r="X40" s="1815"/>
      <c r="Y40" s="3198"/>
      <c r="Z40" s="1816" t="str">
        <f t="shared" si="15"/>
        <v>单套建筑面积</v>
      </c>
      <c r="AA40" s="1813">
        <f t="shared" si="3"/>
        <v>1</v>
      </c>
      <c r="AB40" s="1813">
        <f t="shared" si="4"/>
        <v>1</v>
      </c>
      <c r="AC40" s="1813">
        <f t="shared" si="5"/>
        <v>1</v>
      </c>
    </row>
    <row r="41" spans="1:29" s="471" customFormat="1" ht="15" hidden="1">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5" t="str">
        <f t="shared" si="11"/>
        <v>进深比</v>
      </c>
      <c r="R41" s="776" t="s">
        <v>17</v>
      </c>
      <c r="S41" s="777">
        <f t="shared" si="12"/>
        <v>100</v>
      </c>
      <c r="T41" s="776" t="s">
        <v>17</v>
      </c>
      <c r="U41" s="777">
        <f t="shared" si="13"/>
        <v>100</v>
      </c>
      <c r="V41" s="776" t="s">
        <v>17</v>
      </c>
      <c r="W41" s="777">
        <f t="shared" si="14"/>
        <v>100</v>
      </c>
      <c r="X41" s="778"/>
      <c r="Y41" s="3198"/>
      <c r="Z41" s="779" t="str">
        <f t="shared" si="15"/>
        <v>进深比</v>
      </c>
      <c r="AA41" s="1813">
        <f t="shared" si="3"/>
        <v>1</v>
      </c>
      <c r="AB41" s="1813">
        <f t="shared" si="4"/>
        <v>1</v>
      </c>
      <c r="AC41" s="1813">
        <f t="shared" si="5"/>
        <v>1</v>
      </c>
    </row>
    <row r="42" spans="1:29" ht="15">
      <c r="A42" s="472"/>
      <c r="B42" s="422" t="s">
        <v>2659</v>
      </c>
      <c r="C42" s="2613" t="s">
        <v>3172</v>
      </c>
      <c r="D42" s="435">
        <v>100</v>
      </c>
      <c r="E42" s="2613" t="s">
        <v>3176</v>
      </c>
      <c r="F42" s="461">
        <f>SUMIF(122:122,E42,123:123)-SUMIF(122:122,C42,123:123)+100</f>
        <v>96</v>
      </c>
      <c r="G42" s="2613" t="s">
        <v>3176</v>
      </c>
      <c r="H42" s="435">
        <f>SUMIF(122:122,G42,123:123)-SUMIF(122:122,C42,123:123)+100</f>
        <v>96</v>
      </c>
      <c r="I42" s="2613" t="s">
        <v>3174</v>
      </c>
      <c r="J42" s="435">
        <f>SUMIF(122:122,I42,123:123)-SUMIF(122:122,C42,123:123)+100</f>
        <v>98</v>
      </c>
      <c r="K42" s="612">
        <v>2</v>
      </c>
      <c r="L42" s="1142"/>
      <c r="M42" s="1133"/>
      <c r="N42" s="1133"/>
      <c r="O42" s="1133"/>
      <c r="P42" s="3196"/>
      <c r="Q42" s="1812" t="str">
        <f t="shared" si="11"/>
        <v>内部装修</v>
      </c>
      <c r="R42" s="773" t="s">
        <v>17</v>
      </c>
      <c r="S42" s="774">
        <f t="shared" si="12"/>
        <v>96</v>
      </c>
      <c r="T42" s="773" t="s">
        <v>17</v>
      </c>
      <c r="U42" s="774">
        <f t="shared" si="13"/>
        <v>96</v>
      </c>
      <c r="V42" s="773" t="s">
        <v>17</v>
      </c>
      <c r="W42" s="774">
        <f t="shared" si="14"/>
        <v>98</v>
      </c>
      <c r="X42" s="1815"/>
      <c r="Y42" s="3198"/>
      <c r="Z42" s="1816" t="str">
        <f t="shared" si="15"/>
        <v>内部装修</v>
      </c>
      <c r="AA42" s="1813">
        <f t="shared" si="3"/>
        <v>1.0416666666666667</v>
      </c>
      <c r="AB42" s="1813">
        <f t="shared" si="4"/>
        <v>1.0416666666666667</v>
      </c>
      <c r="AC42" s="1813">
        <f t="shared" si="5"/>
        <v>1.0204081632653061</v>
      </c>
    </row>
    <row r="43" spans="1:29" ht="15.75" thickBot="1">
      <c r="A43" s="472"/>
      <c r="B43" s="422" t="s">
        <v>2567</v>
      </c>
      <c r="C43" s="2613" t="s">
        <v>3146</v>
      </c>
      <c r="D43" s="435">
        <v>100</v>
      </c>
      <c r="E43" s="2613" t="s">
        <v>3146</v>
      </c>
      <c r="F43" s="461">
        <f>SUMIF(124:124,E43,125:125)-SUMIF(124:124,C43,125:125)+100</f>
        <v>100</v>
      </c>
      <c r="G43" s="2613" t="s">
        <v>3146</v>
      </c>
      <c r="H43" s="435">
        <f>SUMIF(124:124,G43,125:125)-SUMIF(124:124,C43,125:125)+100</f>
        <v>100</v>
      </c>
      <c r="I43" s="2613" t="s">
        <v>3146</v>
      </c>
      <c r="J43" s="435">
        <f>SUMIF(124:124,I43,125:125)-SUMIF(124:124,C43,125:125)+100</f>
        <v>100</v>
      </c>
      <c r="K43" s="612">
        <v>2</v>
      </c>
      <c r="L43" s="1142"/>
      <c r="M43" s="1133"/>
      <c r="N43" s="1133"/>
      <c r="O43" s="1133"/>
      <c r="P43" s="3196"/>
      <c r="Q43" s="1812" t="str">
        <f t="shared" si="11"/>
        <v>内部装修维护情况</v>
      </c>
      <c r="R43" s="773" t="s">
        <v>17</v>
      </c>
      <c r="S43" s="774">
        <f t="shared" si="12"/>
        <v>100</v>
      </c>
      <c r="T43" s="773" t="s">
        <v>17</v>
      </c>
      <c r="U43" s="774">
        <f t="shared" si="13"/>
        <v>100</v>
      </c>
      <c r="V43" s="773" t="s">
        <v>17</v>
      </c>
      <c r="W43" s="774">
        <f t="shared" si="14"/>
        <v>100</v>
      </c>
      <c r="X43" s="1815"/>
      <c r="Y43" s="3198"/>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7">
        <f t="shared" si="11"/>
        <v>111</v>
      </c>
      <c r="R44" s="769" t="s">
        <v>17</v>
      </c>
      <c r="S44" s="770">
        <f t="shared" si="12"/>
        <v>100</v>
      </c>
      <c r="T44" s="769" t="s">
        <v>17</v>
      </c>
      <c r="U44" s="770">
        <f t="shared" si="13"/>
        <v>100</v>
      </c>
      <c r="V44" s="769" t="s">
        <v>17</v>
      </c>
      <c r="W44" s="770">
        <f t="shared" si="14"/>
        <v>100</v>
      </c>
      <c r="X44" s="771"/>
      <c r="Y44" s="3198"/>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2">
        <f t="shared" si="11"/>
        <v>111</v>
      </c>
      <c r="R45" s="773" t="s">
        <v>17</v>
      </c>
      <c r="S45" s="774">
        <f t="shared" si="12"/>
        <v>100</v>
      </c>
      <c r="T45" s="773" t="s">
        <v>17</v>
      </c>
      <c r="U45" s="774">
        <f t="shared" si="13"/>
        <v>100</v>
      </c>
      <c r="V45" s="773" t="s">
        <v>17</v>
      </c>
      <c r="W45" s="774">
        <f t="shared" si="14"/>
        <v>100</v>
      </c>
      <c r="X45" s="1815"/>
      <c r="Y45" s="3198"/>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2">
        <f t="shared" si="11"/>
        <v>111</v>
      </c>
      <c r="R46" s="773" t="s">
        <v>17</v>
      </c>
      <c r="S46" s="774">
        <f t="shared" si="12"/>
        <v>100</v>
      </c>
      <c r="T46" s="773" t="s">
        <v>17</v>
      </c>
      <c r="U46" s="774">
        <f t="shared" si="13"/>
        <v>100</v>
      </c>
      <c r="V46" s="773" t="s">
        <v>17</v>
      </c>
      <c r="W46" s="774">
        <f t="shared" si="14"/>
        <v>100</v>
      </c>
      <c r="X46" s="1815"/>
      <c r="Y46" s="3199"/>
      <c r="Z46" s="1816">
        <f t="shared" si="15"/>
        <v>111</v>
      </c>
      <c r="AA46" s="1813">
        <f t="shared" si="3"/>
        <v>1</v>
      </c>
      <c r="AB46" s="1813">
        <f t="shared" si="4"/>
        <v>1</v>
      </c>
      <c r="AC46" s="1813">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200" t="str">
        <f>A47</f>
        <v>成交单价（元/平方米）</v>
      </c>
      <c r="Q47" s="3200"/>
      <c r="R47" s="3162">
        <f>E47</f>
        <v>29400</v>
      </c>
      <c r="S47" s="3162"/>
      <c r="T47" s="3162">
        <f>G47</f>
        <v>27440</v>
      </c>
      <c r="U47" s="3162"/>
      <c r="V47" s="3162">
        <f>I47</f>
        <v>31850</v>
      </c>
      <c r="W47" s="3162"/>
      <c r="X47" s="758"/>
      <c r="Y47" s="780"/>
      <c r="Z47" s="758"/>
      <c r="AA47" s="758"/>
      <c r="AB47" s="758"/>
      <c r="AC47" s="758"/>
    </row>
    <row r="48" spans="1:29" ht="15.75" thickBot="1">
      <c r="A48" s="486" t="s">
        <v>2660</v>
      </c>
      <c r="B48" s="487"/>
      <c r="C48" s="1415">
        <f>R49</f>
        <v>26981</v>
      </c>
      <c r="D48" s="1416"/>
      <c r="E48" s="1417">
        <f>R48</f>
        <v>26410</v>
      </c>
      <c r="F48" s="1417"/>
      <c r="G48" s="1415">
        <f>T48</f>
        <v>26222</v>
      </c>
      <c r="H48" s="1416"/>
      <c r="I48" s="1417">
        <f>V48</f>
        <v>28312</v>
      </c>
      <c r="J48" s="1416"/>
      <c r="K48" s="783"/>
      <c r="L48" s="1145"/>
      <c r="M48" s="1146"/>
      <c r="N48" s="1133"/>
      <c r="O48" s="1146"/>
      <c r="P48" s="3200" t="str">
        <f>A48</f>
        <v>比较价值（元/平方米）</v>
      </c>
      <c r="Q48" s="3200"/>
      <c r="R48" s="3201">
        <f>IF(F1="售价",ROUND(PRODUCT(R47,AA7:AA46),0),ROUND(PRODUCT(R47,AA7:AA46),1))</f>
        <v>26410</v>
      </c>
      <c r="S48" s="3201"/>
      <c r="T48" s="3201">
        <f>IF(F1="售价",ROUND(PRODUCT(T47,AB7:AB46),0),ROUND(PRODUCT(T47,AB7:AB46),1))</f>
        <v>26222</v>
      </c>
      <c r="U48" s="3201"/>
      <c r="V48" s="3201">
        <f>IF(F1="售价",ROUND(PRODUCT(V47,AC7:AC46),0),ROUND(PRODUCT(V47,AC7:AC46),1))</f>
        <v>28312</v>
      </c>
      <c r="W48" s="3201"/>
      <c r="X48" s="758"/>
      <c r="Y48" s="758"/>
      <c r="Z48" s="758"/>
      <c r="AA48" s="758"/>
      <c r="AB48" s="758"/>
      <c r="AC48" s="758"/>
    </row>
    <row r="49" spans="1:29" ht="15.75" thickBot="1">
      <c r="A49" s="492" t="s">
        <v>2661</v>
      </c>
      <c r="B49" s="493"/>
      <c r="C49" s="1419">
        <f>R49</f>
        <v>26981</v>
      </c>
      <c r="D49" s="1419"/>
      <c r="E49" s="1419"/>
      <c r="F49" s="1419"/>
      <c r="G49" s="1419"/>
      <c r="H49" s="1419"/>
      <c r="I49" s="1419"/>
      <c r="J49" s="1419"/>
      <c r="K49" s="784"/>
      <c r="L49" s="1145"/>
      <c r="M49" s="1146"/>
      <c r="N49" s="1133"/>
      <c r="O49" s="1146"/>
      <c r="P49" s="3202" t="str">
        <f>A49</f>
        <v>估价对象XX用房的比较价值（楼面单价，元/平方米）</v>
      </c>
      <c r="Q49" s="3203"/>
      <c r="R49" s="3204">
        <f>IF(F1="售价",ROUND(AVERAGE(R48:V48),0),ROUND(AVERAGE(R48:V48),1))</f>
        <v>26981</v>
      </c>
      <c r="S49" s="3204"/>
      <c r="T49" s="3204"/>
      <c r="U49" s="3204"/>
      <c r="V49" s="3204"/>
      <c r="W49" s="32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0.11321469140477092</v>
      </c>
      <c r="F52" s="500" t="str">
        <f>IF(OR(E52&gt;=0.3,E52&lt;=-0.3),"超过30%","")</f>
        <v/>
      </c>
      <c r="G52" s="499">
        <f>IF(G47&lt;G48,G48/G47-1,G47/G48-1)</f>
        <v>4.644954618259467E-2</v>
      </c>
      <c r="H52" s="500" t="str">
        <f>IF(OR(G52&gt;=0.3,G52&lt;=-0.3),"超过30%","")</f>
        <v/>
      </c>
      <c r="I52" s="499">
        <f>IF(I47&lt;I48,I48/I47-1,I47/I48-1)</f>
        <v>0.12496467928793442</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7.1695522843413517E-3</v>
      </c>
      <c r="F53" s="500" t="str">
        <f>IF(OR(E53&gt;=0.2,E53&lt;=-0.2),"超过20%","")</f>
        <v/>
      </c>
      <c r="G53" s="499">
        <f>IF(G48&lt;I48,I48/G48-1,G48/I48-1)</f>
        <v>7.9704065288688897E-2</v>
      </c>
      <c r="H53" s="500" t="str">
        <f>IF(OR(G53&gt;=0.2,G53&lt;=-0.2),"超过20%","")</f>
        <v/>
      </c>
      <c r="I53" s="499">
        <f>IF(I48&lt;E48,E48/I48-1,I48/E48-1)</f>
        <v>7.2018174933737189E-2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2541</v>
      </c>
      <c r="B61" s="510"/>
      <c r="C61" s="522" t="s">
        <v>2643</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0"/>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0"/>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30"/>
      <c r="Q85" s="504"/>
    </row>
    <row r="86" spans="1:17" s="117" customFormat="1" ht="15.75" thickTop="1">
      <c r="A86" s="579"/>
      <c r="B86" s="538" t="s">
        <v>2671</v>
      </c>
      <c r="C86" s="2957" t="s">
        <v>3148</v>
      </c>
      <c r="D86" s="2957" t="s">
        <v>3149</v>
      </c>
      <c r="E86" s="2957" t="s">
        <v>3151</v>
      </c>
      <c r="F86" s="2957" t="s">
        <v>3152</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7" t="s">
        <v>3153</v>
      </c>
      <c r="D88" s="2957" t="s">
        <v>3154</v>
      </c>
      <c r="E88" s="2957" t="s">
        <v>3155</v>
      </c>
      <c r="F88" s="2958" t="s">
        <v>3156</v>
      </c>
      <c r="G88" s="2957" t="s">
        <v>3157</v>
      </c>
      <c r="H88" s="554"/>
      <c r="I88" s="554"/>
      <c r="J88" s="554"/>
      <c r="K88" s="554"/>
      <c r="L88" s="554"/>
      <c r="M88" s="581"/>
      <c r="N88" s="1153"/>
      <c r="O88" s="1153"/>
      <c r="P88" s="2630"/>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0"/>
      <c r="Q89" s="504"/>
    </row>
    <row r="90" spans="1:17" s="471" customFormat="1" ht="15.75" thickTop="1">
      <c r="A90" s="553"/>
      <c r="B90" s="538" t="str">
        <f>B27</f>
        <v>人流量</v>
      </c>
      <c r="C90" s="2957" t="s">
        <v>3153</v>
      </c>
      <c r="D90" s="2957" t="s">
        <v>3154</v>
      </c>
      <c r="E90" s="2957" t="s">
        <v>3155</v>
      </c>
      <c r="F90" s="2958" t="s">
        <v>3156</v>
      </c>
      <c r="G90" s="2957" t="s">
        <v>3157</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3158</v>
      </c>
      <c r="D92" s="554" t="s">
        <v>3159</v>
      </c>
      <c r="E92" s="554" t="s">
        <v>3160</v>
      </c>
      <c r="F92" s="554" t="s">
        <v>3161</v>
      </c>
      <c r="G92" s="554"/>
      <c r="H92" s="554"/>
      <c r="I92" s="554"/>
      <c r="J92" s="554"/>
      <c r="K92" s="554"/>
      <c r="L92" s="580"/>
      <c r="M92" s="581"/>
      <c r="N92" s="1154"/>
      <c r="O92" s="1154"/>
      <c r="P92" s="2630"/>
      <c r="Q92" s="504"/>
    </row>
    <row r="93" spans="1:17" ht="15.75" thickBot="1">
      <c r="A93" s="534"/>
      <c r="B93" s="543"/>
      <c r="C93" s="536">
        <v>100</v>
      </c>
      <c r="D93" s="536">
        <v>90</v>
      </c>
      <c r="E93" s="536">
        <v>80</v>
      </c>
      <c r="F93" s="536">
        <v>60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2554</v>
      </c>
      <c r="B100" s="528" t="s">
        <v>2672</v>
      </c>
      <c r="C100" s="2960" t="s">
        <v>3164</v>
      </c>
      <c r="D100" s="2960" t="s">
        <v>3166</v>
      </c>
      <c r="E100" s="2960" t="s">
        <v>3182</v>
      </c>
      <c r="F100" s="296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0"/>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31"/>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31"/>
      <c r="Q104" s="559"/>
    </row>
    <row r="105" spans="1:17" ht="15" thickTop="1">
      <c r="A105" s="599"/>
      <c r="B105" s="538" t="s">
        <v>2605</v>
      </c>
      <c r="C105" s="2957" t="s">
        <v>3169</v>
      </c>
      <c r="D105" s="2957" t="s">
        <v>3170</v>
      </c>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0"/>
      <c r="Q106" s="504"/>
    </row>
    <row r="107" spans="1:17" ht="15" thickTop="1">
      <c r="A107" s="599"/>
      <c r="B107" s="538" t="s">
        <v>2607</v>
      </c>
      <c r="C107" s="2957" t="s">
        <v>3171</v>
      </c>
      <c r="D107" s="2957" t="s">
        <v>3173</v>
      </c>
      <c r="E107" s="2957" t="s">
        <v>3175</v>
      </c>
      <c r="F107" s="2961" t="s">
        <v>3177</v>
      </c>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30"/>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1"/>
      <c r="Q113" s="559"/>
    </row>
    <row r="114" spans="1:17" ht="15" thickTop="1">
      <c r="A114" s="599"/>
      <c r="B114" s="538" t="s">
        <v>2673</v>
      </c>
      <c r="C114" s="2957" t="s">
        <v>3178</v>
      </c>
      <c r="D114" s="2957" t="s">
        <v>3180</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30"/>
      <c r="Q115" s="504"/>
    </row>
    <row r="116" spans="1:17" ht="15" thickTop="1">
      <c r="A116" s="599"/>
      <c r="B116" s="538" t="s">
        <v>2674</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hidden="1" thickTop="1">
      <c r="A118" s="599"/>
      <c r="B118" s="538" t="s">
        <v>2675</v>
      </c>
      <c r="C118" s="627"/>
      <c r="D118" s="627"/>
      <c r="E118" s="627"/>
      <c r="F118" s="627"/>
      <c r="G118" s="627"/>
      <c r="H118" s="555"/>
      <c r="I118" s="555"/>
      <c r="J118" s="555"/>
      <c r="K118" s="555"/>
      <c r="L118" s="556"/>
      <c r="M118" s="557"/>
      <c r="N118" s="1154"/>
      <c r="O118" s="1154"/>
      <c r="P118" s="2630"/>
      <c r="Q118" s="504"/>
    </row>
    <row r="119" spans="1:17" ht="15.75" hidden="1"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31"/>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2611</v>
      </c>
      <c r="C122" s="2957" t="s">
        <v>3171</v>
      </c>
      <c r="D122" s="2957" t="s">
        <v>3173</v>
      </c>
      <c r="E122" s="2957" t="s">
        <v>3175</v>
      </c>
      <c r="F122" s="2961" t="s">
        <v>3177</v>
      </c>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2" sqref="G12:H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3135</v>
      </c>
      <c r="D1" s="1822" t="s">
        <v>70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7" t="s">
        <v>1403</v>
      </c>
      <c r="C6" s="1298" t="e">
        <f ca="1">ROUND(F6*F8*F7*(1-F9)/10000,0)</f>
        <v>#N/A</v>
      </c>
      <c r="D6" s="164" t="s">
        <v>3024</v>
      </c>
      <c r="E6" s="347" t="s">
        <v>1405</v>
      </c>
      <c r="F6" s="348" t="e">
        <f ca="1">INDIRECT("'数据-取费表'!u"&amp;$G$1)</f>
        <v>#N/A</v>
      </c>
      <c r="G6" s="1853"/>
      <c r="H6" s="1293" t="s">
        <v>1035</v>
      </c>
      <c r="I6" s="3207" t="s">
        <v>1403</v>
      </c>
      <c r="J6" s="346" t="e">
        <f ca="1">ROUND(M6*M8*M7*(1-M9)/10000,0)</f>
        <v>#N/A</v>
      </c>
      <c r="K6" s="164" t="s">
        <v>3023</v>
      </c>
      <c r="L6" s="347" t="s">
        <v>1405</v>
      </c>
      <c r="M6" s="348" t="e">
        <f ca="1">INDIRECT("'数据-取费表'!z"&amp;$G$1)</f>
        <v>#N/A</v>
      </c>
    </row>
    <row r="7" spans="1:37" ht="18" customHeight="1">
      <c r="A7" s="1297"/>
      <c r="B7" s="3208"/>
      <c r="C7" s="1299"/>
      <c r="D7" s="352"/>
      <c r="E7" s="1300" t="s">
        <v>1406</v>
      </c>
      <c r="F7" s="348" t="e">
        <f ca="1">IF(INDIRECT("'数据-取费表'!ah"&amp;$G$1)="",INDIRECT("'数据-取费表'!k"&amp;$G$1),INDIRECT("'数据-取费表'!ah"&amp;$G$1))</f>
        <v>#N/A</v>
      </c>
      <c r="G7" s="1853"/>
      <c r="H7" s="349"/>
      <c r="I7" s="3208"/>
      <c r="J7" s="351"/>
      <c r="K7" s="352"/>
      <c r="L7" s="347" t="s">
        <v>1406</v>
      </c>
      <c r="M7" s="348" t="e">
        <f ca="1">F7</f>
        <v>#N/A</v>
      </c>
    </row>
    <row r="8" spans="1:37" ht="18" customHeight="1">
      <c r="A8" s="349"/>
      <c r="B8" s="3208"/>
      <c r="C8" s="351"/>
      <c r="D8" s="352"/>
      <c r="E8" s="347" t="s">
        <v>1407</v>
      </c>
      <c r="F8" s="348" t="e">
        <f ca="1">INDIRECT("'数据-取费表'!ai"&amp;$G$1)</f>
        <v>#N/A</v>
      </c>
      <c r="G8" s="1853"/>
      <c r="H8" s="349"/>
      <c r="I8" s="3208"/>
      <c r="J8" s="351"/>
      <c r="K8" s="352"/>
      <c r="L8" s="347" t="s">
        <v>1407</v>
      </c>
      <c r="M8" s="348" t="e">
        <f ca="1">INDIRECT("'数据-取费表'!ai"&amp;$G$1)</f>
        <v>#N/A</v>
      </c>
    </row>
    <row r="9" spans="1:37" ht="18" customHeight="1">
      <c r="A9" s="349"/>
      <c r="B9" s="3209"/>
      <c r="C9" s="351"/>
      <c r="D9" s="352"/>
      <c r="E9" s="347" t="s">
        <v>1408</v>
      </c>
      <c r="F9" s="357" t="e">
        <f ca="1">INDIRECT("'数据-取费表'!w"&amp;$G$1)</f>
        <v>#N/A</v>
      </c>
      <c r="G9" s="1853"/>
      <c r="H9" s="349"/>
      <c r="I9" s="320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3033</v>
      </c>
      <c r="E10" s="358" t="s">
        <v>1410</v>
      </c>
      <c r="F10" s="1368" t="s">
        <v>3183</v>
      </c>
      <c r="G10" s="1853"/>
      <c r="H10" s="1293" t="s">
        <v>1039</v>
      </c>
      <c r="I10" s="1825" t="s">
        <v>1409</v>
      </c>
      <c r="J10" s="346" t="e">
        <f ca="1">ROUND(IF(M10="押一",J6/12*M11,IF(M10="押二",J6/12*2*M11,IF(M10="押三",J6/12*3*M11,J11*M11))),0)</f>
        <v>#N/A</v>
      </c>
      <c r="K10" s="1826" t="s">
        <v>3032</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1802" t="s">
        <v>1418</v>
      </c>
      <c r="E14" s="1796"/>
      <c r="F14" s="364"/>
      <c r="G14" s="1853"/>
      <c r="H14" s="1203" t="s">
        <v>1035</v>
      </c>
      <c r="I14" s="347" t="s">
        <v>1419</v>
      </c>
      <c r="J14" s="24" t="e">
        <f ca="1">C29</f>
        <v>#N/A</v>
      </c>
      <c r="K14" s="15"/>
      <c r="L14" s="981"/>
      <c r="M14" s="982"/>
    </row>
    <row r="15" spans="1:37" s="1860" customFormat="1" ht="18" customHeight="1" thickBot="1">
      <c r="A15" s="1203" t="s">
        <v>1036</v>
      </c>
      <c r="B15" s="347" t="s">
        <v>1420</v>
      </c>
      <c r="C15" s="24" t="e">
        <f ca="1">ROUND(C14*F15,0)</f>
        <v>#N/A</v>
      </c>
      <c r="D15" s="365" t="s">
        <v>1421</v>
      </c>
      <c r="E15" s="365" t="s">
        <v>1422</v>
      </c>
      <c r="F15" s="366">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1340"/>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1820"/>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0.02</v>
      </c>
      <c r="G20" s="1856"/>
      <c r="H20" s="1203" t="s">
        <v>1389</v>
      </c>
      <c r="I20" s="164" t="s">
        <v>1441</v>
      </c>
      <c r="J20" s="25" t="e">
        <f ca="1">ROUND(M20*M21/10000,2)</f>
        <v>#N/A</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t="e">
        <f ca="1">ROUND(J14*M22,1)</f>
        <v>#N/A</v>
      </c>
      <c r="K22" s="1800"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t="e">
        <f ca="1">ROUND(J13*M23,1)</f>
        <v>#N/A</v>
      </c>
      <c r="K23" s="1800" t="s">
        <v>1454</v>
      </c>
      <c r="L23" s="347" t="s">
        <v>1455</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t="e">
        <f ca="1">ROUND(J5*M24,1)</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1340"/>
      <c r="F30" s="1296"/>
      <c r="G30" s="1853"/>
      <c r="H30" s="744"/>
      <c r="I30" s="745"/>
      <c r="J30" s="746"/>
      <c r="K30" s="747"/>
      <c r="L30" s="748"/>
      <c r="M30" s="749"/>
    </row>
    <row r="31" spans="1:37" ht="18" customHeight="1">
      <c r="A31" s="1203" t="s">
        <v>1035</v>
      </c>
      <c r="B31" s="347" t="s">
        <v>1429</v>
      </c>
      <c r="C31" s="24" t="e">
        <f ca="1">ROUND(IF(项目基本情况!B11="自然人",C5*F31,C32+C33+C34),1)</f>
        <v>#N/A</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1800"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1800" t="s">
        <v>1454</v>
      </c>
      <c r="E37" s="347" t="s">
        <v>1455</v>
      </c>
      <c r="F37" s="376"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5" t="e">
        <f ca="1">C5-C30</f>
        <v>#N/A</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t="e">
        <f ca="1">INDIRECT("'数据-取费表'!d"&amp;$G$1)</f>
        <v>#N/A</v>
      </c>
      <c r="M47" s="1840" t="str">
        <f>IF(ISNUMBER(FIND("住宅",C1)),"住宅","非住宅")</f>
        <v>住宅</v>
      </c>
      <c r="O47" s="1886" t="s">
        <v>1040</v>
      </c>
      <c r="P47" s="1887" t="s">
        <v>1528</v>
      </c>
      <c r="Q47" s="1888" t="e">
        <f ca="1">C40+J29</f>
        <v>#N/A</v>
      </c>
      <c r="R47" s="1888" t="s">
        <v>1529</v>
      </c>
    </row>
    <row r="48" spans="1:18" s="1844" customFormat="1" ht="28.5" thickBot="1">
      <c r="A48" s="1362" t="s">
        <v>1135</v>
      </c>
      <c r="B48" s="345" t="s">
        <v>1401</v>
      </c>
      <c r="C48" s="1819" t="e">
        <f ca="1">C49+C53+C55</f>
        <v>#N/A</v>
      </c>
      <c r="D48" s="1364"/>
      <c r="E48" s="1365"/>
      <c r="F48" s="1183"/>
      <c r="G48" s="791"/>
      <c r="H48" s="792"/>
      <c r="I48" s="1889" t="s">
        <v>1530</v>
      </c>
      <c r="J48" s="1890"/>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3025</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3032</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205" t="s">
        <v>1548</v>
      </c>
      <c r="L53" s="3206"/>
      <c r="O53" s="1886" t="s">
        <v>1046</v>
      </c>
      <c r="P53" s="1887" t="s">
        <v>1549</v>
      </c>
      <c r="Q53" s="1888" t="e">
        <f ca="1">Q47+Q48</f>
        <v>#N/A</v>
      </c>
      <c r="R53" s="1888" t="s">
        <v>1047</v>
      </c>
    </row>
    <row r="54" spans="1:18" s="1844" customFormat="1" ht="13.5" thickBot="1">
      <c r="A54" s="1408"/>
      <c r="B54" s="1827" t="s">
        <v>1388</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1554</v>
      </c>
      <c r="J56" s="1919"/>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79" t="s">
        <v>1424</v>
      </c>
      <c r="C58" s="361"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#N/A</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IF(项目基本情况!B11="自然人","——",ROUND(F62*F63/10000,2))</f>
        <v>#N/A</v>
      </c>
      <c r="D62" s="1186" t="s">
        <v>1497</v>
      </c>
      <c r="E62" s="1171" t="s">
        <v>1498</v>
      </c>
      <c r="F62" s="371">
        <f t="shared" si="0"/>
        <v>10</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2"/>
      <c r="B63" s="1177"/>
      <c r="C63" s="29"/>
      <c r="D63" s="1187"/>
      <c r="E63" s="1171" t="s">
        <v>1499</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ROUND(C57*F64,1)</f>
        <v>#N/A</v>
      </c>
      <c r="D64" s="1185" t="s">
        <v>1502</v>
      </c>
      <c r="E64" s="1171" t="s">
        <v>1494</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1455</v>
      </c>
      <c r="F65" s="376"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ROUND(C48*F66,1)</f>
        <v>#N/A</v>
      </c>
      <c r="D66" s="1185" t="s">
        <v>1505</v>
      </c>
      <c r="E66" s="1171" t="s">
        <v>1422</v>
      </c>
      <c r="F66" s="357" t="e">
        <f t="shared" ca="1" si="0"/>
        <v>#N/A</v>
      </c>
      <c r="O66" s="1886" t="s">
        <v>1041</v>
      </c>
      <c r="P66" s="1887" t="s">
        <v>1558</v>
      </c>
      <c r="Q66" s="1888" t="e">
        <f ca="1">L60</f>
        <v>#N/A</v>
      </c>
      <c r="R66" s="1888" t="s">
        <v>1581</v>
      </c>
    </row>
    <row r="67" spans="1:18" s="1844" customFormat="1" ht="16.5" thickBot="1">
      <c r="A67" s="1178" t="s">
        <v>1031</v>
      </c>
      <c r="B67" s="1188" t="s">
        <v>1463</v>
      </c>
      <c r="C67" s="361"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1583</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1584</v>
      </c>
      <c r="Q69" s="1888" t="e">
        <f ca="1">C39</f>
        <v>#N/A</v>
      </c>
      <c r="R69" s="1888" t="s">
        <v>1529</v>
      </c>
    </row>
    <row r="70" spans="1:18" s="1844" customFormat="1" ht="13.5" thickBot="1">
      <c r="A70" s="1175"/>
      <c r="B70" s="1176"/>
      <c r="C70" s="355"/>
      <c r="D70" s="1187"/>
      <c r="E70" s="1171" t="s">
        <v>1477</v>
      </c>
      <c r="F70" s="1277"/>
      <c r="O70" s="1896" t="s">
        <v>1049</v>
      </c>
      <c r="P70" s="1936" t="s">
        <v>1585</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2517</v>
      </c>
      <c r="B1" s="2562"/>
      <c r="C1" s="2562"/>
      <c r="D1" s="2562"/>
      <c r="E1" s="2563"/>
    </row>
    <row r="2" spans="1:6" ht="15.75">
      <c r="A2" s="2564" t="s">
        <v>2318</v>
      </c>
      <c r="B2" s="2565">
        <f ca="1">SUMIF(B6:B13,"&lt;&gt;#ref!",B6:B13)</f>
        <v>45</v>
      </c>
      <c r="C2" s="2566" t="s">
        <v>2510</v>
      </c>
      <c r="D2" s="2567" t="s">
        <v>2511</v>
      </c>
      <c r="E2" s="2568">
        <f>SUM(E6:E13)</f>
        <v>32.75</v>
      </c>
    </row>
    <row r="3" spans="1:6" ht="15.75">
      <c r="A3" s="2564" t="s">
        <v>1395</v>
      </c>
      <c r="B3" s="2565">
        <f ca="1">ROUND(B2*10000/E2,0)</f>
        <v>13740</v>
      </c>
      <c r="C3" s="2566" t="s">
        <v>2518</v>
      </c>
      <c r="D3" s="2569"/>
      <c r="E3" s="2570"/>
    </row>
    <row r="4" spans="1:6" ht="15.75">
      <c r="A4" s="2571"/>
      <c r="B4" s="2569"/>
      <c r="C4" s="2569"/>
      <c r="D4" s="2569"/>
      <c r="E4" s="2570"/>
    </row>
    <row r="5" spans="1:6" ht="15">
      <c r="A5" s="2572" t="s">
        <v>2512</v>
      </c>
      <c r="B5" s="3210" t="s">
        <v>2513</v>
      </c>
      <c r="C5" s="3210"/>
      <c r="D5" s="2573"/>
      <c r="E5" s="2574" t="s">
        <v>2514</v>
      </c>
      <c r="F5" s="2575" t="s">
        <v>2515</v>
      </c>
    </row>
    <row r="6" spans="1:6">
      <c r="A6" s="2576" t="str">
        <f>'数据-取费表'!AN6</f>
        <v>收益法 (元)</v>
      </c>
      <c r="B6" s="2575">
        <f ca="1">IF(F6="是",'数据-取费表'!AO6,0)</f>
        <v>45</v>
      </c>
      <c r="C6" s="2566" t="s">
        <v>2510</v>
      </c>
      <c r="D6" s="2569"/>
      <c r="E6" s="2577">
        <f>IF(OR(A6=0,F6="否"),0,'数据-取费表'!K6+'数据-取费表'!S6)</f>
        <v>32.75</v>
      </c>
      <c r="F6" s="2578" t="s">
        <v>2516</v>
      </c>
    </row>
    <row r="7" spans="1:6">
      <c r="A7" s="2576">
        <f>'数据-取费表'!AN7</f>
        <v>0</v>
      </c>
      <c r="B7" s="2575" t="e">
        <f ca="1">IF(F7="是",'数据-取费表'!AO7,0)</f>
        <v>#REF!</v>
      </c>
      <c r="C7" s="2566" t="s">
        <v>2510</v>
      </c>
      <c r="D7" s="2569"/>
      <c r="E7" s="2577">
        <f>IF(OR(A7=0,F7="否"),0,'数据-取费表'!K7+'数据-取费表'!S7)</f>
        <v>0</v>
      </c>
      <c r="F7" s="2578" t="s">
        <v>2516</v>
      </c>
    </row>
    <row r="8" spans="1:6">
      <c r="A8" s="2576">
        <f>'数据-取费表'!AN8</f>
        <v>0</v>
      </c>
      <c r="B8" s="2575" t="e">
        <f ca="1">IF(F8="是",'数据-取费表'!AO8,0)</f>
        <v>#REF!</v>
      </c>
      <c r="C8" s="2566" t="s">
        <v>2510</v>
      </c>
      <c r="D8" s="2569"/>
      <c r="E8" s="2577">
        <f>IF(OR(A8=0,F8="否"),0,'数据-取费表'!K8+'数据-取费表'!S8)</f>
        <v>0</v>
      </c>
      <c r="F8" s="2578" t="s">
        <v>2516</v>
      </c>
    </row>
    <row r="9" spans="1:6">
      <c r="A9" s="2576">
        <f>'数据-取费表'!AN9</f>
        <v>0</v>
      </c>
      <c r="B9" s="2575" t="e">
        <f ca="1">IF(F9="是",'数据-取费表'!AO9,0)</f>
        <v>#REF!</v>
      </c>
      <c r="C9" s="2566" t="s">
        <v>2510</v>
      </c>
      <c r="D9" s="2569"/>
      <c r="E9" s="2577">
        <f>IF(OR(A9=0,F9="否"),0,'数据-取费表'!K9+'数据-取费表'!S9)</f>
        <v>0</v>
      </c>
      <c r="F9" s="2578" t="s">
        <v>2516</v>
      </c>
    </row>
    <row r="10" spans="1:6">
      <c r="A10" s="2576">
        <f>'数据-取费表'!AN10</f>
        <v>0</v>
      </c>
      <c r="B10" s="2575" t="e">
        <f ca="1">IF(F10="是",'数据-取费表'!AO10,0)</f>
        <v>#REF!</v>
      </c>
      <c r="C10" s="2566" t="s">
        <v>2510</v>
      </c>
      <c r="D10" s="2569"/>
      <c r="E10" s="2577">
        <f>IF(OR(A10=0,F10="否"),0,'数据-取费表'!K10+'数据-取费表'!S10)</f>
        <v>0</v>
      </c>
      <c r="F10" s="2578" t="s">
        <v>2516</v>
      </c>
    </row>
    <row r="11" spans="1:6">
      <c r="A11" s="2576">
        <f>'数据-取费表'!AN11</f>
        <v>0</v>
      </c>
      <c r="B11" s="2575" t="e">
        <f ca="1">IF(F11="是",'数据-取费表'!AO11,0)</f>
        <v>#REF!</v>
      </c>
      <c r="C11" s="2566" t="s">
        <v>2510</v>
      </c>
      <c r="D11" s="2569"/>
      <c r="E11" s="2577">
        <f>IF(OR(A11=0,F11="否"),0,'数据-取费表'!K11+'数据-取费表'!S11)</f>
        <v>0</v>
      </c>
      <c r="F11" s="2578" t="s">
        <v>2516</v>
      </c>
    </row>
    <row r="12" spans="1:6">
      <c r="A12" s="2576">
        <f>'数据-取费表'!AN12</f>
        <v>0</v>
      </c>
      <c r="B12" s="2575" t="e">
        <f ca="1">IF(F12="是",'数据-取费表'!AO12,0)</f>
        <v>#REF!</v>
      </c>
      <c r="C12" s="2566" t="s">
        <v>2510</v>
      </c>
      <c r="D12" s="2569"/>
      <c r="E12" s="2577">
        <f>IF(OR(A12=0,F12="否"),0,'数据-取费表'!K12+'数据-取费表'!S12)</f>
        <v>0</v>
      </c>
      <c r="F12" s="2578" t="s">
        <v>2516</v>
      </c>
    </row>
    <row r="13" spans="1:6" ht="15" thickBot="1">
      <c r="A13" s="2579">
        <f>'数据-取费表'!AN13</f>
        <v>0</v>
      </c>
      <c r="B13" s="2575" t="e">
        <f ca="1">IF(F13="是",'数据-取费表'!AO13,0)</f>
        <v>#REF!</v>
      </c>
      <c r="C13" s="2580" t="s">
        <v>2510</v>
      </c>
      <c r="D13" s="2581"/>
      <c r="E13" s="2577">
        <f>IF(OR(A13=0,F13="否"),0,'数据-取费表'!K13+'数据-取费表'!S13)</f>
        <v>0</v>
      </c>
      <c r="F13" s="257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27">
        <f>C27-C30-C31-C32</f>
        <v>0</v>
      </c>
      <c r="F26" s="3227"/>
      <c r="G26" s="3227"/>
      <c r="H26" s="1739" t="s">
        <v>1340</v>
      </c>
    </row>
    <row r="27" spans="1:9">
      <c r="A27" s="1326">
        <v>1</v>
      </c>
      <c r="B27" s="1327" t="s">
        <v>1118</v>
      </c>
      <c r="C27" s="1327">
        <f>C28+C29</f>
        <v>0</v>
      </c>
      <c r="D27" s="1327"/>
      <c r="E27" s="3228"/>
      <c r="F27" s="3228"/>
      <c r="G27" s="3228"/>
    </row>
    <row r="28" spans="1:9">
      <c r="A28" s="1328" t="s">
        <v>1119</v>
      </c>
      <c r="B28" s="1327" t="s">
        <v>1120</v>
      </c>
      <c r="C28" s="1327"/>
      <c r="D28" s="1327"/>
      <c r="E28" s="3228"/>
      <c r="F28" s="3228"/>
      <c r="G28" s="322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9"/>
      <c r="F32" s="3219"/>
      <c r="G32" s="3219"/>
    </row>
    <row r="33" spans="1:7" hidden="1">
      <c r="A33" s="3229" t="s">
        <v>1129</v>
      </c>
      <c r="B33" s="3230"/>
      <c r="C33" s="3230"/>
      <c r="D33" s="3231"/>
      <c r="E33" s="3227"/>
      <c r="F33" s="3227"/>
      <c r="G33" s="3227"/>
    </row>
    <row r="34" spans="1:7" hidden="1">
      <c r="A34" s="1330">
        <v>1</v>
      </c>
      <c r="B34" s="1327" t="s">
        <v>1130</v>
      </c>
      <c r="C34" s="1327"/>
      <c r="D34" s="1327"/>
      <c r="E34" s="3228"/>
      <c r="F34" s="3228"/>
      <c r="G34" s="3228"/>
    </row>
    <row r="35" spans="1:7" hidden="1">
      <c r="A35" s="1330">
        <v>2</v>
      </c>
      <c r="B35" s="1327" t="s">
        <v>1131</v>
      </c>
      <c r="C35" s="1327"/>
      <c r="D35" s="1327"/>
      <c r="E35" s="3228"/>
      <c r="F35" s="3228"/>
      <c r="G35" s="3228"/>
    </row>
    <row r="36" spans="1:7" hidden="1">
      <c r="A36" s="1330">
        <v>3</v>
      </c>
      <c r="B36" s="1327" t="s">
        <v>1132</v>
      </c>
      <c r="C36" s="1327"/>
      <c r="D36" s="1327"/>
      <c r="E36" s="3228"/>
      <c r="F36" s="3228"/>
      <c r="G36" s="3228"/>
    </row>
    <row r="37" spans="1:7" hidden="1">
      <c r="A37" s="1330">
        <v>4</v>
      </c>
      <c r="B37" s="1327" t="s">
        <v>1133</v>
      </c>
      <c r="C37" s="1327"/>
      <c r="D37" s="1327"/>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2520</v>
      </c>
      <c r="C1" s="1636" t="s">
        <v>2521</v>
      </c>
      <c r="D1" s="1623"/>
      <c r="E1" s="2583"/>
      <c r="F1" s="2584" t="s">
        <v>2522</v>
      </c>
      <c r="G1" s="1633" t="s">
        <v>2523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2524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2525</v>
      </c>
      <c r="D3" s="399">
        <f>IF(D1="",'数据-汇总表'!E3,SUMIF('数据-汇总表'!$C19:$C33,D1,'数据-汇总表'!$E19:$E33))</f>
        <v>32.75</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2526</v>
      </c>
      <c r="B4" s="402"/>
      <c r="C4" s="3178" t="s">
        <v>2527</v>
      </c>
      <c r="D4" s="3179"/>
      <c r="E4" s="3180" t="s">
        <v>2528</v>
      </c>
      <c r="F4" s="3181"/>
      <c r="G4" s="3178" t="s">
        <v>2529</v>
      </c>
      <c r="H4" s="3179"/>
      <c r="I4" s="3178" t="s">
        <v>2530</v>
      </c>
      <c r="J4" s="3179"/>
      <c r="K4" s="2596" t="s">
        <v>2531</v>
      </c>
      <c r="L4" s="1132"/>
      <c r="M4" s="1133"/>
      <c r="N4" s="1133"/>
      <c r="O4" s="1133"/>
      <c r="P4" s="3182" t="s">
        <v>2532</v>
      </c>
      <c r="Q4" s="3183"/>
      <c r="R4" s="3165" t="s">
        <v>2528</v>
      </c>
      <c r="S4" s="3166"/>
      <c r="T4" s="3165" t="s">
        <v>2529</v>
      </c>
      <c r="U4" s="3166"/>
      <c r="V4" s="3162" t="s">
        <v>2530</v>
      </c>
      <c r="W4" s="3162"/>
      <c r="X4" s="1815"/>
      <c r="Y4" s="3165" t="s">
        <v>2532</v>
      </c>
      <c r="Z4" s="3166"/>
      <c r="AA4" s="3159" t="s">
        <v>2528</v>
      </c>
      <c r="AB4" s="3159" t="s">
        <v>2529</v>
      </c>
      <c r="AC4" s="3159" t="s">
        <v>2530</v>
      </c>
    </row>
    <row r="5" spans="1:29" ht="15">
      <c r="A5" s="404"/>
      <c r="B5" s="405"/>
      <c r="C5" s="3234" t="s">
        <v>2533</v>
      </c>
      <c r="D5" s="3235"/>
      <c r="E5" s="3232" t="s">
        <v>2534</v>
      </c>
      <c r="F5" s="3233"/>
      <c r="G5" s="3234" t="s">
        <v>2535</v>
      </c>
      <c r="H5" s="3235"/>
      <c r="I5" s="3234" t="s">
        <v>2536</v>
      </c>
      <c r="J5" s="3235"/>
      <c r="K5" s="2597"/>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2597"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63" t="s">
        <v>2540</v>
      </c>
      <c r="Q7" s="3190"/>
      <c r="R7" s="769" t="s">
        <v>23</v>
      </c>
      <c r="S7" s="770">
        <f t="shared" ref="S7:S15" si="0">F7</f>
        <v>0</v>
      </c>
      <c r="T7" s="769" t="s">
        <v>23</v>
      </c>
      <c r="U7" s="770">
        <f t="shared" ref="U7:U15" si="1">H7</f>
        <v>0</v>
      </c>
      <c r="V7" s="769" t="s">
        <v>23</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63" t="s">
        <v>2543</v>
      </c>
      <c r="Q8" s="3164"/>
      <c r="R8" s="769" t="s">
        <v>23</v>
      </c>
      <c r="S8" s="770">
        <f t="shared" si="0"/>
        <v>0</v>
      </c>
      <c r="T8" s="769" t="s">
        <v>23</v>
      </c>
      <c r="U8" s="770">
        <f t="shared" si="1"/>
        <v>0</v>
      </c>
      <c r="V8" s="769" t="s">
        <v>23</v>
      </c>
      <c r="W8" s="770">
        <f t="shared" si="2"/>
        <v>0</v>
      </c>
      <c r="X8" s="771"/>
      <c r="Y8" s="3163" t="s">
        <v>2543</v>
      </c>
      <c r="Z8" s="316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7"/>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7"/>
      <c r="Q11" s="1797" t="str">
        <f t="shared" si="6"/>
        <v>容积率</v>
      </c>
      <c r="R11" s="769" t="s">
        <v>21</v>
      </c>
      <c r="S11" s="770" t="e">
        <f t="shared" si="0"/>
        <v>#N/A</v>
      </c>
      <c r="T11" s="769" t="s">
        <v>21</v>
      </c>
      <c r="U11" s="770" t="e">
        <f t="shared" si="1"/>
        <v>#N/A</v>
      </c>
      <c r="V11" s="769" t="s">
        <v>21</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77"/>
      <c r="Q12" s="1797">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77"/>
      <c r="Q13" s="1797">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77"/>
      <c r="Q14" s="1797">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15">
      <c r="A15" s="440" t="s">
        <v>2550</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1" t="s">
        <v>2551</v>
      </c>
      <c r="Q15" s="1812" t="str">
        <f t="shared" si="6"/>
        <v>居住社区成熟度</v>
      </c>
      <c r="R15" s="773" t="s">
        <v>21</v>
      </c>
      <c r="S15" s="774">
        <f t="shared" si="0"/>
        <v>100</v>
      </c>
      <c r="T15" s="773" t="s">
        <v>21</v>
      </c>
      <c r="U15" s="774">
        <f t="shared" si="1"/>
        <v>100</v>
      </c>
      <c r="V15" s="773" t="s">
        <v>21</v>
      </c>
      <c r="W15" s="774">
        <f t="shared" si="2"/>
        <v>100</v>
      </c>
      <c r="X15" s="1815"/>
      <c r="Y15" s="3193" t="s">
        <v>2551</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192"/>
      <c r="Q16" s="1812"/>
      <c r="R16" s="773"/>
      <c r="S16" s="774"/>
      <c r="T16" s="773"/>
      <c r="U16" s="774"/>
      <c r="V16" s="773"/>
      <c r="W16" s="774"/>
      <c r="X16" s="1815"/>
      <c r="Y16" s="3194"/>
      <c r="Z16" s="1816"/>
      <c r="AA16" s="1813">
        <v>1</v>
      </c>
      <c r="AB16" s="1813">
        <v>1</v>
      </c>
      <c r="AC16" s="1813">
        <v>1</v>
      </c>
    </row>
    <row r="17" spans="1:29" ht="15">
      <c r="A17" s="428"/>
      <c r="B17" s="451" t="s">
        <v>2090</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2"/>
      <c r="Q17" s="1812" t="str">
        <f>B17</f>
        <v>交通便捷度</v>
      </c>
      <c r="R17" s="773" t="s">
        <v>21</v>
      </c>
      <c r="S17" s="774">
        <f>F17</f>
        <v>100</v>
      </c>
      <c r="T17" s="773" t="s">
        <v>21</v>
      </c>
      <c r="U17" s="774">
        <f>H17</f>
        <v>100</v>
      </c>
      <c r="V17" s="773" t="s">
        <v>21</v>
      </c>
      <c r="W17" s="774">
        <f>J17</f>
        <v>100</v>
      </c>
      <c r="X17" s="1815"/>
      <c r="Y17" s="3194"/>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192"/>
      <c r="Q18" s="1812"/>
      <c r="R18" s="773"/>
      <c r="S18" s="774"/>
      <c r="T18" s="773"/>
      <c r="U18" s="774"/>
      <c r="V18" s="773"/>
      <c r="W18" s="774"/>
      <c r="X18" s="1815"/>
      <c r="Y18" s="3194"/>
      <c r="Z18" s="1816"/>
      <c r="AA18" s="1813">
        <v>1</v>
      </c>
      <c r="AB18" s="1813">
        <v>1</v>
      </c>
      <c r="AC18" s="1813">
        <v>1</v>
      </c>
    </row>
    <row r="19" spans="1:29" ht="15">
      <c r="A19" s="428"/>
      <c r="B19" s="451" t="s">
        <v>2089</v>
      </c>
      <c r="C19" s="2607"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2"/>
      <c r="Q19" s="1812" t="str">
        <f>B19</f>
        <v>公共配套设施</v>
      </c>
      <c r="R19" s="773" t="s">
        <v>21</v>
      </c>
      <c r="S19" s="774">
        <f>F19</f>
        <v>100</v>
      </c>
      <c r="T19" s="773" t="s">
        <v>21</v>
      </c>
      <c r="U19" s="774">
        <f>H19</f>
        <v>100</v>
      </c>
      <c r="V19" s="773" t="s">
        <v>21</v>
      </c>
      <c r="W19" s="774">
        <f>J19</f>
        <v>100</v>
      </c>
      <c r="X19" s="1815"/>
      <c r="Y19" s="3194"/>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192"/>
      <c r="Q20" s="1812"/>
      <c r="R20" s="773"/>
      <c r="S20" s="774"/>
      <c r="T20" s="773"/>
      <c r="U20" s="774"/>
      <c r="V20" s="773"/>
      <c r="W20" s="774"/>
      <c r="X20" s="1815"/>
      <c r="Y20" s="3194"/>
      <c r="Z20" s="1816"/>
      <c r="AA20" s="1813">
        <v>1</v>
      </c>
      <c r="AB20" s="1813">
        <v>1</v>
      </c>
      <c r="AC20" s="1813">
        <v>1</v>
      </c>
    </row>
    <row r="21" spans="1:29" ht="15">
      <c r="A21" s="428"/>
      <c r="B21" s="1386" t="s">
        <v>2091</v>
      </c>
      <c r="C21" s="2607"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192"/>
      <c r="Q22" s="1812"/>
      <c r="R22" s="773"/>
      <c r="S22" s="774"/>
      <c r="T22" s="773"/>
      <c r="U22" s="774"/>
      <c r="V22" s="773"/>
      <c r="W22" s="774"/>
      <c r="X22" s="1815"/>
      <c r="Y22" s="3194"/>
      <c r="Z22" s="1816"/>
      <c r="AA22" s="1813">
        <v>1</v>
      </c>
      <c r="AB22" s="1813">
        <v>1</v>
      </c>
      <c r="AC22" s="1813">
        <v>1</v>
      </c>
    </row>
    <row r="23" spans="1:29" ht="15">
      <c r="A23" s="428"/>
      <c r="B23" s="451" t="s">
        <v>2093</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2"/>
      <c r="Q23" s="1812" t="str">
        <f>B23</f>
        <v>自然及人文环境</v>
      </c>
      <c r="R23" s="773" t="s">
        <v>21</v>
      </c>
      <c r="S23" s="774">
        <f>F23</f>
        <v>100</v>
      </c>
      <c r="T23" s="773" t="s">
        <v>21</v>
      </c>
      <c r="U23" s="774">
        <f>H23</f>
        <v>100</v>
      </c>
      <c r="V23" s="773" t="s">
        <v>21</v>
      </c>
      <c r="W23" s="774">
        <f>J23</f>
        <v>100</v>
      </c>
      <c r="X23" s="1815"/>
      <c r="Y23" s="3194"/>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192"/>
      <c r="Q24" s="1812"/>
      <c r="R24" s="773"/>
      <c r="S24" s="774"/>
      <c r="T24" s="773"/>
      <c r="U24" s="774"/>
      <c r="V24" s="773"/>
      <c r="W24" s="774"/>
      <c r="X24" s="1815"/>
      <c r="Y24" s="3194"/>
      <c r="Z24" s="1816"/>
      <c r="AA24" s="1813">
        <v>1</v>
      </c>
      <c r="AB24" s="1813">
        <v>1</v>
      </c>
      <c r="AC24" s="1813">
        <v>1</v>
      </c>
    </row>
    <row r="25" spans="1:29" ht="15">
      <c r="A25" s="428"/>
      <c r="B25" s="422" t="s">
        <v>2552</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9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92"/>
      <c r="Q26" s="1812" t="str">
        <f t="shared" si="11"/>
        <v>朝向</v>
      </c>
      <c r="R26" s="773" t="s">
        <v>21</v>
      </c>
      <c r="S26" s="774">
        <f t="shared" si="12"/>
        <v>100</v>
      </c>
      <c r="T26" s="773" t="s">
        <v>21</v>
      </c>
      <c r="U26" s="774">
        <f t="shared" si="13"/>
        <v>100</v>
      </c>
      <c r="V26" s="773" t="s">
        <v>21</v>
      </c>
      <c r="W26" s="774">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92"/>
      <c r="Q27" s="1797">
        <f t="shared" si="11"/>
        <v>111</v>
      </c>
      <c r="R27" s="769" t="s">
        <v>21</v>
      </c>
      <c r="S27" s="770">
        <f t="shared" si="12"/>
        <v>100</v>
      </c>
      <c r="T27" s="769" t="s">
        <v>21</v>
      </c>
      <c r="U27" s="770">
        <f t="shared" si="13"/>
        <v>100</v>
      </c>
      <c r="V27" s="769" t="s">
        <v>21</v>
      </c>
      <c r="W27" s="770">
        <f t="shared" si="14"/>
        <v>100</v>
      </c>
      <c r="X27" s="771"/>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92"/>
      <c r="Q28" s="1812">
        <f t="shared" si="11"/>
        <v>111</v>
      </c>
      <c r="R28" s="773" t="s">
        <v>21</v>
      </c>
      <c r="S28" s="774">
        <f t="shared" si="12"/>
        <v>100</v>
      </c>
      <c r="T28" s="773" t="s">
        <v>21</v>
      </c>
      <c r="U28" s="774">
        <f t="shared" si="13"/>
        <v>100</v>
      </c>
      <c r="V28" s="773" t="s">
        <v>21</v>
      </c>
      <c r="W28" s="774">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92"/>
      <c r="Q29" s="1812">
        <f t="shared" si="11"/>
        <v>111</v>
      </c>
      <c r="R29" s="773" t="s">
        <v>21</v>
      </c>
      <c r="S29" s="774">
        <f t="shared" si="12"/>
        <v>100</v>
      </c>
      <c r="T29" s="773" t="s">
        <v>21</v>
      </c>
      <c r="U29" s="774">
        <f t="shared" si="13"/>
        <v>100</v>
      </c>
      <c r="V29" s="773" t="s">
        <v>21</v>
      </c>
      <c r="W29" s="774">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92"/>
      <c r="Q30" s="1812">
        <f t="shared" si="11"/>
        <v>111</v>
      </c>
      <c r="R30" s="773" t="s">
        <v>21</v>
      </c>
      <c r="S30" s="774">
        <f t="shared" si="12"/>
        <v>100</v>
      </c>
      <c r="T30" s="773" t="s">
        <v>21</v>
      </c>
      <c r="U30" s="774">
        <f t="shared" si="13"/>
        <v>100</v>
      </c>
      <c r="V30" s="773" t="s">
        <v>21</v>
      </c>
      <c r="W30" s="774">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92"/>
      <c r="Q31" s="1812">
        <f t="shared" si="11"/>
        <v>111</v>
      </c>
      <c r="R31" s="773" t="s">
        <v>21</v>
      </c>
      <c r="S31" s="774">
        <f t="shared" si="12"/>
        <v>100</v>
      </c>
      <c r="T31" s="773" t="s">
        <v>21</v>
      </c>
      <c r="U31" s="774">
        <f t="shared" si="13"/>
        <v>100</v>
      </c>
      <c r="V31" s="773" t="s">
        <v>21</v>
      </c>
      <c r="W31" s="774">
        <f t="shared" si="14"/>
        <v>100</v>
      </c>
      <c r="X31" s="1815"/>
      <c r="Y31" s="3194"/>
      <c r="Z31" s="1816">
        <f t="shared" si="18"/>
        <v>111</v>
      </c>
      <c r="AA31" s="1813">
        <f t="shared" si="15"/>
        <v>1</v>
      </c>
      <c r="AB31" s="1813">
        <f t="shared" si="16"/>
        <v>1</v>
      </c>
      <c r="AC31" s="1813">
        <f t="shared" si="17"/>
        <v>1</v>
      </c>
    </row>
    <row r="32" spans="1:29" ht="15">
      <c r="A32" s="440" t="s">
        <v>2554</v>
      </c>
      <c r="B32" s="71" t="s">
        <v>2555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95" t="s">
        <v>2556</v>
      </c>
      <c r="Q32" s="1812" t="str">
        <f t="shared" si="11"/>
        <v>建筑类型</v>
      </c>
      <c r="R32" s="773" t="s">
        <v>21</v>
      </c>
      <c r="S32" s="774">
        <f t="shared" si="12"/>
        <v>100</v>
      </c>
      <c r="T32" s="773" t="s">
        <v>21</v>
      </c>
      <c r="U32" s="774">
        <f t="shared" si="13"/>
        <v>100</v>
      </c>
      <c r="V32" s="773" t="s">
        <v>21</v>
      </c>
      <c r="W32" s="774">
        <f t="shared" si="14"/>
        <v>100</v>
      </c>
      <c r="X32" s="1815"/>
      <c r="Y32" s="3198"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96"/>
      <c r="Q33" s="775" t="str">
        <f t="shared" si="11"/>
        <v>项目建筑规模</v>
      </c>
      <c r="R33" s="776" t="s">
        <v>21</v>
      </c>
      <c r="S33" s="777" t="e">
        <f t="shared" si="12"/>
        <v>#N/A</v>
      </c>
      <c r="T33" s="776" t="s">
        <v>21</v>
      </c>
      <c r="U33" s="777" t="e">
        <f t="shared" si="13"/>
        <v>#N/A</v>
      </c>
      <c r="V33" s="776" t="s">
        <v>21</v>
      </c>
      <c r="W33" s="777" t="e">
        <f t="shared" si="14"/>
        <v>#N/A</v>
      </c>
      <c r="X33" s="778"/>
      <c r="Y33" s="3198"/>
      <c r="Z33" s="779" t="str">
        <f t="shared" si="18"/>
        <v>项目建筑规模</v>
      </c>
      <c r="AA33" s="1813" t="e">
        <f t="shared" si="15"/>
        <v>#N/A</v>
      </c>
      <c r="AB33" s="1813" t="e">
        <f t="shared" si="16"/>
        <v>#N/A</v>
      </c>
      <c r="AC33" s="1813" t="e">
        <f t="shared" si="17"/>
        <v>#N/A</v>
      </c>
    </row>
    <row r="34" spans="1:29" ht="15">
      <c r="A34" s="472"/>
      <c r="B34" s="422" t="s">
        <v>2558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96"/>
      <c r="Q34" s="1812" t="str">
        <f t="shared" si="11"/>
        <v>建筑结构</v>
      </c>
      <c r="R34" s="773" t="s">
        <v>21</v>
      </c>
      <c r="S34" s="774">
        <f t="shared" si="12"/>
        <v>100</v>
      </c>
      <c r="T34" s="773" t="s">
        <v>21</v>
      </c>
      <c r="U34" s="774">
        <f t="shared" si="13"/>
        <v>100</v>
      </c>
      <c r="V34" s="773" t="s">
        <v>21</v>
      </c>
      <c r="W34" s="774">
        <f t="shared" si="14"/>
        <v>100</v>
      </c>
      <c r="X34" s="1815"/>
      <c r="Y34" s="3198"/>
      <c r="Z34" s="1816" t="str">
        <f t="shared" si="18"/>
        <v>建筑结构</v>
      </c>
      <c r="AA34" s="1813">
        <f t="shared" si="15"/>
        <v>1</v>
      </c>
      <c r="AB34" s="1813">
        <f t="shared" si="16"/>
        <v>1</v>
      </c>
      <c r="AC34" s="1813">
        <f t="shared" si="17"/>
        <v>1</v>
      </c>
    </row>
    <row r="35" spans="1:29" ht="15">
      <c r="A35" s="472"/>
      <c r="B35" s="422" t="s">
        <v>2559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96"/>
      <c r="Q35" s="1812" t="str">
        <f t="shared" si="11"/>
        <v>建筑品质</v>
      </c>
      <c r="R35" s="773" t="s">
        <v>21</v>
      </c>
      <c r="S35" s="774">
        <f t="shared" si="12"/>
        <v>100</v>
      </c>
      <c r="T35" s="773" t="s">
        <v>21</v>
      </c>
      <c r="U35" s="774">
        <f t="shared" si="13"/>
        <v>100</v>
      </c>
      <c r="V35" s="773" t="s">
        <v>21</v>
      </c>
      <c r="W35" s="774">
        <f t="shared" si="14"/>
        <v>100</v>
      </c>
      <c r="X35" s="1815"/>
      <c r="Y35" s="3198"/>
      <c r="Z35" s="1816" t="str">
        <f t="shared" si="18"/>
        <v>建筑品质</v>
      </c>
      <c r="AA35" s="1813">
        <f t="shared" si="15"/>
        <v>1</v>
      </c>
      <c r="AB35" s="1813">
        <f t="shared" si="16"/>
        <v>1</v>
      </c>
      <c r="AC35" s="1813">
        <f t="shared" si="17"/>
        <v>1</v>
      </c>
    </row>
    <row r="36" spans="1:29" ht="15">
      <c r="A36" s="472"/>
      <c r="B36" s="422" t="s">
        <v>2560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96"/>
      <c r="Q36" s="1812" t="str">
        <f t="shared" si="11"/>
        <v>公共部分装修</v>
      </c>
      <c r="R36" s="773" t="s">
        <v>21</v>
      </c>
      <c r="S36" s="774">
        <f t="shared" si="12"/>
        <v>100</v>
      </c>
      <c r="T36" s="773" t="s">
        <v>21</v>
      </c>
      <c r="U36" s="774">
        <f t="shared" si="13"/>
        <v>100</v>
      </c>
      <c r="V36" s="773" t="s">
        <v>21</v>
      </c>
      <c r="W36" s="774">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7" t="str">
        <f t="shared" si="11"/>
        <v>成新度</v>
      </c>
      <c r="R37" s="769" t="s">
        <v>21</v>
      </c>
      <c r="S37" s="770" t="e">
        <f t="shared" si="12"/>
        <v>#N/A</v>
      </c>
      <c r="T37" s="769" t="s">
        <v>21</v>
      </c>
      <c r="U37" s="770" t="e">
        <f t="shared" si="13"/>
        <v>#N/A</v>
      </c>
      <c r="V37" s="769" t="s">
        <v>21</v>
      </c>
      <c r="W37" s="770" t="e">
        <f t="shared" si="14"/>
        <v>#N/A</v>
      </c>
      <c r="X37" s="771"/>
      <c r="Y37" s="3198"/>
      <c r="Z37" s="55" t="str">
        <f t="shared" si="18"/>
        <v>成新度</v>
      </c>
      <c r="AA37" s="772" t="e">
        <f t="shared" si="15"/>
        <v>#N/A</v>
      </c>
      <c r="AB37" s="772" t="e">
        <f t="shared" si="16"/>
        <v>#N/A</v>
      </c>
      <c r="AC37" s="772" t="e">
        <f t="shared" si="17"/>
        <v>#N/A</v>
      </c>
    </row>
    <row r="38" spans="1:29" ht="15">
      <c r="A38" s="472"/>
      <c r="B38" s="422" t="s">
        <v>2562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96" t="s">
        <v>2556</v>
      </c>
      <c r="Q38" s="1812" t="str">
        <f t="shared" si="11"/>
        <v>物业管理</v>
      </c>
      <c r="R38" s="773" t="s">
        <v>21</v>
      </c>
      <c r="S38" s="774">
        <f t="shared" si="12"/>
        <v>100</v>
      </c>
      <c r="T38" s="773" t="s">
        <v>21</v>
      </c>
      <c r="U38" s="774">
        <f t="shared" si="13"/>
        <v>100</v>
      </c>
      <c r="V38" s="773" t="s">
        <v>21</v>
      </c>
      <c r="W38" s="774">
        <f t="shared" si="14"/>
        <v>100</v>
      </c>
      <c r="X38" s="1815"/>
      <c r="Y38" s="3198" t="s">
        <v>2556</v>
      </c>
      <c r="Z38" s="1816" t="str">
        <f t="shared" si="18"/>
        <v>物业管理</v>
      </c>
      <c r="AA38" s="1813">
        <f t="shared" si="15"/>
        <v>1</v>
      </c>
      <c r="AB38" s="1813">
        <f t="shared" si="16"/>
        <v>1</v>
      </c>
      <c r="AC38" s="1813">
        <f t="shared" si="17"/>
        <v>1</v>
      </c>
    </row>
    <row r="39" spans="1:29" ht="15">
      <c r="A39" s="472"/>
      <c r="B39" s="422" t="s">
        <v>2563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96"/>
      <c r="Q39" s="1812" t="str">
        <f t="shared" si="11"/>
        <v>市政基础设施</v>
      </c>
      <c r="R39" s="773" t="s">
        <v>21</v>
      </c>
      <c r="S39" s="774">
        <f t="shared" si="12"/>
        <v>100</v>
      </c>
      <c r="T39" s="773" t="s">
        <v>21</v>
      </c>
      <c r="U39" s="774">
        <f t="shared" si="13"/>
        <v>100</v>
      </c>
      <c r="V39" s="773" t="s">
        <v>21</v>
      </c>
      <c r="W39" s="774">
        <f t="shared" si="14"/>
        <v>100</v>
      </c>
      <c r="X39" s="1815"/>
      <c r="Y39" s="3198"/>
      <c r="Z39" s="1816" t="str">
        <f t="shared" si="18"/>
        <v>市政基础设施</v>
      </c>
      <c r="AA39" s="1813">
        <f t="shared" si="15"/>
        <v>1</v>
      </c>
      <c r="AB39" s="1813">
        <f t="shared" si="16"/>
        <v>1</v>
      </c>
      <c r="AC39" s="1813">
        <f t="shared" si="17"/>
        <v>1</v>
      </c>
    </row>
    <row r="40" spans="1:29" ht="15">
      <c r="A40" s="472"/>
      <c r="B40" s="422" t="s">
        <v>2564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96"/>
      <c r="Q40" s="1812" t="str">
        <f t="shared" si="11"/>
        <v>房型</v>
      </c>
      <c r="R40" s="773" t="s">
        <v>21</v>
      </c>
      <c r="S40" s="774">
        <f t="shared" si="12"/>
        <v>100</v>
      </c>
      <c r="T40" s="773" t="s">
        <v>21</v>
      </c>
      <c r="U40" s="774">
        <f t="shared" si="13"/>
        <v>100</v>
      </c>
      <c r="V40" s="773" t="s">
        <v>21</v>
      </c>
      <c r="W40" s="774">
        <f t="shared" si="14"/>
        <v>100</v>
      </c>
      <c r="X40" s="1815"/>
      <c r="Y40" s="3198"/>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96"/>
      <c r="Q41" s="775" t="str">
        <f t="shared" si="11"/>
        <v>单套/主力户型建筑面积</v>
      </c>
      <c r="R41" s="776" t="s">
        <v>21</v>
      </c>
      <c r="S41" s="777">
        <f t="shared" si="12"/>
        <v>100</v>
      </c>
      <c r="T41" s="776" t="s">
        <v>21</v>
      </c>
      <c r="U41" s="777">
        <f t="shared" si="13"/>
        <v>100</v>
      </c>
      <c r="V41" s="776" t="s">
        <v>21</v>
      </c>
      <c r="W41" s="777">
        <f t="shared" si="14"/>
        <v>100</v>
      </c>
      <c r="X41" s="778"/>
      <c r="Y41" s="3198"/>
      <c r="Z41" s="779" t="str">
        <f t="shared" si="18"/>
        <v>单套/主力户型建筑面积</v>
      </c>
      <c r="AA41" s="1813">
        <f t="shared" si="15"/>
        <v>1</v>
      </c>
      <c r="AB41" s="1813">
        <f t="shared" si="16"/>
        <v>1</v>
      </c>
      <c r="AC41" s="1813">
        <f t="shared" si="17"/>
        <v>1</v>
      </c>
    </row>
    <row r="42" spans="1:29" ht="15">
      <c r="A42" s="472"/>
      <c r="B42" s="422" t="s">
        <v>2566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96"/>
      <c r="Q42" s="1812" t="str">
        <f t="shared" si="11"/>
        <v>内部装修</v>
      </c>
      <c r="R42" s="773" t="s">
        <v>21</v>
      </c>
      <c r="S42" s="774">
        <f t="shared" si="12"/>
        <v>100</v>
      </c>
      <c r="T42" s="773" t="s">
        <v>21</v>
      </c>
      <c r="U42" s="774">
        <f t="shared" si="13"/>
        <v>100</v>
      </c>
      <c r="V42" s="773" t="s">
        <v>21</v>
      </c>
      <c r="W42" s="774">
        <f t="shared" si="14"/>
        <v>100</v>
      </c>
      <c r="X42" s="1815"/>
      <c r="Y42" s="3198"/>
      <c r="Z42" s="1816" t="str">
        <f t="shared" si="18"/>
        <v>内部装修</v>
      </c>
      <c r="AA42" s="1813">
        <f t="shared" si="15"/>
        <v>1</v>
      </c>
      <c r="AB42" s="1813">
        <f t="shared" si="16"/>
        <v>1</v>
      </c>
      <c r="AC42" s="1813">
        <f t="shared" si="17"/>
        <v>1</v>
      </c>
    </row>
    <row r="43" spans="1:29" ht="15">
      <c r="A43" s="472"/>
      <c r="B43" s="422" t="s">
        <v>2567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96"/>
      <c r="Q43" s="1812" t="str">
        <f t="shared" si="11"/>
        <v>内部装修维护情况</v>
      </c>
      <c r="R43" s="773" t="s">
        <v>21</v>
      </c>
      <c r="S43" s="774">
        <f t="shared" si="12"/>
        <v>100</v>
      </c>
      <c r="T43" s="773" t="s">
        <v>21</v>
      </c>
      <c r="U43" s="774">
        <f t="shared" si="13"/>
        <v>100</v>
      </c>
      <c r="V43" s="773" t="s">
        <v>21</v>
      </c>
      <c r="W43" s="774">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96"/>
      <c r="Q44" s="1797">
        <f t="shared" si="11"/>
        <v>111</v>
      </c>
      <c r="R44" s="769" t="s">
        <v>21</v>
      </c>
      <c r="S44" s="770">
        <f t="shared" si="12"/>
        <v>100</v>
      </c>
      <c r="T44" s="769" t="s">
        <v>21</v>
      </c>
      <c r="U44" s="770">
        <f t="shared" si="13"/>
        <v>100</v>
      </c>
      <c r="V44" s="769" t="s">
        <v>21</v>
      </c>
      <c r="W44" s="770">
        <f t="shared" si="14"/>
        <v>100</v>
      </c>
      <c r="X44" s="771"/>
      <c r="Y44" s="319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96"/>
      <c r="Q45" s="1812">
        <f t="shared" si="11"/>
        <v>111</v>
      </c>
      <c r="R45" s="773" t="s">
        <v>21</v>
      </c>
      <c r="S45" s="774">
        <f t="shared" si="12"/>
        <v>100</v>
      </c>
      <c r="T45" s="773" t="s">
        <v>21</v>
      </c>
      <c r="U45" s="774">
        <f t="shared" si="13"/>
        <v>100</v>
      </c>
      <c r="V45" s="773" t="s">
        <v>21</v>
      </c>
      <c r="W45" s="774">
        <f t="shared" si="14"/>
        <v>100</v>
      </c>
      <c r="X45" s="1815"/>
      <c r="Y45" s="319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97"/>
      <c r="Q46" s="1812">
        <f t="shared" si="11"/>
        <v>111</v>
      </c>
      <c r="R46" s="773" t="s">
        <v>20</v>
      </c>
      <c r="S46" s="774">
        <f t="shared" si="12"/>
        <v>100</v>
      </c>
      <c r="T46" s="773" t="s">
        <v>20</v>
      </c>
      <c r="U46" s="774">
        <f t="shared" si="13"/>
        <v>100</v>
      </c>
      <c r="V46" s="773" t="s">
        <v>20</v>
      </c>
      <c r="W46" s="774">
        <f t="shared" si="14"/>
        <v>100</v>
      </c>
      <c r="X46" s="1815"/>
      <c r="Y46" s="3199"/>
      <c r="Z46" s="1816">
        <f t="shared" si="18"/>
        <v>111</v>
      </c>
      <c r="AA46" s="1813">
        <f t="shared" si="15"/>
        <v>1</v>
      </c>
      <c r="AB46" s="1813">
        <f t="shared" si="16"/>
        <v>1</v>
      </c>
      <c r="AC46" s="1813">
        <f t="shared" si="17"/>
        <v>1</v>
      </c>
    </row>
    <row r="47" spans="1:29" ht="15">
      <c r="A47" s="479" t="s">
        <v>2568</v>
      </c>
      <c r="B47" s="480"/>
      <c r="C47" s="1409" t="s">
        <v>19</v>
      </c>
      <c r="D47" s="1410"/>
      <c r="E47" s="1411"/>
      <c r="F47" s="1412"/>
      <c r="G47" s="1413"/>
      <c r="H47" s="1414"/>
      <c r="I47" s="1411"/>
      <c r="J47" s="1414"/>
      <c r="K47" s="2621"/>
      <c r="L47" s="1145"/>
      <c r="M47" s="1146"/>
      <c r="N47" s="1133"/>
      <c r="O47" s="1146"/>
      <c r="P47" s="3200" t="str">
        <f>A47</f>
        <v>成交单价（元/平方米）</v>
      </c>
      <c r="Q47" s="3200"/>
      <c r="R47" s="3201">
        <f>E47</f>
        <v>0</v>
      </c>
      <c r="S47" s="3201"/>
      <c r="T47" s="3201">
        <f>G47</f>
        <v>0</v>
      </c>
      <c r="U47" s="3201"/>
      <c r="V47" s="3201">
        <f>I47</f>
        <v>0</v>
      </c>
      <c r="W47" s="3201"/>
      <c r="X47" s="758"/>
      <c r="Y47" s="780"/>
      <c r="Z47" s="758"/>
      <c r="AA47" s="758"/>
      <c r="AB47" s="758"/>
      <c r="AC47" s="758"/>
    </row>
    <row r="48" spans="1:29" ht="15.75" thickBot="1">
      <c r="A48" s="486" t="s">
        <v>2569</v>
      </c>
      <c r="B48" s="487"/>
      <c r="C48" s="1415" t="e">
        <f>R49</f>
        <v>#DIV/0!</v>
      </c>
      <c r="D48" s="1416"/>
      <c r="E48" s="1417" t="e">
        <f>R48</f>
        <v>#DIV/0!</v>
      </c>
      <c r="F48" s="1417"/>
      <c r="G48" s="1415" t="e">
        <f>T48</f>
        <v>#DIV/0!</v>
      </c>
      <c r="H48" s="1416"/>
      <c r="I48" s="1417" t="e">
        <f>V48</f>
        <v>#DIV/0!</v>
      </c>
      <c r="J48" s="1416"/>
      <c r="K48" s="2622"/>
      <c r="L48" s="1145"/>
      <c r="M48" s="1146"/>
      <c r="N48" s="1146"/>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8"/>
      <c r="Y48" s="758"/>
      <c r="Z48" s="758"/>
      <c r="AA48" s="758"/>
      <c r="AB48" s="758"/>
      <c r="AC48" s="758"/>
    </row>
    <row r="49" spans="1:29" ht="15.75" thickBot="1">
      <c r="A49" s="492" t="s">
        <v>2570</v>
      </c>
      <c r="B49" s="493"/>
      <c r="C49" s="1418" t="e">
        <f>R49</f>
        <v>#DIV/0!</v>
      </c>
      <c r="D49" s="1419"/>
      <c r="E49" s="1419"/>
      <c r="F49" s="1419"/>
      <c r="G49" s="1419"/>
      <c r="H49" s="1419"/>
      <c r="I49" s="1419"/>
      <c r="J49" s="1419"/>
      <c r="K49" s="2623"/>
      <c r="L49" s="1145"/>
      <c r="M49" s="1146"/>
      <c r="N49" s="1146"/>
      <c r="O49" s="1146"/>
      <c r="P49" s="3202" t="str">
        <f>A49</f>
        <v>估价对象XX用房的比较价值（楼面单价，元/平方米）</v>
      </c>
      <c r="Q49" s="3203"/>
      <c r="R49" s="3204" t="e">
        <f>IF(F1="售价",ROUND(AVERAGE(R48:V48),0),ROUND(AVERAGE(R48:V48),1))</f>
        <v>#DIV/0!</v>
      </c>
      <c r="S49" s="3204"/>
      <c r="T49" s="3204"/>
      <c r="U49" s="3204"/>
      <c r="V49" s="3204"/>
      <c r="W49" s="32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6"/>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2577</v>
      </c>
      <c r="B61" s="510"/>
      <c r="C61" s="522" t="s">
        <v>2578</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2601</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2602</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2554</v>
      </c>
      <c r="B100" s="528" t="s">
        <v>2603</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2605</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2606</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2607</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2608</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2609</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2610</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2565</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2611</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2613</v>
      </c>
    </row>
    <row r="137" spans="1:17" ht="15">
      <c r="B137" s="2638" t="s">
        <v>2614</v>
      </c>
      <c r="C137" s="2639"/>
      <c r="D137" s="2639"/>
      <c r="E137" s="2639"/>
      <c r="F137" s="2639"/>
      <c r="G137" s="2640"/>
      <c r="H137" s="2641"/>
      <c r="I137" s="2642" t="s">
        <v>2615</v>
      </c>
      <c r="J137" s="2639"/>
      <c r="K137" s="2643"/>
    </row>
    <row r="138" spans="1:17" ht="15">
      <c r="B138" s="2644"/>
      <c r="C138" s="146" t="s">
        <v>2616</v>
      </c>
      <c r="D138" s="146" t="s">
        <v>2617</v>
      </c>
      <c r="E138" s="2645" t="s">
        <v>2618</v>
      </c>
      <c r="F138" s="2646" t="s">
        <v>2619</v>
      </c>
      <c r="G138" s="146" t="s">
        <v>2617</v>
      </c>
      <c r="H138" s="147" t="s">
        <v>2618</v>
      </c>
      <c r="I138" s="2647"/>
      <c r="J138" s="146" t="s">
        <v>2620</v>
      </c>
      <c r="K138" s="147" t="s">
        <v>2621</v>
      </c>
    </row>
    <row r="139" spans="1:17" ht="15">
      <c r="B139" s="1086">
        <v>6</v>
      </c>
      <c r="C139" s="1087">
        <v>96</v>
      </c>
      <c r="D139" s="2648" t="s">
        <v>2622</v>
      </c>
      <c r="E139" s="1088">
        <v>100</v>
      </c>
      <c r="F139" s="1089">
        <v>102.5</v>
      </c>
      <c r="G139" s="2648" t="s">
        <v>2622</v>
      </c>
      <c r="H139" s="1090">
        <v>105</v>
      </c>
      <c r="I139" s="2649" t="s">
        <v>2623</v>
      </c>
      <c r="J139" s="1087">
        <v>20</v>
      </c>
      <c r="K139" s="1091">
        <f>C145/(J139-2)</f>
        <v>4.0555555555555553E-3</v>
      </c>
    </row>
    <row r="140" spans="1:17" ht="15">
      <c r="B140" s="1092">
        <v>5</v>
      </c>
      <c r="C140" s="1093">
        <v>100</v>
      </c>
      <c r="D140" s="1093"/>
      <c r="E140" s="1094"/>
      <c r="F140" s="1095">
        <v>102</v>
      </c>
      <c r="G140" s="1093"/>
      <c r="H140" s="1096"/>
      <c r="I140" s="2650" t="s">
        <v>2624</v>
      </c>
      <c r="J140" s="315">
        <f>ROUNDUP((J139-1)/2,0)</f>
        <v>10</v>
      </c>
      <c r="K140" s="1097">
        <v>100</v>
      </c>
    </row>
    <row r="141" spans="1:17" ht="15">
      <c r="B141" s="1092">
        <v>4</v>
      </c>
      <c r="C141" s="1093">
        <v>102</v>
      </c>
      <c r="D141" s="1093"/>
      <c r="E141" s="1094"/>
      <c r="F141" s="1095">
        <v>101.5</v>
      </c>
      <c r="G141" s="1093"/>
      <c r="H141" s="1096"/>
      <c r="I141" s="2650" t="s">
        <v>2625</v>
      </c>
      <c r="J141" s="315">
        <v>1</v>
      </c>
      <c r="K141" s="1098">
        <f>ROUND(100+(J141-J140)*K139*100,1)</f>
        <v>96.4</v>
      </c>
    </row>
    <row r="142" spans="1:17" ht="15">
      <c r="B142" s="1092">
        <v>3</v>
      </c>
      <c r="C142" s="1093">
        <v>103</v>
      </c>
      <c r="D142" s="1093"/>
      <c r="E142" s="1094"/>
      <c r="F142" s="1095">
        <v>101</v>
      </c>
      <c r="G142" s="1093"/>
      <c r="H142" s="1096"/>
      <c r="I142" s="2650" t="s">
        <v>2626</v>
      </c>
      <c r="J142" s="315">
        <f>J139</f>
        <v>20</v>
      </c>
      <c r="K142" s="1099">
        <v>95</v>
      </c>
    </row>
    <row r="143" spans="1:17" ht="15">
      <c r="B143" s="1092">
        <v>2</v>
      </c>
      <c r="C143" s="1093">
        <v>100</v>
      </c>
      <c r="D143" s="1093"/>
      <c r="E143" s="1094"/>
      <c r="F143" s="1095">
        <v>100.5</v>
      </c>
      <c r="G143" s="1093"/>
      <c r="H143" s="1096"/>
      <c r="I143" s="2650" t="s">
        <v>2627</v>
      </c>
      <c r="J143" s="1093">
        <v>15</v>
      </c>
      <c r="K143" s="1098">
        <f>ROUND(100+(J143-J140)*K139*100,1)</f>
        <v>102</v>
      </c>
    </row>
    <row r="144" spans="1:17" ht="15">
      <c r="B144" s="1092">
        <v>1</v>
      </c>
      <c r="C144" s="1093">
        <v>98</v>
      </c>
      <c r="D144" s="2651" t="s">
        <v>2628</v>
      </c>
      <c r="E144" s="1094">
        <v>102</v>
      </c>
      <c r="F144" s="1100">
        <v>100</v>
      </c>
      <c r="G144" s="2651" t="s">
        <v>2628</v>
      </c>
      <c r="H144" s="1096">
        <v>105</v>
      </c>
      <c r="I144" s="2650" t="s">
        <v>2627</v>
      </c>
      <c r="J144" s="1093">
        <v>18</v>
      </c>
      <c r="K144" s="1098">
        <f>ROUND(100+(J144-J140)*K139*100,1)</f>
        <v>103.2</v>
      </c>
    </row>
    <row r="145" spans="2:11" ht="15.75" thickBot="1">
      <c r="B145" s="2652" t="s">
        <v>2629</v>
      </c>
      <c r="C145" s="1101">
        <f>ROUND(MAX(C139:C144)/MIN(C139:C144)-1,3)</f>
        <v>7.2999999999999995E-2</v>
      </c>
      <c r="D145" s="1102"/>
      <c r="E145" s="1102"/>
      <c r="F145" s="2653" t="s">
        <v>2630</v>
      </c>
      <c r="G145" s="2654"/>
      <c r="H145" s="2655"/>
      <c r="I145" s="2656" t="s">
        <v>2627</v>
      </c>
      <c r="J145" s="1103">
        <v>8</v>
      </c>
      <c r="K145" s="1104">
        <f>ROUND(100+(J145-J140)*K139*100,1)</f>
        <v>99.2</v>
      </c>
    </row>
    <row r="147" spans="2:11">
      <c r="B147" s="2637" t="s">
        <v>2631</v>
      </c>
    </row>
    <row r="148" spans="2:11">
      <c r="B148" s="2637"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3187</v>
      </c>
      <c r="D1" s="1822" t="s">
        <v>70</v>
      </c>
      <c r="E1" s="1823" t="s">
        <v>1387</v>
      </c>
      <c r="F1" s="1285">
        <f ca="1">J53</f>
        <v>20.76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45</v>
      </c>
      <c r="C2" s="1847" t="s">
        <v>1591</v>
      </c>
      <c r="D2" s="1940">
        <f ca="1">C40+J29+L46</f>
        <v>447862</v>
      </c>
      <c r="E2" s="1848" t="s">
        <v>1592</v>
      </c>
      <c r="F2" s="1849"/>
      <c r="G2" s="1850"/>
      <c r="H2" s="1842"/>
      <c r="I2" s="1842"/>
      <c r="J2" s="1842"/>
      <c r="K2" s="1843"/>
      <c r="L2" s="1842"/>
      <c r="M2" s="1842"/>
    </row>
    <row r="3" spans="1:37" ht="18" customHeight="1" thickBot="1">
      <c r="A3" s="1851" t="s">
        <v>1593</v>
      </c>
      <c r="B3" s="1852">
        <f ca="1">IF(ISERROR(D2/F43),0,ROUND(D2/F43,0))</f>
        <v>13675</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37701</v>
      </c>
      <c r="D5" s="1824" t="s">
        <v>1601</v>
      </c>
      <c r="E5" s="1295"/>
      <c r="F5" s="1296"/>
      <c r="G5" s="1853"/>
      <c r="H5" s="344">
        <v>1</v>
      </c>
      <c r="I5" s="345" t="s">
        <v>1600</v>
      </c>
      <c r="J5" s="1294">
        <f ca="1">J6+J10+J12</f>
        <v>0</v>
      </c>
      <c r="K5" s="1824" t="s">
        <v>1601</v>
      </c>
      <c r="L5" s="1295"/>
      <c r="M5" s="1296"/>
    </row>
    <row r="6" spans="1:37" ht="18" customHeight="1">
      <c r="A6" s="1293" t="s">
        <v>1035</v>
      </c>
      <c r="B6" s="3207" t="s">
        <v>1403</v>
      </c>
      <c r="C6" s="1298">
        <f ca="1">ROUND(F6*F8*F7*(1-F9),0)</f>
        <v>37654</v>
      </c>
      <c r="D6" s="164" t="s">
        <v>3021</v>
      </c>
      <c r="E6" s="347" t="s">
        <v>1405</v>
      </c>
      <c r="F6" s="348">
        <f ca="1">INDIRECT("'数据-取费表'!u"&amp;$G$1)</f>
        <v>3.5</v>
      </c>
      <c r="G6" s="1853"/>
      <c r="H6" s="1293" t="s">
        <v>1035</v>
      </c>
      <c r="I6" s="3207" t="s">
        <v>1403</v>
      </c>
      <c r="J6" s="346">
        <f ca="1">ROUND(M6*M8*M7*(1-M9),0)</f>
        <v>0</v>
      </c>
      <c r="K6" s="1836" t="s">
        <v>3022</v>
      </c>
      <c r="L6" s="347" t="s">
        <v>1405</v>
      </c>
      <c r="M6" s="348">
        <f ca="1">INDIRECT("'数据-取费表'!z"&amp;$G$1)</f>
        <v>0</v>
      </c>
    </row>
    <row r="7" spans="1:37" ht="18" customHeight="1">
      <c r="A7" s="1297"/>
      <c r="B7" s="3208"/>
      <c r="C7" s="1299"/>
      <c r="D7" s="352"/>
      <c r="E7" s="1300" t="s">
        <v>1406</v>
      </c>
      <c r="F7" s="348">
        <f ca="1">IF(INDIRECT("'数据-取费表'!ah"&amp;$G$1)="",INDIRECT("'数据-取费表'!k"&amp;$G$1),INDIRECT("'数据-取费表'!ah"&amp;$G$1))</f>
        <v>32.75</v>
      </c>
      <c r="G7" s="1853"/>
      <c r="H7" s="349"/>
      <c r="I7" s="3208"/>
      <c r="J7" s="351"/>
      <c r="K7" s="352"/>
      <c r="L7" s="347" t="s">
        <v>1406</v>
      </c>
      <c r="M7" s="348">
        <f ca="1">F7</f>
        <v>32.75</v>
      </c>
    </row>
    <row r="8" spans="1:37" ht="18" customHeight="1">
      <c r="A8" s="349"/>
      <c r="B8" s="3208"/>
      <c r="C8" s="351"/>
      <c r="D8" s="352"/>
      <c r="E8" s="347" t="s">
        <v>1407</v>
      </c>
      <c r="F8" s="348">
        <f ca="1">INDIRECT("'数据-取费表'!ai"&amp;$G$1)</f>
        <v>365</v>
      </c>
      <c r="G8" s="1853"/>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3"/>
      <c r="H9" s="349"/>
      <c r="I9" s="3209"/>
      <c r="J9" s="351"/>
      <c r="K9" s="352"/>
      <c r="L9" s="358" t="s">
        <v>1408</v>
      </c>
      <c r="M9" s="359">
        <f ca="1">INDIRECT("'数据-取费表'!ab"&amp;$G$1)</f>
        <v>0</v>
      </c>
    </row>
    <row r="10" spans="1:37" ht="18" customHeight="1">
      <c r="A10" s="1293" t="s">
        <v>1039</v>
      </c>
      <c r="B10" s="1825" t="s">
        <v>1409</v>
      </c>
      <c r="C10" s="361">
        <f ca="1">ROUND(IF(F10="押一",C6/12*F11,IF(F10="押二",C6/12*2*F11,IF(F10="押三",C6/12*3*F11,C11*F11))),0)</f>
        <v>47</v>
      </c>
      <c r="D10" s="1826" t="s">
        <v>3032</v>
      </c>
      <c r="E10" s="358" t="s">
        <v>1410</v>
      </c>
      <c r="F10" s="1368" t="s">
        <v>3183</v>
      </c>
      <c r="G10" s="1853"/>
      <c r="H10" s="1293" t="s">
        <v>1039</v>
      </c>
      <c r="I10" s="1825" t="s">
        <v>1409</v>
      </c>
      <c r="J10" s="346">
        <f ca="1">ROUND(IF(M10="押一",J6/12*M11,IF(M10="押二",J6/12*2*M11,IF(M10="押三",J6/12*3*M11,J11*M11))),0)</f>
        <v>0</v>
      </c>
      <c r="K10" s="1837" t="s">
        <v>3034</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105718</v>
      </c>
      <c r="D13" s="1333" t="s">
        <v>1415</v>
      </c>
      <c r="E13" s="1333" t="s">
        <v>1416</v>
      </c>
      <c r="F13" s="1334">
        <f ca="1">INDIRECT("'数据-取费表'!y"&amp;$G$1)</f>
        <v>0.77</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91700</v>
      </c>
      <c r="D14" s="1802" t="s">
        <v>1418</v>
      </c>
      <c r="E14" s="1796"/>
      <c r="F14" s="364"/>
      <c r="G14" s="1853"/>
      <c r="H14" s="1203" t="s">
        <v>1035</v>
      </c>
      <c r="I14" s="347" t="s">
        <v>1419</v>
      </c>
      <c r="J14" s="24">
        <f ca="1">C29</f>
        <v>137296</v>
      </c>
      <c r="K14" s="15"/>
      <c r="L14" s="981"/>
      <c r="M14" s="982"/>
    </row>
    <row r="15" spans="1:37" s="1860" customFormat="1" ht="18" customHeight="1" thickBot="1">
      <c r="A15" s="1203" t="s">
        <v>1036</v>
      </c>
      <c r="B15" s="347" t="s">
        <v>1420</v>
      </c>
      <c r="C15" s="24">
        <f ca="1">ROUND(C14*F15,0)</f>
        <v>2751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3233</v>
      </c>
      <c r="K16" s="1339" t="s">
        <v>1425</v>
      </c>
      <c r="L16" s="1340"/>
      <c r="M16" s="1296"/>
    </row>
    <row r="17" spans="1:37" s="1860" customFormat="1" ht="18" customHeight="1">
      <c r="A17" s="1203" t="s">
        <v>1390</v>
      </c>
      <c r="B17" s="347" t="s">
        <v>1426</v>
      </c>
      <c r="C17" s="24">
        <f ca="1">ROUND(F17*(F43+INDIRECT("'数据-取费表'!S"&amp;$G$1)),0)</f>
        <v>6550</v>
      </c>
      <c r="D17" s="347" t="s">
        <v>1427</v>
      </c>
      <c r="E17" s="347" t="s">
        <v>1428</v>
      </c>
      <c r="F17" s="26">
        <f>'数据-取费表'!B35</f>
        <v>200</v>
      </c>
      <c r="G17" s="1856"/>
      <c r="H17" s="1203" t="s">
        <v>1035</v>
      </c>
      <c r="I17" s="347" t="s">
        <v>1429</v>
      </c>
      <c r="J17" s="24">
        <f ca="1">ROUND(IF(项目基本情况!B11="自然人",J5*M17,J18+J19+J20),0)</f>
        <v>1174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1376</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102377</v>
      </c>
      <c r="D19" s="140" t="s">
        <v>1436</v>
      </c>
      <c r="E19" s="1820"/>
      <c r="F19" s="26"/>
      <c r="G19" s="1853"/>
      <c r="H19" s="1203" t="s">
        <v>1036</v>
      </c>
      <c r="I19" s="347" t="s">
        <v>1437</v>
      </c>
      <c r="J19" s="24">
        <f ca="1">IF(K19="按租金收入计税",ROUND(J5*M19,0),ROUND(C29*M19*0.7,0))</f>
        <v>1153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2048</v>
      </c>
      <c r="D20" s="369" t="s">
        <v>1440</v>
      </c>
      <c r="E20" s="347" t="s">
        <v>1422</v>
      </c>
      <c r="F20" s="367">
        <f>'数据-取费表'!B37</f>
        <v>0.02</v>
      </c>
      <c r="G20" s="1856"/>
      <c r="H20" s="1203" t="s">
        <v>1389</v>
      </c>
      <c r="I20" s="164" t="s">
        <v>1441</v>
      </c>
      <c r="J20" s="25">
        <f ca="1">ROUND(M20*M21,0)</f>
        <v>21</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2.06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2059</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4960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-3233</v>
      </c>
      <c r="K25" s="1347" t="s">
        <v>1464</v>
      </c>
      <c r="L25" s="1348"/>
      <c r="M25" s="1349"/>
    </row>
    <row r="26" spans="1:37" ht="18" customHeight="1">
      <c r="A26" s="1203" t="s">
        <v>1034</v>
      </c>
      <c r="B26" s="347" t="s">
        <v>1465</v>
      </c>
      <c r="C26" s="24">
        <f ca="1">ROUND((C19+C20)*F26,0)</f>
        <v>15664</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137296</v>
      </c>
      <c r="D29" s="1344"/>
      <c r="E29" s="1342"/>
      <c r="F29" s="1345"/>
      <c r="G29" s="1856"/>
      <c r="H29" s="380" t="s">
        <v>1033</v>
      </c>
      <c r="I29" s="381" t="s">
        <v>1479</v>
      </c>
      <c r="J29" s="382">
        <f ca="1">ROUND(J26/(1+F40)^F41,0)</f>
        <v>0</v>
      </c>
      <c r="K29" s="383" t="s">
        <v>1480</v>
      </c>
      <c r="L29" s="384"/>
      <c r="M29" s="385">
        <f ca="1">INDIRECT("'数据-取费表'!k"&amp;$G$1)</f>
        <v>32.75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9151</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6556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2011</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4524</v>
      </c>
      <c r="D33" s="1830" t="s">
        <v>3184</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21</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f ca="1">INDIRECT("'数据-取费表'!r"&amp;$G$1)</f>
        <v>2.06</v>
      </c>
      <c r="G35" s="1853"/>
      <c r="H35" s="744"/>
      <c r="I35" s="1862"/>
      <c r="J35" s="1863"/>
      <c r="K35" s="1864"/>
      <c r="L35" s="1861"/>
      <c r="M35" s="1861"/>
    </row>
    <row r="36" spans="1:18" ht="18" customHeight="1">
      <c r="A36" s="1354" t="s">
        <v>1039</v>
      </c>
      <c r="B36" s="347" t="s">
        <v>1449</v>
      </c>
      <c r="C36" s="24">
        <f ca="1">ROUND(C29*F36,0)</f>
        <v>2059</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159</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377</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28550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447862</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20.76</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ROUND(C40/F43,0)</f>
        <v>13675</v>
      </c>
      <c r="D43" s="383" t="s">
        <v>1488</v>
      </c>
      <c r="E43" s="384" t="s">
        <v>1489</v>
      </c>
      <c r="F43" s="385">
        <f ca="1">INDIRECT("'数据-取费表'!k"&amp;$G$1)</f>
        <v>32.75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-663902</v>
      </c>
      <c r="D45" s="1942" t="s">
        <v>1604</v>
      </c>
      <c r="E45" s="1868"/>
      <c r="F45" s="1868"/>
      <c r="O45" s="1871" t="s">
        <v>1519</v>
      </c>
      <c r="P45" s="1841"/>
      <c r="Q45" s="1841"/>
      <c r="R45" s="1841"/>
    </row>
    <row r="46" spans="1:18" s="1844" customFormat="1" ht="13.5" thickBot="1">
      <c r="A46" s="1872" t="s">
        <v>1520</v>
      </c>
      <c r="C46" s="1873">
        <f ca="1">ROUND(C45/10000,0)</f>
        <v>-66</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3168</v>
      </c>
      <c r="K47" s="1884" t="s">
        <v>1527</v>
      </c>
      <c r="L47" s="1885">
        <f ca="1">INDIRECT("'数据-取费表'!d"&amp;$G$1)</f>
        <v>40</v>
      </c>
      <c r="M47" s="1840" t="str">
        <f>IF(ISNUMBER(FIND("住宅",C1)),"住宅","非住宅")</f>
        <v>非住宅</v>
      </c>
      <c r="O47" s="1886" t="s">
        <v>1040</v>
      </c>
      <c r="P47" s="1887" t="s">
        <v>1528</v>
      </c>
      <c r="Q47" s="1888">
        <f ca="1">C40+J29</f>
        <v>447862</v>
      </c>
      <c r="R47" s="1888" t="s">
        <v>1529</v>
      </c>
    </row>
    <row r="48" spans="1:18" s="1844" customFormat="1" ht="28.5" thickBot="1">
      <c r="A48" s="1362" t="s">
        <v>1135</v>
      </c>
      <c r="B48" s="345" t="s">
        <v>1401</v>
      </c>
      <c r="C48" s="1819">
        <f ca="1">C49+C53+C55</f>
        <v>0</v>
      </c>
      <c r="D48" s="1364"/>
      <c r="E48" s="1365"/>
      <c r="F48" s="1183"/>
      <c r="G48" s="791"/>
      <c r="H48" s="792"/>
      <c r="I48" s="1889" t="s">
        <v>1530</v>
      </c>
      <c r="J48" s="1890" t="s">
        <v>3185</v>
      </c>
      <c r="K48" s="1891" t="s">
        <v>1531</v>
      </c>
      <c r="L48" s="1892">
        <f ca="1">INDIRECT("'数据-取费表'!f"&amp;$G$1)</f>
        <v>20.76</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2002</v>
      </c>
      <c r="K49" s="1891" t="s">
        <v>1535</v>
      </c>
      <c r="L49" s="1895"/>
      <c r="O49" s="1896" t="s">
        <v>1042</v>
      </c>
      <c r="P49" s="1887" t="s">
        <v>1536</v>
      </c>
      <c r="Q49" s="1888">
        <f ca="1">C29</f>
        <v>137296</v>
      </c>
      <c r="R49" s="1888" t="s">
        <v>1529</v>
      </c>
    </row>
    <row r="50" spans="1:18" s="1844" customFormat="1" ht="13.5" thickBot="1">
      <c r="A50" s="1197"/>
      <c r="B50" s="1200"/>
      <c r="C50" s="1201"/>
      <c r="D50" s="1174"/>
      <c r="E50" s="1279" t="s">
        <v>1406</v>
      </c>
      <c r="F50" s="1280">
        <f ca="1">F7</f>
        <v>32.75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44</v>
      </c>
      <c r="K51" s="1902" t="s">
        <v>1541</v>
      </c>
      <c r="L51" s="1903">
        <f ca="1">ROUND(-PV(INDIRECT("'数据-取费表'!h"&amp;$G$1),L48,(C39-C13*C76),0),0)</f>
        <v>255911</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20.76</v>
      </c>
      <c r="R52" s="1888" t="s">
        <v>1546</v>
      </c>
    </row>
    <row r="53" spans="1:18" s="1844" customFormat="1" ht="30.75" customHeight="1" thickBot="1">
      <c r="A53" s="1363" t="s">
        <v>1137</v>
      </c>
      <c r="B53" s="369" t="s">
        <v>1409</v>
      </c>
      <c r="C53" s="361">
        <f ca="1">ROUND(IF(F53="押一",C49/12*F11,IF(F53="押二",C49/12*2*F11,IF(F53="押三",C49/12*3*F11,C54*F11))),0)</f>
        <v>0</v>
      </c>
      <c r="D53" s="1826" t="s">
        <v>3035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20.76</v>
      </c>
      <c r="K53" s="3205" t="s">
        <v>1548</v>
      </c>
      <c r="L53" s="3206"/>
      <c r="O53" s="1886" t="s">
        <v>1046</v>
      </c>
      <c r="P53" s="1887" t="s">
        <v>1549</v>
      </c>
      <c r="Q53" s="1888">
        <f ca="1">Q47+Q48</f>
        <v>447862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105718</v>
      </c>
      <c r="D56" s="1916"/>
      <c r="E56" s="1917"/>
      <c r="F56" s="1909"/>
      <c r="I56" s="1918" t="s">
        <v>1554</v>
      </c>
      <c r="J56" s="1919" t="s">
        <v>3110</v>
      </c>
      <c r="K56" s="1889" t="s">
        <v>1555</v>
      </c>
      <c r="L56" s="1892" t="str">
        <f ca="1">IF(L48&lt;J51,"——",L48-J51)</f>
        <v>——</v>
      </c>
      <c r="O56" s="1886" t="s">
        <v>1040</v>
      </c>
      <c r="P56" s="1887" t="s">
        <v>1528</v>
      </c>
      <c r="Q56" s="1888">
        <f ca="1">C40+J29</f>
        <v>447862</v>
      </c>
      <c r="R56" s="1888" t="s">
        <v>1529</v>
      </c>
    </row>
    <row r="57" spans="1:18" s="1844" customFormat="1" ht="24.75" thickBot="1">
      <c r="A57" s="1920"/>
      <c r="B57" s="1171" t="s">
        <v>1478</v>
      </c>
      <c r="C57" s="282">
        <f ca="1">C29</f>
        <v>137296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f ca="1">ROUND(C59+C64+C65+C66,0)</f>
        <v>13772</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11554</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11533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21</v>
      </c>
      <c r="D62" s="1186" t="s">
        <v>1497</v>
      </c>
      <c r="E62" s="1171" t="s">
        <v>1498</v>
      </c>
      <c r="F62" s="371">
        <f t="shared" si="0"/>
        <v>10</v>
      </c>
      <c r="I62" s="1931" t="s">
        <v>1570</v>
      </c>
      <c r="J62" s="1932" t="s">
        <v>1571</v>
      </c>
      <c r="K62" s="1932" t="s">
        <v>1572</v>
      </c>
      <c r="L62" s="1932" t="s">
        <v>1573</v>
      </c>
      <c r="M62" s="1933" t="s">
        <v>1574</v>
      </c>
      <c r="O62" s="1886" t="s">
        <v>1046</v>
      </c>
      <c r="P62" s="1887" t="s">
        <v>1575</v>
      </c>
      <c r="Q62" s="1888">
        <f ca="1">Q56+Q57</f>
        <v>447862</v>
      </c>
      <c r="R62" s="1888" t="s">
        <v>1047</v>
      </c>
    </row>
    <row r="63" spans="1:18" s="1844" customFormat="1" ht="13.5" thickBot="1">
      <c r="A63" s="372"/>
      <c r="B63" s="1177"/>
      <c r="C63" s="29"/>
      <c r="D63" s="1187"/>
      <c r="E63" s="1171" t="s">
        <v>1499</v>
      </c>
      <c r="F63" s="348">
        <f t="shared" ca="1" si="0"/>
        <v>2.06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2059</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159</v>
      </c>
      <c r="D65" s="1185" t="s">
        <v>1454</v>
      </c>
      <c r="E65" s="1171" t="s">
        <v>1455</v>
      </c>
      <c r="F65" s="376">
        <f t="shared" ca="1" si="0"/>
        <v>1.5E-3</v>
      </c>
      <c r="I65" s="1931" t="s">
        <v>1579</v>
      </c>
      <c r="J65" s="1932">
        <v>40</v>
      </c>
      <c r="K65" s="1932">
        <v>30</v>
      </c>
      <c r="L65" s="1932">
        <v>50</v>
      </c>
      <c r="M65" s="1934">
        <v>0.02</v>
      </c>
      <c r="O65" s="1886" t="s">
        <v>1040</v>
      </c>
      <c r="P65" s="1887" t="s">
        <v>1580</v>
      </c>
      <c r="Q65" s="1888">
        <f ca="1">C40+J29</f>
        <v>447862</v>
      </c>
      <c r="R65" s="1888" t="s">
        <v>1529</v>
      </c>
    </row>
    <row r="66" spans="1:18" s="1844" customFormat="1" ht="16.5" thickBot="1">
      <c r="A66" s="1203" t="s">
        <v>1504</v>
      </c>
      <c r="B66" s="1171" t="s">
        <v>1439</v>
      </c>
      <c r="C66" s="24">
        <f ca="1">ROUND(C48*F66,0)</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-13772</v>
      </c>
      <c r="D67" s="1184" t="s">
        <v>1464</v>
      </c>
      <c r="E67" s="1189"/>
      <c r="F67" s="1190"/>
      <c r="O67" s="1896" t="s">
        <v>1042</v>
      </c>
      <c r="P67" s="1887" t="s">
        <v>1562</v>
      </c>
      <c r="Q67" s="1935">
        <f ca="1">L51</f>
        <v>255911</v>
      </c>
      <c r="R67" s="1888" t="s">
        <v>1582</v>
      </c>
    </row>
    <row r="68" spans="1:18" s="1844" customFormat="1" ht="16.5" thickBot="1">
      <c r="A68" s="1168" t="s">
        <v>1032</v>
      </c>
      <c r="B68" s="1169" t="s">
        <v>1485</v>
      </c>
      <c r="C68" s="346">
        <f ca="1">ROUND(C67*(1-((1+F70)/(1+F68))^F69)/(F68-F70),0)</f>
        <v>-216040</v>
      </c>
      <c r="D68" s="1186" t="s">
        <v>1469</v>
      </c>
      <c r="E68" s="1171" t="s">
        <v>1470</v>
      </c>
      <c r="F68" s="357">
        <f ca="1">F40</f>
        <v>5.5E-2</v>
      </c>
      <c r="O68" s="1896" t="s">
        <v>1043</v>
      </c>
      <c r="P68" s="1936" t="s">
        <v>1583</v>
      </c>
      <c r="Q68" s="1888">
        <f ca="1">ROUND(Q69-Q70*Q71,0)</f>
        <v>20093</v>
      </c>
      <c r="R68" s="1888" t="s">
        <v>1051</v>
      </c>
    </row>
    <row r="69" spans="1:18" s="1844" customFormat="1" ht="13.5" thickBot="1">
      <c r="A69" s="1172"/>
      <c r="B69" s="1173"/>
      <c r="C69" s="351"/>
      <c r="D69" s="1191" t="s">
        <v>1473</v>
      </c>
      <c r="E69" s="1171" t="s">
        <v>1474</v>
      </c>
      <c r="F69" s="379">
        <f ca="1">F41</f>
        <v>20.76</v>
      </c>
      <c r="O69" s="1896" t="s">
        <v>1048</v>
      </c>
      <c r="P69" s="1936" t="s">
        <v>1584</v>
      </c>
      <c r="Q69" s="1888">
        <f ca="1">C39</f>
        <v>28550</v>
      </c>
      <c r="R69" s="1888" t="s">
        <v>1529</v>
      </c>
    </row>
    <row r="70" spans="1:18" s="1844" customFormat="1" ht="13.5" thickBot="1">
      <c r="A70" s="1175"/>
      <c r="B70" s="1176"/>
      <c r="C70" s="355"/>
      <c r="D70" s="1187"/>
      <c r="E70" s="1171" t="s">
        <v>1477</v>
      </c>
      <c r="F70" s="1277">
        <f ca="1">F42</f>
        <v>0.03</v>
      </c>
      <c r="O70" s="1896" t="s">
        <v>1049</v>
      </c>
      <c r="P70" s="1936" t="s">
        <v>1585</v>
      </c>
      <c r="Q70" s="1888">
        <f ca="1">C13</f>
        <v>105718</v>
      </c>
      <c r="R70" s="1888" t="s">
        <v>1529</v>
      </c>
    </row>
    <row r="71" spans="1:18" s="1844" customFormat="1" ht="13.5" thickBot="1">
      <c r="A71" s="1192" t="s">
        <v>1033</v>
      </c>
      <c r="B71" s="1193" t="s">
        <v>1487</v>
      </c>
      <c r="C71" s="382">
        <f ca="1">ROUND(C68/F71,0)</f>
        <v>-6597</v>
      </c>
      <c r="D71" s="1194" t="s">
        <v>1488</v>
      </c>
      <c r="E71" s="1195" t="s">
        <v>1489</v>
      </c>
      <c r="F71" s="385">
        <f ca="1">F43</f>
        <v>32.75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8457</v>
      </c>
      <c r="D75" s="1844"/>
      <c r="E75" s="1844"/>
      <c r="F75" s="1844"/>
      <c r="K75" s="1870"/>
      <c r="L75" s="1844"/>
      <c r="O75" s="1886" t="s">
        <v>1046</v>
      </c>
      <c r="P75" s="1887" t="s">
        <v>1549</v>
      </c>
      <c r="Q75" s="1888">
        <f ca="1">Q65+Q66</f>
        <v>447862</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0.70399999999999996</v>
      </c>
    </row>
    <row r="80" spans="1:18">
      <c r="B80" s="386" t="s">
        <v>1511</v>
      </c>
      <c r="C80" s="318">
        <f ca="1">ROUND(C75/C39,3)</f>
        <v>0.29599999999999999</v>
      </c>
    </row>
    <row r="81" spans="2:3">
      <c r="B81" s="314" t="s">
        <v>1512</v>
      </c>
      <c r="C81" s="282"/>
    </row>
    <row r="82" spans="2:3">
      <c r="B82" s="317" t="s">
        <v>1513</v>
      </c>
      <c r="C82" s="319">
        <f ca="1">1-C83</f>
        <v>0.76400000000000001</v>
      </c>
    </row>
    <row r="83" spans="2:3">
      <c r="B83" s="317" t="s">
        <v>1514</v>
      </c>
      <c r="C83" s="318">
        <f ca="1">ROUND(C13/C40,3)</f>
        <v>0.23599999999999999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S24" sqref="S24:S41"/>
    </sheetView>
  </sheetViews>
  <sheetFormatPr defaultRowHeight="12.75"/>
  <cols>
    <col min="1" max="1" width="14.12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41" t="s">
        <v>2999</v>
      </c>
      <c r="D1" s="3242"/>
      <c r="E1" s="3242"/>
      <c r="F1" s="3242"/>
      <c r="G1" s="3242"/>
      <c r="H1" s="3242"/>
      <c r="I1" s="3242"/>
      <c r="J1" s="3242"/>
      <c r="K1" s="3242"/>
      <c r="L1" s="3242"/>
      <c r="M1" s="3242"/>
      <c r="N1" s="3242"/>
      <c r="O1" s="3242"/>
      <c r="P1" s="3242"/>
      <c r="Q1" s="3242"/>
      <c r="R1" s="3242"/>
      <c r="S1" s="3243"/>
      <c r="T1" s="1206" t="s">
        <v>3000</v>
      </c>
    </row>
    <row r="2" spans="1:45" s="707" customFormat="1" ht="38.25">
      <c r="A2" s="1207"/>
      <c r="B2" s="703" t="s">
        <v>3001</v>
      </c>
      <c r="C2" s="704" t="str">
        <f t="shared" ref="C2:L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'比较法-商业'!D103</f>
        <v>100</v>
      </c>
      <c r="E3" s="709">
        <f>'比较法-商业'!E103</f>
        <v>200</v>
      </c>
      <c r="F3" s="709">
        <f>'比较法-商业'!F103</f>
        <v>500</v>
      </c>
      <c r="G3" s="709">
        <f>'比较法-商业'!G103</f>
        <v>1000</v>
      </c>
      <c r="H3" s="709">
        <f>'比较法-商业'!H103</f>
        <v>1500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'比较法-商业'!C104</f>
        <v>100</v>
      </c>
      <c r="D4" s="1212">
        <f>'比较法-商业'!D104</f>
        <v>98</v>
      </c>
      <c r="E4" s="1212">
        <f>'比较法-商业'!E104</f>
        <v>96</v>
      </c>
      <c r="F4" s="1212">
        <f>'比较法-商业'!F104</f>
        <v>94</v>
      </c>
      <c r="G4" s="1212">
        <f>'比较法-商业'!G104</f>
        <v>92</v>
      </c>
      <c r="H4" s="1212">
        <f>'比较法-商业'!H104</f>
        <v>90</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6" t="s">
        <v>3008</v>
      </c>
      <c r="B17" s="2917"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3010</v>
      </c>
      <c r="E19" s="1794"/>
      <c r="F19" s="1794"/>
      <c r="G19" s="1794"/>
      <c r="H19" s="1282"/>
      <c r="I19" s="168"/>
      <c r="J19" s="168"/>
      <c r="K19" s="168"/>
      <c r="L19" s="168"/>
      <c r="M19" s="168"/>
      <c r="N19" s="168"/>
      <c r="O19" s="168"/>
      <c r="P19" s="168"/>
      <c r="Q19" s="168"/>
      <c r="R19" s="787"/>
      <c r="S19" s="138"/>
    </row>
    <row r="20" spans="1:45" ht="16.5" thickBot="1">
      <c r="A20" s="714" t="s">
        <v>3011</v>
      </c>
      <c r="B20" s="338" t="e">
        <f ca="1">IF(D20="——",S22,S22-F20)</f>
        <v>#REF!</v>
      </c>
      <c r="C20" s="168"/>
      <c r="D20" s="2919" t="s">
        <v>3012</v>
      </c>
      <c r="E20" s="1795"/>
      <c r="F20" s="1206" t="e">
        <f ca="1">SUMIF(INDIRECT("'"&amp;H20&amp;"'"&amp;"!A:A"),"承租人权益价值",INDIRECT("'"&amp;H20&amp;"'"&amp;"!c:c"))</f>
        <v>#REF!</v>
      </c>
      <c r="G20" s="1206" t="s">
        <v>3013</v>
      </c>
      <c r="H20" s="2920"/>
      <c r="I20" s="168"/>
      <c r="J20" s="168"/>
      <c r="K20" s="168"/>
      <c r="L20" s="168"/>
      <c r="M20" s="168"/>
      <c r="N20" s="168"/>
      <c r="O20" s="168"/>
      <c r="P20" s="168"/>
      <c r="Q20" s="168"/>
      <c r="R20" s="787"/>
      <c r="S20" s="138"/>
    </row>
    <row r="21" spans="1:45" ht="15.75">
      <c r="A21" s="714" t="s">
        <v>3014</v>
      </c>
      <c r="B21" s="338">
        <f ca="1">R22</f>
        <v>22924</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762.06999999999994</v>
      </c>
      <c r="C22" s="3071" t="s">
        <v>33</v>
      </c>
      <c r="D22" s="3072"/>
      <c r="E22" s="3072"/>
      <c r="F22" s="3072"/>
      <c r="G22" s="3072"/>
      <c r="H22" s="3072"/>
      <c r="I22" s="3072"/>
      <c r="J22" s="3072"/>
      <c r="K22" s="3072"/>
      <c r="L22" s="3072"/>
      <c r="M22" s="3072"/>
      <c r="N22" s="3072"/>
      <c r="O22" s="3072"/>
      <c r="P22" s="3072"/>
      <c r="Q22" s="3240"/>
      <c r="R22" s="715">
        <f ca="1">ROUND(S22*10000/B22,0)</f>
        <v>22924</v>
      </c>
      <c r="S22" s="24">
        <f ca="1">SUM(S24:S10000)</f>
        <v>1747</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广州市白云区黄石路天云街14号101商铺</v>
      </c>
      <c r="B24" s="717">
        <f>面积表!J2</f>
        <v>32.75</v>
      </c>
      <c r="C24" s="718">
        <v>1</v>
      </c>
      <c r="D24" s="719"/>
      <c r="E24" s="718">
        <v>1</v>
      </c>
      <c r="F24" s="719"/>
      <c r="G24" s="718">
        <v>1</v>
      </c>
      <c r="H24" s="719"/>
      <c r="I24" s="718">
        <v>1</v>
      </c>
      <c r="J24" s="719"/>
      <c r="K24" s="718">
        <v>1</v>
      </c>
      <c r="L24" s="719"/>
      <c r="M24" s="718">
        <v>1</v>
      </c>
      <c r="N24" s="719"/>
      <c r="O24" s="718">
        <v>1</v>
      </c>
      <c r="P24" s="719"/>
      <c r="Q24" s="718">
        <v>1</v>
      </c>
      <c r="R24" s="720">
        <f ca="1">结果表!G20</f>
        <v>22989</v>
      </c>
      <c r="S24" s="718">
        <f t="shared" ref="S24:S54" ca="1" si="11">ROUND(R24*B24/10000,0)</f>
        <v>75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广州市白云区黄石路天云街14号102商铺</v>
      </c>
      <c r="B25" s="717">
        <f>面积表!J3</f>
        <v>29.96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22989</v>
      </c>
      <c r="S25" s="361">
        <f t="shared" ca="1" si="11"/>
        <v>69</v>
      </c>
    </row>
    <row r="26" spans="1:45">
      <c r="A26" s="717" t="str">
        <f>面积表!B4</f>
        <v>广州市白云区黄石路天云街14号103商铺</v>
      </c>
      <c r="B26" s="717">
        <f>面积表!J4</f>
        <v>32.75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22989</v>
      </c>
      <c r="S26" s="361">
        <f t="shared" ca="1" si="11"/>
        <v>75</v>
      </c>
    </row>
    <row r="27" spans="1:45">
      <c r="A27" s="717" t="str">
        <f>面积表!B5</f>
        <v>广州市白云区黄石路天云街14号105商铺</v>
      </c>
      <c r="B27" s="717">
        <f>面积表!J5</f>
        <v>70.75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22989</v>
      </c>
      <c r="S27" s="361">
        <f t="shared" ca="1" si="11"/>
        <v>163</v>
      </c>
    </row>
    <row r="28" spans="1:45">
      <c r="A28" s="717" t="str">
        <f>面积表!B6</f>
        <v>广州市白云区黄石路天云街16号106商铺</v>
      </c>
      <c r="B28" s="717">
        <f>面积表!J6</f>
        <v>53.14</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22989</v>
      </c>
      <c r="S28" s="361">
        <f t="shared" ca="1" si="11"/>
        <v>122</v>
      </c>
    </row>
    <row r="29" spans="1:45">
      <c r="A29" s="717" t="str">
        <f>面积表!B7</f>
        <v>广州市白云区黄石路天云街16号107商铺</v>
      </c>
      <c r="B29" s="717">
        <f>面积表!J7</f>
        <v>31.12</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22989</v>
      </c>
      <c r="S29" s="361">
        <f t="shared" ca="1" si="11"/>
        <v>72</v>
      </c>
    </row>
    <row r="30" spans="1:45">
      <c r="A30" s="717" t="str">
        <f>面积表!B8</f>
        <v>广州市白云区黄石路天云街16号108商铺</v>
      </c>
      <c r="B30" s="717">
        <f>面积表!J8</f>
        <v>30.74</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22989</v>
      </c>
      <c r="S30" s="361">
        <f t="shared" ca="1" si="11"/>
        <v>71</v>
      </c>
    </row>
    <row r="31" spans="1:45">
      <c r="A31" s="717" t="str">
        <f>面积表!B9</f>
        <v>广州市白云区黄石路天云街16号109商铺</v>
      </c>
      <c r="B31" s="717">
        <f>面积表!J9</f>
        <v>32.130000000000003</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22989</v>
      </c>
      <c r="S31" s="361">
        <f t="shared" ca="1" si="11"/>
        <v>74</v>
      </c>
    </row>
    <row r="32" spans="1:45">
      <c r="A32" s="717" t="str">
        <f>面积表!B10</f>
        <v>广州市白云区黄石路天云街18号110商铺</v>
      </c>
      <c r="B32" s="717">
        <f>面积表!J10</f>
        <v>54.53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22989</v>
      </c>
      <c r="S32" s="361">
        <f t="shared" ca="1" si="11"/>
        <v>125</v>
      </c>
    </row>
    <row r="33" spans="1:19">
      <c r="A33" s="717" t="str">
        <f>面积表!B11</f>
        <v>广州市白云区黄石路天云街18号111商铺</v>
      </c>
      <c r="B33" s="717">
        <f>面积表!J11</f>
        <v>31.12</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22989</v>
      </c>
      <c r="S33" s="361">
        <f t="shared" ca="1" si="11"/>
        <v>72</v>
      </c>
    </row>
    <row r="34" spans="1:19">
      <c r="A34" s="717" t="str">
        <f>面积表!B12</f>
        <v>广州市白云区黄石路天云街18号112商铺</v>
      </c>
      <c r="B34" s="717">
        <f>面积表!J12</f>
        <v>31.12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22989</v>
      </c>
      <c r="S34" s="361">
        <f t="shared" ca="1" si="11"/>
        <v>72</v>
      </c>
    </row>
    <row r="35" spans="1:19">
      <c r="A35" s="717" t="str">
        <f>面积表!B13</f>
        <v>广州市白云区黄石路天云街18号113商铺</v>
      </c>
      <c r="B35" s="717">
        <f>面积表!J13</f>
        <v>53.32</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22989</v>
      </c>
      <c r="S35" s="361">
        <f t="shared" ca="1" si="11"/>
        <v>123</v>
      </c>
    </row>
    <row r="36" spans="1:19">
      <c r="A36" s="717" t="str">
        <f>面积表!B14</f>
        <v>广州市白云区黄石路天云街20号115商铺</v>
      </c>
      <c r="B36" s="717">
        <f>面积表!J14</f>
        <v>16.11</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22989</v>
      </c>
      <c r="S36" s="361">
        <f t="shared" ca="1" si="11"/>
        <v>37</v>
      </c>
    </row>
    <row r="37" spans="1:19">
      <c r="A37" s="717" t="str">
        <f>面积表!B15</f>
        <v>广州市白云区黄石路天云街20号116商铺</v>
      </c>
      <c r="B37" s="717">
        <f>面积表!J15</f>
        <v>32.75</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22989</v>
      </c>
      <c r="S37" s="361">
        <f t="shared" ca="1" si="11"/>
        <v>75</v>
      </c>
    </row>
    <row r="38" spans="1:19">
      <c r="A38" s="717" t="str">
        <f>面积表!B16</f>
        <v>广州市白云区黄石路天云街20号117商铺</v>
      </c>
      <c r="B38" s="717">
        <f>面积表!J16</f>
        <v>30.49</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22989</v>
      </c>
      <c r="S38" s="361">
        <f t="shared" ca="1" si="11"/>
        <v>70</v>
      </c>
    </row>
    <row r="39" spans="1:19">
      <c r="A39" s="717" t="str">
        <f>面积表!B17</f>
        <v>广州市白云区黄石路天云街20号118商铺</v>
      </c>
      <c r="B39" s="717">
        <f>面积表!J17</f>
        <v>30.16</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22989</v>
      </c>
      <c r="S39" s="361">
        <f t="shared" ca="1" si="11"/>
        <v>69</v>
      </c>
    </row>
    <row r="40" spans="1:19">
      <c r="A40" s="717" t="str">
        <f>面积表!B18</f>
        <v>广州市白云区黄石路天云街20号119商铺</v>
      </c>
      <c r="B40" s="717">
        <f>面积表!J18</f>
        <v>33.07</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22989</v>
      </c>
      <c r="S40" s="361">
        <f t="shared" ca="1" si="11"/>
        <v>76</v>
      </c>
    </row>
    <row r="41" spans="1:19">
      <c r="A41" s="717" t="str">
        <f>面积表!B19</f>
        <v>广州市白云区黄石路天云街20号120商铺</v>
      </c>
      <c r="B41" s="717">
        <f>面积表!J19</f>
        <v>136.06</v>
      </c>
      <c r="C41" s="24">
        <f t="shared" si="12"/>
        <v>0.98</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22529</v>
      </c>
      <c r="S41" s="361">
        <f t="shared" ca="1" si="11"/>
        <v>307</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24" sqref="H24"/>
    </sheetView>
  </sheetViews>
  <sheetFormatPr defaultRowHeight="13.5"/>
  <cols>
    <col min="2" max="2" width="34.125" customWidth="1"/>
    <col min="4" max="4" width="20.375" customWidth="1"/>
    <col min="7" max="7" width="17.875" customWidth="1"/>
  </cols>
  <sheetData>
    <row r="1" spans="1:10">
      <c r="A1" s="2942" t="s">
        <v>3039</v>
      </c>
      <c r="B1" s="2943" t="s">
        <v>3040</v>
      </c>
      <c r="C1" s="2942" t="s">
        <v>3041</v>
      </c>
      <c r="D1" s="2942" t="s">
        <v>3042</v>
      </c>
      <c r="E1" s="2942" t="s">
        <v>3043</v>
      </c>
      <c r="F1" s="2942" t="s">
        <v>3044</v>
      </c>
      <c r="G1" s="2944" t="s">
        <v>3045</v>
      </c>
      <c r="H1" s="2962" t="s">
        <v>3188</v>
      </c>
    </row>
    <row r="2" spans="1:10">
      <c r="A2" s="2942">
        <v>1</v>
      </c>
      <c r="B2" s="2943" t="s">
        <v>3046</v>
      </c>
      <c r="C2" s="2942" t="s">
        <v>3047</v>
      </c>
      <c r="D2" s="2942" t="s">
        <v>3048</v>
      </c>
      <c r="E2" s="2942" t="s">
        <v>3049</v>
      </c>
      <c r="F2" s="2942" t="s">
        <v>3050</v>
      </c>
      <c r="G2" s="2944">
        <v>32.752200000000002</v>
      </c>
      <c r="H2">
        <v>2.06</v>
      </c>
      <c r="J2" s="2951">
        <v>32.75</v>
      </c>
    </row>
    <row r="3" spans="1:10">
      <c r="A3" s="2942">
        <v>2</v>
      </c>
      <c r="B3" s="2943" t="s">
        <v>3051</v>
      </c>
      <c r="C3" s="2942" t="s">
        <v>3052</v>
      </c>
      <c r="D3" s="2942" t="s">
        <v>3048</v>
      </c>
      <c r="E3" s="2942" t="s">
        <v>3049</v>
      </c>
      <c r="F3" s="2942" t="s">
        <v>3050</v>
      </c>
      <c r="G3" s="2944">
        <v>29.962900000000001</v>
      </c>
      <c r="H3">
        <v>1.88</v>
      </c>
      <c r="J3" s="2951">
        <v>29.96</v>
      </c>
    </row>
    <row r="4" spans="1:10">
      <c r="A4" s="2942">
        <v>3</v>
      </c>
      <c r="B4" s="2943" t="s">
        <v>3053</v>
      </c>
      <c r="C4" s="2942" t="s">
        <v>3054</v>
      </c>
      <c r="D4" s="2942" t="s">
        <v>3048</v>
      </c>
      <c r="E4" s="2942" t="s">
        <v>3049</v>
      </c>
      <c r="F4" s="2942" t="s">
        <v>3050</v>
      </c>
      <c r="G4" s="2944">
        <v>32.752299999999998</v>
      </c>
      <c r="H4">
        <v>2.06</v>
      </c>
      <c r="J4" s="2951">
        <v>32.75</v>
      </c>
    </row>
    <row r="5" spans="1:10">
      <c r="A5" s="2942">
        <v>4</v>
      </c>
      <c r="B5" s="2943" t="s">
        <v>3055</v>
      </c>
      <c r="C5" s="2942" t="s">
        <v>3056</v>
      </c>
      <c r="D5" s="2942" t="s">
        <v>3048</v>
      </c>
      <c r="E5" s="2942" t="s">
        <v>3049</v>
      </c>
      <c r="F5" s="2942" t="s">
        <v>3050</v>
      </c>
      <c r="G5" s="2944">
        <v>70.746300000000005</v>
      </c>
      <c r="H5">
        <v>4.45</v>
      </c>
      <c r="J5" s="2951">
        <v>70.75</v>
      </c>
    </row>
    <row r="6" spans="1:10">
      <c r="A6" s="2942">
        <v>5</v>
      </c>
      <c r="B6" s="2943" t="s">
        <v>3057</v>
      </c>
      <c r="C6" s="2942" t="s">
        <v>3058</v>
      </c>
      <c r="D6" s="2942" t="s">
        <v>3048</v>
      </c>
      <c r="E6" s="2942" t="s">
        <v>3049</v>
      </c>
      <c r="F6" s="2942" t="s">
        <v>3050</v>
      </c>
      <c r="G6" s="2944">
        <v>53.143300000000004</v>
      </c>
      <c r="H6">
        <v>3.34</v>
      </c>
      <c r="J6" s="2951">
        <v>53.14</v>
      </c>
    </row>
    <row r="7" spans="1:10">
      <c r="A7" s="2942">
        <v>6</v>
      </c>
      <c r="B7" s="2943" t="s">
        <v>3059</v>
      </c>
      <c r="C7" s="2942" t="s">
        <v>3060</v>
      </c>
      <c r="D7" s="2942" t="s">
        <v>3048</v>
      </c>
      <c r="E7" s="2942" t="s">
        <v>3049</v>
      </c>
      <c r="F7" s="2942" t="s">
        <v>3050</v>
      </c>
      <c r="G7" s="2944">
        <v>31.119499999999999</v>
      </c>
      <c r="H7">
        <v>1.96</v>
      </c>
      <c r="J7" s="2951">
        <v>31.12</v>
      </c>
    </row>
    <row r="8" spans="1:10">
      <c r="A8" s="2942">
        <v>7</v>
      </c>
      <c r="B8" s="2943" t="s">
        <v>3061</v>
      </c>
      <c r="C8" s="2942" t="s">
        <v>3062</v>
      </c>
      <c r="D8" s="2942" t="s">
        <v>3048</v>
      </c>
      <c r="E8" s="2942" t="s">
        <v>3049</v>
      </c>
      <c r="F8" s="2942" t="s">
        <v>3050</v>
      </c>
      <c r="G8" s="2944">
        <v>30.735399999999998</v>
      </c>
      <c r="H8">
        <v>1.93</v>
      </c>
      <c r="J8" s="2951">
        <v>30.74</v>
      </c>
    </row>
    <row r="9" spans="1:10">
      <c r="A9" s="2942">
        <v>8</v>
      </c>
      <c r="B9" s="2943" t="s">
        <v>3063</v>
      </c>
      <c r="C9" s="2942" t="s">
        <v>3064</v>
      </c>
      <c r="D9" s="2942" t="s">
        <v>3048</v>
      </c>
      <c r="E9" s="2942" t="s">
        <v>3049</v>
      </c>
      <c r="F9" s="2942" t="s">
        <v>3050</v>
      </c>
      <c r="G9" s="2944">
        <v>32.133400000000002</v>
      </c>
      <c r="H9">
        <v>2.02</v>
      </c>
      <c r="J9" s="2951">
        <v>32.130000000000003</v>
      </c>
    </row>
    <row r="10" spans="1:10">
      <c r="A10" s="2942">
        <v>9</v>
      </c>
      <c r="B10" s="2943" t="s">
        <v>3065</v>
      </c>
      <c r="C10" s="2942" t="s">
        <v>3066</v>
      </c>
      <c r="D10" s="2942" t="s">
        <v>3048</v>
      </c>
      <c r="E10" s="2942" t="s">
        <v>3049</v>
      </c>
      <c r="F10" s="2942" t="s">
        <v>3050</v>
      </c>
      <c r="G10" s="2944">
        <v>54.530200000000001</v>
      </c>
      <c r="H10">
        <v>3.43</v>
      </c>
      <c r="J10" s="2951">
        <v>54.53</v>
      </c>
    </row>
    <row r="11" spans="1:10">
      <c r="A11" s="2942">
        <v>10</v>
      </c>
      <c r="B11" s="2943" t="s">
        <v>3067</v>
      </c>
      <c r="C11" s="2942" t="s">
        <v>3068</v>
      </c>
      <c r="D11" s="2942" t="s">
        <v>3048</v>
      </c>
      <c r="E11" s="2942" t="s">
        <v>3049</v>
      </c>
      <c r="F11" s="2942" t="s">
        <v>3050</v>
      </c>
      <c r="G11" s="2944">
        <v>31.119499999999999</v>
      </c>
      <c r="H11">
        <v>1.96</v>
      </c>
      <c r="J11" s="2951">
        <v>31.12</v>
      </c>
    </row>
    <row r="12" spans="1:10">
      <c r="A12" s="2942">
        <v>11</v>
      </c>
      <c r="B12" s="2943" t="s">
        <v>3069</v>
      </c>
      <c r="C12" s="2942" t="s">
        <v>3070</v>
      </c>
      <c r="D12" s="2942" t="s">
        <v>3048</v>
      </c>
      <c r="E12" s="2942" t="s">
        <v>3049</v>
      </c>
      <c r="F12" s="2942" t="s">
        <v>3050</v>
      </c>
      <c r="G12" s="2944">
        <v>31.119499999999999</v>
      </c>
      <c r="H12">
        <v>1.96</v>
      </c>
      <c r="J12" s="2951">
        <v>31.12</v>
      </c>
    </row>
    <row r="13" spans="1:10">
      <c r="A13" s="2942">
        <v>12</v>
      </c>
      <c r="B13" s="2943" t="s">
        <v>3071</v>
      </c>
      <c r="C13" s="2942" t="s">
        <v>3072</v>
      </c>
      <c r="D13" s="2942" t="s">
        <v>3048</v>
      </c>
      <c r="E13" s="2942" t="s">
        <v>3049</v>
      </c>
      <c r="F13" s="2942" t="s">
        <v>3050</v>
      </c>
      <c r="G13" s="2944">
        <v>53.320999999999998</v>
      </c>
      <c r="H13">
        <v>3.35</v>
      </c>
      <c r="J13" s="2951">
        <v>53.32</v>
      </c>
    </row>
    <row r="14" spans="1:10">
      <c r="A14" s="2942">
        <v>13</v>
      </c>
      <c r="B14" s="2943" t="s">
        <v>3073</v>
      </c>
      <c r="C14" s="2942" t="s">
        <v>3074</v>
      </c>
      <c r="D14" s="2942" t="s">
        <v>3075</v>
      </c>
      <c r="E14" s="2942" t="s">
        <v>3049</v>
      </c>
      <c r="F14" s="2942" t="s">
        <v>3050</v>
      </c>
      <c r="G14" s="2944">
        <v>16.1051</v>
      </c>
      <c r="H14">
        <v>1.01</v>
      </c>
      <c r="J14" s="2951">
        <v>16.11</v>
      </c>
    </row>
    <row r="15" spans="1:10">
      <c r="A15" s="2942">
        <v>14</v>
      </c>
      <c r="B15" s="2943" t="s">
        <v>3076</v>
      </c>
      <c r="C15" s="2942" t="s">
        <v>3077</v>
      </c>
      <c r="D15" s="2942" t="s">
        <v>3048</v>
      </c>
      <c r="E15" s="2942" t="s">
        <v>3049</v>
      </c>
      <c r="F15" s="2942" t="s">
        <v>3050</v>
      </c>
      <c r="G15" s="2944">
        <v>32.752299999999998</v>
      </c>
      <c r="H15">
        <v>2.06</v>
      </c>
      <c r="J15" s="2951">
        <v>32.75</v>
      </c>
    </row>
    <row r="16" spans="1:10">
      <c r="A16" s="2942">
        <v>15</v>
      </c>
      <c r="B16" s="2943" t="s">
        <v>3078</v>
      </c>
      <c r="C16" s="2942" t="s">
        <v>3079</v>
      </c>
      <c r="D16" s="2942" t="s">
        <v>3080</v>
      </c>
      <c r="E16" s="2942" t="s">
        <v>3049</v>
      </c>
      <c r="F16" s="2942" t="s">
        <v>3050</v>
      </c>
      <c r="G16" s="2944">
        <v>30.487100000000002</v>
      </c>
      <c r="H16">
        <v>1.92</v>
      </c>
      <c r="J16" s="2951">
        <v>30.49</v>
      </c>
    </row>
    <row r="17" spans="1:10">
      <c r="A17" s="2942">
        <v>16</v>
      </c>
      <c r="B17" s="2943" t="s">
        <v>3081</v>
      </c>
      <c r="C17" s="2942" t="s">
        <v>3082</v>
      </c>
      <c r="D17" s="2942" t="s">
        <v>3048</v>
      </c>
      <c r="E17" s="2942" t="s">
        <v>3049</v>
      </c>
      <c r="F17" s="2942" t="s">
        <v>3050</v>
      </c>
      <c r="G17" s="2944">
        <v>30.1645</v>
      </c>
      <c r="H17">
        <v>1.9</v>
      </c>
      <c r="J17" s="2951">
        <v>30.16</v>
      </c>
    </row>
    <row r="18" spans="1:10">
      <c r="A18" s="2942">
        <v>17</v>
      </c>
      <c r="B18" s="2943" t="s">
        <v>3083</v>
      </c>
      <c r="C18" s="2942" t="s">
        <v>3084</v>
      </c>
      <c r="D18" s="2942" t="s">
        <v>3048</v>
      </c>
      <c r="E18" s="2942" t="s">
        <v>3085</v>
      </c>
      <c r="F18" s="2942" t="s">
        <v>3050</v>
      </c>
      <c r="G18" s="2944">
        <v>33.072600000000001</v>
      </c>
      <c r="H18">
        <v>2.08</v>
      </c>
      <c r="J18" s="2951">
        <v>33.07</v>
      </c>
    </row>
    <row r="19" spans="1:10">
      <c r="A19" s="2942">
        <v>18</v>
      </c>
      <c r="B19" s="2943" t="s">
        <v>3086</v>
      </c>
      <c r="C19" s="2942" t="s">
        <v>3087</v>
      </c>
      <c r="D19" s="2942" t="s">
        <v>3088</v>
      </c>
      <c r="E19" s="2942" t="s">
        <v>3049</v>
      </c>
      <c r="F19" s="2942" t="s">
        <v>183</v>
      </c>
      <c r="G19" s="2944">
        <v>136.05500000000001</v>
      </c>
      <c r="H19">
        <v>8.56</v>
      </c>
      <c r="J19" s="2952">
        <v>136.06</v>
      </c>
    </row>
    <row r="20" spans="1:10">
      <c r="A20" s="3244" t="s">
        <v>1092</v>
      </c>
      <c r="B20" s="3244"/>
      <c r="C20" s="2945"/>
      <c r="D20" s="2945"/>
      <c r="E20" s="2945"/>
      <c r="F20" s="2945"/>
      <c r="G20" s="2946">
        <f>SUM(G2:G19)</f>
        <v>762.07210000000009</v>
      </c>
      <c r="H20">
        <v>47.930000000000007</v>
      </c>
      <c r="J20">
        <f>SUM(J2:J19)</f>
        <v>762.06999999999994</v>
      </c>
    </row>
    <row r="21" spans="1:10">
      <c r="A21" s="2942">
        <v>19</v>
      </c>
      <c r="B21" s="2943" t="s">
        <v>3089</v>
      </c>
      <c r="C21" s="2942" t="s">
        <v>3090</v>
      </c>
      <c r="D21" s="2942" t="s">
        <v>3091</v>
      </c>
      <c r="E21" s="2942" t="s">
        <v>3049</v>
      </c>
      <c r="F21" s="2942" t="s">
        <v>183</v>
      </c>
      <c r="G21" s="2944">
        <v>1368.55</v>
      </c>
    </row>
    <row r="22" spans="1:10">
      <c r="A22" s="2942">
        <v>20</v>
      </c>
      <c r="B22" s="2943" t="s">
        <v>3092</v>
      </c>
      <c r="C22" s="2942" t="s">
        <v>3093</v>
      </c>
      <c r="D22" s="2942" t="s">
        <v>3091</v>
      </c>
      <c r="E22" s="2942" t="s">
        <v>3049</v>
      </c>
      <c r="F22" s="2942" t="s">
        <v>183</v>
      </c>
      <c r="G22" s="2944">
        <v>1880.98</v>
      </c>
    </row>
    <row r="24" spans="1:10">
      <c r="G24">
        <f>32.75+29.96+32.75+70.75+53.14+31.12+30.74+32.13+54.53+31.12+31.12+53.32+16.11+32.75+30.49+30.16+33.07+136.06</f>
        <v>762.06999999999994</v>
      </c>
    </row>
    <row r="25" spans="1:10">
      <c r="G25" s="2966">
        <f>G24+G21+G22</f>
        <v>4011.6</v>
      </c>
    </row>
  </sheetData>
  <mergeCells count="1">
    <mergeCell ref="A20:B2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广州市方圆房地产发展有限公司：</v>
      </c>
    </row>
    <row r="4" spans="1:1" ht="54">
      <c r="A4" s="1950" t="str">
        <f>"受贵公司委托，我公司对"&amp;项目基本情况!S1&amp;"进行了预评估。"</f>
        <v>受贵公司委托，我公司对广东省广州市白云区黄石路天云街14号101商铺等18套商业用房及翰云路287号之一201铺等2套商业用房房地产抵押价值进行了预评估。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2677</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6"/>
      <c r="D2" s="1367"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32.75</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251" t="s">
        <v>2642</v>
      </c>
      <c r="Q4" s="3252"/>
      <c r="R4" s="3246" t="s">
        <v>2638</v>
      </c>
      <c r="S4" s="3247"/>
      <c r="T4" s="3246" t="s">
        <v>2639</v>
      </c>
      <c r="U4" s="3247"/>
      <c r="V4" s="3255" t="s">
        <v>2640</v>
      </c>
      <c r="W4" s="3255"/>
      <c r="X4" s="2670"/>
      <c r="Y4" s="3246" t="s">
        <v>2642</v>
      </c>
      <c r="Z4" s="3247"/>
      <c r="AA4" s="3245" t="s">
        <v>2638</v>
      </c>
      <c r="AB4" s="3245" t="s">
        <v>2639</v>
      </c>
      <c r="AC4" s="3248" t="s">
        <v>2640</v>
      </c>
    </row>
    <row r="5" spans="1:29" ht="15">
      <c r="A5" s="404"/>
      <c r="B5" s="405"/>
      <c r="C5" s="3234" t="s">
        <v>2533</v>
      </c>
      <c r="D5" s="3235"/>
      <c r="E5" s="3232" t="s">
        <v>2534</v>
      </c>
      <c r="F5" s="3233"/>
      <c r="G5" s="3234" t="s">
        <v>2535</v>
      </c>
      <c r="H5" s="3235"/>
      <c r="I5" s="3234" t="s">
        <v>2536</v>
      </c>
      <c r="J5" s="3235"/>
      <c r="K5" s="610"/>
      <c r="L5" s="1132"/>
      <c r="M5" s="1133"/>
      <c r="N5" s="1133"/>
      <c r="O5" s="1133"/>
      <c r="P5" s="3253"/>
      <c r="Q5" s="3185"/>
      <c r="R5" s="3167"/>
      <c r="S5" s="3168"/>
      <c r="T5" s="3167"/>
      <c r="U5" s="3168"/>
      <c r="V5" s="3162"/>
      <c r="W5" s="3162"/>
      <c r="X5" s="1815"/>
      <c r="Y5" s="3167"/>
      <c r="Z5" s="3168"/>
      <c r="AA5" s="3160"/>
      <c r="AB5" s="3160"/>
      <c r="AC5" s="3249"/>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254"/>
      <c r="Q6" s="3187"/>
      <c r="R6" s="3167"/>
      <c r="S6" s="3168"/>
      <c r="T6" s="3188"/>
      <c r="U6" s="3189"/>
      <c r="V6" s="3162"/>
      <c r="W6" s="3162"/>
      <c r="X6" s="1815"/>
      <c r="Y6" s="3188"/>
      <c r="Z6" s="3189"/>
      <c r="AA6" s="3161"/>
      <c r="AB6" s="3161"/>
      <c r="AC6" s="3250"/>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6"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267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6" t="s">
        <v>2543</v>
      </c>
      <c r="Q8" s="3164"/>
      <c r="R8" s="769" t="s">
        <v>17</v>
      </c>
      <c r="S8" s="770">
        <f t="shared" si="0"/>
        <v>0</v>
      </c>
      <c r="T8" s="769" t="s">
        <v>17</v>
      </c>
      <c r="U8" s="770">
        <f t="shared" si="1"/>
        <v>0</v>
      </c>
      <c r="V8" s="769" t="s">
        <v>17</v>
      </c>
      <c r="W8" s="770">
        <f t="shared" si="2"/>
        <v>0</v>
      </c>
      <c r="X8" s="771"/>
      <c r="Y8" s="3163" t="s">
        <v>2543</v>
      </c>
      <c r="Z8" s="3164"/>
      <c r="AA8" s="772" t="e">
        <f t="shared" ref="AA8:AA47" si="3">D8/F8</f>
        <v>#DIV/0!</v>
      </c>
      <c r="AB8" s="772" t="e">
        <f t="shared" ref="AB8:AB47" si="4">D8/H8</f>
        <v>#DIV/0!</v>
      </c>
      <c r="AC8" s="267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267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7"/>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7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7"/>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77"/>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77"/>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77"/>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71">
        <f t="shared" si="5"/>
        <v>1</v>
      </c>
    </row>
    <row r="15" spans="1:29" ht="15">
      <c r="A15" s="440" t="s">
        <v>2550</v>
      </c>
      <c r="B15" s="629" t="s">
        <v>2678</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1" t="s">
        <v>2551</v>
      </c>
      <c r="Q15" s="1812" t="str">
        <f t="shared" si="6"/>
        <v>办公集聚程度</v>
      </c>
      <c r="R15" s="773" t="s">
        <v>17</v>
      </c>
      <c r="S15" s="774">
        <f t="shared" si="0"/>
        <v>100</v>
      </c>
      <c r="T15" s="773" t="s">
        <v>17</v>
      </c>
      <c r="U15" s="774">
        <f t="shared" si="1"/>
        <v>100</v>
      </c>
      <c r="V15" s="773" t="s">
        <v>17</v>
      </c>
      <c r="W15" s="774">
        <f t="shared" si="2"/>
        <v>100</v>
      </c>
      <c r="X15" s="1815"/>
      <c r="Y15" s="3193" t="s">
        <v>2551</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192"/>
      <c r="Q16" s="1812"/>
      <c r="R16" s="773"/>
      <c r="S16" s="774"/>
      <c r="T16" s="773"/>
      <c r="U16" s="774"/>
      <c r="V16" s="773"/>
      <c r="W16" s="774"/>
      <c r="X16" s="1815"/>
      <c r="Y16" s="3194"/>
      <c r="Z16" s="1816"/>
      <c r="AA16" s="1813">
        <v>1</v>
      </c>
      <c r="AB16" s="1813">
        <v>1</v>
      </c>
      <c r="AC16" s="2674">
        <v>1</v>
      </c>
    </row>
    <row r="17" spans="1:29" ht="15">
      <c r="A17" s="428"/>
      <c r="B17" s="631" t="s">
        <v>2090</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2"/>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192"/>
      <c r="Q18" s="1812"/>
      <c r="R18" s="773"/>
      <c r="S18" s="774"/>
      <c r="T18" s="773"/>
      <c r="U18" s="774"/>
      <c r="V18" s="773"/>
      <c r="W18" s="774"/>
      <c r="X18" s="1815"/>
      <c r="Y18" s="3194"/>
      <c r="Z18" s="1816"/>
      <c r="AA18" s="1813">
        <v>1</v>
      </c>
      <c r="AB18" s="1813">
        <v>1</v>
      </c>
      <c r="AC18" s="2674">
        <v>1</v>
      </c>
    </row>
    <row r="19" spans="1:29" ht="15">
      <c r="A19" s="428"/>
      <c r="B19" s="631" t="s">
        <v>2679</v>
      </c>
      <c r="C19" s="2675" t="str">
        <f>估价对象房地状况!C7</f>
        <v>较齐备</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2"/>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192"/>
      <c r="Q20" s="1812"/>
      <c r="R20" s="773"/>
      <c r="S20" s="774"/>
      <c r="T20" s="773"/>
      <c r="U20" s="774"/>
      <c r="V20" s="773"/>
      <c r="W20" s="774"/>
      <c r="X20" s="1815"/>
      <c r="Y20" s="3194"/>
      <c r="Z20" s="1816"/>
      <c r="AA20" s="1813">
        <v>1</v>
      </c>
      <c r="AB20" s="1813">
        <v>1</v>
      </c>
      <c r="AC20" s="2674">
        <v>1</v>
      </c>
    </row>
    <row r="21" spans="1:29" ht="15">
      <c r="A21" s="428"/>
      <c r="B21" s="633" t="s">
        <v>2680</v>
      </c>
      <c r="C21" s="2675"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192"/>
      <c r="Q22" s="1812"/>
      <c r="R22" s="773"/>
      <c r="S22" s="774"/>
      <c r="T22" s="773"/>
      <c r="U22" s="774"/>
      <c r="V22" s="773"/>
      <c r="W22" s="774"/>
      <c r="X22" s="1815"/>
      <c r="Y22" s="3194"/>
      <c r="Z22" s="1816"/>
      <c r="AA22" s="1813">
        <v>1</v>
      </c>
      <c r="AB22" s="1813">
        <v>1</v>
      </c>
      <c r="AC22" s="2674">
        <v>1</v>
      </c>
    </row>
    <row r="23" spans="1:29" ht="15">
      <c r="A23" s="428"/>
      <c r="B23" s="631" t="s">
        <v>2681</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2"/>
      <c r="Q23" s="1812" t="str">
        <f>B23</f>
        <v>环境质量</v>
      </c>
      <c r="R23" s="773" t="s">
        <v>17</v>
      </c>
      <c r="S23" s="774">
        <f>F23</f>
        <v>100</v>
      </c>
      <c r="T23" s="773" t="s">
        <v>17</v>
      </c>
      <c r="U23" s="774">
        <f>H23</f>
        <v>100</v>
      </c>
      <c r="V23" s="773" t="s">
        <v>17</v>
      </c>
      <c r="W23" s="774">
        <f>J23</f>
        <v>100</v>
      </c>
      <c r="X23" s="1815"/>
      <c r="Y23" s="3194"/>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192"/>
      <c r="Q24" s="1812"/>
      <c r="R24" s="773"/>
      <c r="S24" s="774"/>
      <c r="T24" s="773"/>
      <c r="U24" s="774"/>
      <c r="V24" s="773"/>
      <c r="W24" s="774"/>
      <c r="X24" s="1815"/>
      <c r="Y24" s="3194"/>
      <c r="Z24" s="1816"/>
      <c r="AA24" s="1813">
        <v>1</v>
      </c>
      <c r="AB24" s="1813">
        <v>1</v>
      </c>
      <c r="AC24" s="2674">
        <v>1</v>
      </c>
    </row>
    <row r="25" spans="1:29" ht="27">
      <c r="A25" s="404"/>
      <c r="B25" s="631" t="s">
        <v>2682</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192"/>
      <c r="Q25" s="1812" t="str">
        <f>B25</f>
        <v>毗邻道路的类型与等级</v>
      </c>
      <c r="R25" s="773" t="s">
        <v>17</v>
      </c>
      <c r="S25" s="774">
        <f>F25</f>
        <v>100</v>
      </c>
      <c r="T25" s="773" t="s">
        <v>17</v>
      </c>
      <c r="U25" s="774">
        <f>H25</f>
        <v>100</v>
      </c>
      <c r="V25" s="773" t="s">
        <v>17</v>
      </c>
      <c r="W25" s="774">
        <f>J25</f>
        <v>100</v>
      </c>
      <c r="X25" s="1815"/>
      <c r="Y25" s="3194"/>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192"/>
      <c r="Q26" s="1812"/>
      <c r="R26" s="773"/>
      <c r="S26" s="774"/>
      <c r="T26" s="773"/>
      <c r="U26" s="774"/>
      <c r="V26" s="773"/>
      <c r="W26" s="774"/>
      <c r="X26" s="1815"/>
      <c r="Y26" s="3194"/>
      <c r="Z26" s="1816"/>
      <c r="AA26" s="1813">
        <v>1</v>
      </c>
      <c r="AB26" s="1813">
        <v>1</v>
      </c>
      <c r="AC26" s="267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2"/>
      <c r="Q27" s="1812" t="str">
        <f t="shared" ref="Q27:Q47" si="11">B27</f>
        <v>楼层</v>
      </c>
      <c r="R27" s="773" t="s">
        <v>17</v>
      </c>
      <c r="S27" s="774">
        <f>F27</f>
        <v>100</v>
      </c>
      <c r="T27" s="773" t="s">
        <v>17</v>
      </c>
      <c r="U27" s="774">
        <f>H27</f>
        <v>100</v>
      </c>
      <c r="V27" s="773" t="s">
        <v>17</v>
      </c>
      <c r="W27" s="774">
        <f>J27</f>
        <v>100</v>
      </c>
      <c r="X27" s="1815"/>
      <c r="Y27" s="3194"/>
      <c r="Z27" s="1816" t="str">
        <f>Q27</f>
        <v>楼层</v>
      </c>
      <c r="AA27" s="1813">
        <f t="shared" si="3"/>
        <v>1</v>
      </c>
      <c r="AB27" s="1813">
        <f t="shared" si="4"/>
        <v>1</v>
      </c>
      <c r="AC27" s="2674">
        <f t="shared" si="5"/>
        <v>1</v>
      </c>
    </row>
    <row r="28" spans="1:29" s="117" customFormat="1" ht="15">
      <c r="A28" s="431"/>
      <c r="B28" s="631" t="s">
        <v>2683</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92"/>
      <c r="Q28" s="1797" t="str">
        <f t="shared" si="11"/>
        <v>朝向</v>
      </c>
      <c r="R28" s="769" t="s">
        <v>17</v>
      </c>
      <c r="S28" s="770">
        <f>F28</f>
        <v>100</v>
      </c>
      <c r="T28" s="769" t="s">
        <v>17</v>
      </c>
      <c r="U28" s="770">
        <f>H28</f>
        <v>100</v>
      </c>
      <c r="V28" s="769" t="s">
        <v>17</v>
      </c>
      <c r="W28" s="770">
        <f>J28</f>
        <v>100</v>
      </c>
      <c r="X28" s="771"/>
      <c r="Y28" s="3194"/>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92"/>
      <c r="Q29" s="1812">
        <f t="shared" si="11"/>
        <v>111</v>
      </c>
      <c r="R29" s="773" t="s">
        <v>17</v>
      </c>
      <c r="S29" s="774">
        <f t="shared" ref="S29:S47" si="12">F29</f>
        <v>100</v>
      </c>
      <c r="T29" s="773" t="s">
        <v>17</v>
      </c>
      <c r="U29" s="774">
        <f t="shared" ref="U29:U47" si="13">H29</f>
        <v>100</v>
      </c>
      <c r="V29" s="773" t="s">
        <v>17</v>
      </c>
      <c r="W29" s="774">
        <f t="shared" ref="W29:W47" si="14">J29</f>
        <v>100</v>
      </c>
      <c r="X29" s="1815"/>
      <c r="Y29" s="3194"/>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92"/>
      <c r="Q30" s="1812">
        <f t="shared" si="11"/>
        <v>111</v>
      </c>
      <c r="R30" s="773" t="s">
        <v>17</v>
      </c>
      <c r="S30" s="774">
        <f t="shared" si="12"/>
        <v>100</v>
      </c>
      <c r="T30" s="773" t="s">
        <v>17</v>
      </c>
      <c r="U30" s="774">
        <f t="shared" si="13"/>
        <v>100</v>
      </c>
      <c r="V30" s="773" t="s">
        <v>17</v>
      </c>
      <c r="W30" s="774">
        <f t="shared" si="14"/>
        <v>100</v>
      </c>
      <c r="X30" s="1815"/>
      <c r="Y30" s="3194"/>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92"/>
      <c r="Q31" s="1812">
        <f t="shared" si="11"/>
        <v>111</v>
      </c>
      <c r="R31" s="773" t="s">
        <v>17</v>
      </c>
      <c r="S31" s="774">
        <f t="shared" si="12"/>
        <v>100</v>
      </c>
      <c r="T31" s="773" t="s">
        <v>17</v>
      </c>
      <c r="U31" s="774">
        <f t="shared" si="13"/>
        <v>100</v>
      </c>
      <c r="V31" s="773" t="s">
        <v>17</v>
      </c>
      <c r="W31" s="774">
        <f t="shared" si="14"/>
        <v>100</v>
      </c>
      <c r="X31" s="1815"/>
      <c r="Y31" s="3194"/>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92"/>
      <c r="Q32" s="1812">
        <f t="shared" si="11"/>
        <v>111</v>
      </c>
      <c r="R32" s="773" t="s">
        <v>17</v>
      </c>
      <c r="S32" s="774">
        <f t="shared" si="12"/>
        <v>100</v>
      </c>
      <c r="T32" s="773" t="s">
        <v>17</v>
      </c>
      <c r="U32" s="774">
        <f t="shared" si="13"/>
        <v>100</v>
      </c>
      <c r="V32" s="773" t="s">
        <v>17</v>
      </c>
      <c r="W32" s="774">
        <f t="shared" si="14"/>
        <v>100</v>
      </c>
      <c r="X32" s="1815"/>
      <c r="Y32" s="3194"/>
      <c r="Z32" s="1816">
        <f t="shared" si="15"/>
        <v>111</v>
      </c>
      <c r="AA32" s="1813">
        <f t="shared" si="3"/>
        <v>1</v>
      </c>
      <c r="AB32" s="1813">
        <f t="shared" si="4"/>
        <v>1</v>
      </c>
      <c r="AC32" s="2674">
        <f t="shared" si="5"/>
        <v>1</v>
      </c>
    </row>
    <row r="33" spans="1:29" ht="15">
      <c r="A33" s="440" t="s">
        <v>2554</v>
      </c>
      <c r="B33" s="71" t="s">
        <v>2684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195" t="s">
        <v>2556</v>
      </c>
      <c r="Q33" s="1812" t="str">
        <f t="shared" si="11"/>
        <v>建筑类型</v>
      </c>
      <c r="R33" s="773" t="s">
        <v>17</v>
      </c>
      <c r="S33" s="774">
        <f t="shared" si="12"/>
        <v>100</v>
      </c>
      <c r="T33" s="773" t="s">
        <v>17</v>
      </c>
      <c r="U33" s="774">
        <f t="shared" si="13"/>
        <v>100</v>
      </c>
      <c r="V33" s="773" t="s">
        <v>17</v>
      </c>
      <c r="W33" s="774">
        <f t="shared" si="14"/>
        <v>100</v>
      </c>
      <c r="X33" s="1815"/>
      <c r="Y33" s="3198" t="s">
        <v>2556</v>
      </c>
      <c r="Z33" s="1816" t="str">
        <f t="shared" si="15"/>
        <v>建筑类型</v>
      </c>
      <c r="AA33" s="1813">
        <f t="shared" si="3"/>
        <v>1</v>
      </c>
      <c r="AB33" s="1813">
        <f t="shared" si="4"/>
        <v>1</v>
      </c>
      <c r="AC33" s="267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5" t="str">
        <f t="shared" si="11"/>
        <v>项目建筑规模</v>
      </c>
      <c r="R34" s="776" t="s">
        <v>17</v>
      </c>
      <c r="S34" s="777" t="e">
        <f t="shared" si="12"/>
        <v>#N/A</v>
      </c>
      <c r="T34" s="776" t="s">
        <v>17</v>
      </c>
      <c r="U34" s="777" t="e">
        <f t="shared" si="13"/>
        <v>#N/A</v>
      </c>
      <c r="V34" s="776" t="s">
        <v>17</v>
      </c>
      <c r="W34" s="777" t="e">
        <f t="shared" si="14"/>
        <v>#N/A</v>
      </c>
      <c r="X34" s="778"/>
      <c r="Y34" s="3198"/>
      <c r="Z34" s="779" t="str">
        <f t="shared" si="15"/>
        <v>项目建筑规模</v>
      </c>
      <c r="AA34" s="1813" t="e">
        <f t="shared" si="3"/>
        <v>#N/A</v>
      </c>
      <c r="AB34" s="1813" t="e">
        <f t="shared" si="4"/>
        <v>#N/A</v>
      </c>
      <c r="AC34" s="267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2" t="str">
        <f t="shared" si="11"/>
        <v>建筑结构</v>
      </c>
      <c r="R35" s="773" t="s">
        <v>17</v>
      </c>
      <c r="S35" s="774">
        <f t="shared" si="12"/>
        <v>100</v>
      </c>
      <c r="T35" s="773" t="s">
        <v>17</v>
      </c>
      <c r="U35" s="774">
        <f t="shared" si="13"/>
        <v>100</v>
      </c>
      <c r="V35" s="773" t="s">
        <v>17</v>
      </c>
      <c r="W35" s="774">
        <f t="shared" si="14"/>
        <v>100</v>
      </c>
      <c r="X35" s="1815"/>
      <c r="Y35" s="3198"/>
      <c r="Z35" s="1816" t="str">
        <f t="shared" si="15"/>
        <v>建筑结构</v>
      </c>
      <c r="AA35" s="1813">
        <f t="shared" si="3"/>
        <v>1</v>
      </c>
      <c r="AB35" s="1813">
        <f t="shared" si="4"/>
        <v>1</v>
      </c>
      <c r="AC35" s="267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2" t="str">
        <f t="shared" si="11"/>
        <v>公共部分装修</v>
      </c>
      <c r="R36" s="773" t="s">
        <v>17</v>
      </c>
      <c r="S36" s="774">
        <f t="shared" si="12"/>
        <v>100</v>
      </c>
      <c r="T36" s="773" t="s">
        <v>17</v>
      </c>
      <c r="U36" s="774">
        <f t="shared" si="13"/>
        <v>100</v>
      </c>
      <c r="V36" s="773" t="s">
        <v>17</v>
      </c>
      <c r="W36" s="774">
        <f t="shared" si="14"/>
        <v>100</v>
      </c>
      <c r="X36" s="1815"/>
      <c r="Y36" s="3198"/>
      <c r="Z36" s="1816" t="str">
        <f t="shared" si="15"/>
        <v>公共部分装修</v>
      </c>
      <c r="AA36" s="1813">
        <f t="shared" si="3"/>
        <v>1</v>
      </c>
      <c r="AB36" s="1813">
        <f t="shared" si="4"/>
        <v>1</v>
      </c>
      <c r="AC36" s="267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2" t="str">
        <f t="shared" si="11"/>
        <v>成新度</v>
      </c>
      <c r="R37" s="773" t="s">
        <v>17</v>
      </c>
      <c r="S37" s="774" t="e">
        <f t="shared" si="12"/>
        <v>#N/A</v>
      </c>
      <c r="T37" s="773" t="s">
        <v>17</v>
      </c>
      <c r="U37" s="774" t="e">
        <f t="shared" si="13"/>
        <v>#N/A</v>
      </c>
      <c r="V37" s="773" t="s">
        <v>17</v>
      </c>
      <c r="W37" s="774" t="e">
        <f t="shared" si="14"/>
        <v>#N/A</v>
      </c>
      <c r="X37" s="1815"/>
      <c r="Y37" s="3198"/>
      <c r="Z37" s="1816" t="str">
        <f t="shared" si="15"/>
        <v>成新度</v>
      </c>
      <c r="AA37" s="1813" t="e">
        <f t="shared" si="3"/>
        <v>#N/A</v>
      </c>
      <c r="AB37" s="1813" t="e">
        <f t="shared" si="4"/>
        <v>#N/A</v>
      </c>
      <c r="AC37" s="267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7" t="str">
        <f t="shared" si="11"/>
        <v>写字楼等级</v>
      </c>
      <c r="R38" s="769" t="s">
        <v>17</v>
      </c>
      <c r="S38" s="770">
        <f t="shared" si="12"/>
        <v>100</v>
      </c>
      <c r="T38" s="769" t="s">
        <v>17</v>
      </c>
      <c r="U38" s="770">
        <f t="shared" si="13"/>
        <v>100</v>
      </c>
      <c r="V38" s="769" t="s">
        <v>17</v>
      </c>
      <c r="W38" s="770">
        <f t="shared" si="14"/>
        <v>100</v>
      </c>
      <c r="X38" s="771"/>
      <c r="Y38" s="3198"/>
      <c r="Z38" s="55" t="str">
        <f t="shared" si="15"/>
        <v>写字楼等级</v>
      </c>
      <c r="AA38" s="772">
        <f t="shared" si="3"/>
        <v>1</v>
      </c>
      <c r="AB38" s="772">
        <f t="shared" si="4"/>
        <v>1</v>
      </c>
      <c r="AC38" s="267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2556</v>
      </c>
      <c r="Q39" s="1812" t="str">
        <f t="shared" si="11"/>
        <v>物业管理</v>
      </c>
      <c r="R39" s="773" t="s">
        <v>17</v>
      </c>
      <c r="S39" s="774">
        <f t="shared" si="12"/>
        <v>100</v>
      </c>
      <c r="T39" s="773" t="s">
        <v>17</v>
      </c>
      <c r="U39" s="774">
        <f t="shared" si="13"/>
        <v>100</v>
      </c>
      <c r="V39" s="773" t="s">
        <v>17</v>
      </c>
      <c r="W39" s="774">
        <f t="shared" si="14"/>
        <v>100</v>
      </c>
      <c r="X39" s="1815"/>
      <c r="Y39" s="3198" t="s">
        <v>2556</v>
      </c>
      <c r="Z39" s="1816" t="str">
        <f t="shared" si="15"/>
        <v>物业管理</v>
      </c>
      <c r="AA39" s="1813">
        <f t="shared" si="3"/>
        <v>1</v>
      </c>
      <c r="AB39" s="1813">
        <f t="shared" si="4"/>
        <v>1</v>
      </c>
      <c r="AC39" s="267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2" t="str">
        <f t="shared" si="11"/>
        <v>市政基础设施</v>
      </c>
      <c r="R40" s="773" t="s">
        <v>17</v>
      </c>
      <c r="S40" s="774">
        <f t="shared" si="12"/>
        <v>100</v>
      </c>
      <c r="T40" s="773" t="s">
        <v>17</v>
      </c>
      <c r="U40" s="774">
        <f t="shared" si="13"/>
        <v>100</v>
      </c>
      <c r="V40" s="773" t="s">
        <v>17</v>
      </c>
      <c r="W40" s="774">
        <f t="shared" si="14"/>
        <v>100</v>
      </c>
      <c r="X40" s="1815"/>
      <c r="Y40" s="3198"/>
      <c r="Z40" s="1816" t="str">
        <f t="shared" si="15"/>
        <v>市政基础设施</v>
      </c>
      <c r="AA40" s="1813">
        <f t="shared" si="3"/>
        <v>1</v>
      </c>
      <c r="AB40" s="1813">
        <f t="shared" si="4"/>
        <v>1</v>
      </c>
      <c r="AC40" s="267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2" t="str">
        <f t="shared" si="11"/>
        <v>层高</v>
      </c>
      <c r="R41" s="773" t="s">
        <v>17</v>
      </c>
      <c r="S41" s="774">
        <f t="shared" si="12"/>
        <v>100</v>
      </c>
      <c r="T41" s="773" t="s">
        <v>17</v>
      </c>
      <c r="U41" s="774">
        <f t="shared" si="13"/>
        <v>100</v>
      </c>
      <c r="V41" s="773" t="s">
        <v>17</v>
      </c>
      <c r="W41" s="774">
        <f t="shared" si="14"/>
        <v>100</v>
      </c>
      <c r="X41" s="1815"/>
      <c r="Y41" s="3198"/>
      <c r="Z41" s="1816" t="str">
        <f t="shared" si="15"/>
        <v>层高</v>
      </c>
      <c r="AA41" s="1813">
        <f t="shared" si="3"/>
        <v>1</v>
      </c>
      <c r="AB41" s="1813">
        <f t="shared" si="4"/>
        <v>1</v>
      </c>
      <c r="AC41" s="2674">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5" t="str">
        <f t="shared" si="11"/>
        <v>单套建筑面积</v>
      </c>
      <c r="R42" s="776" t="s">
        <v>17</v>
      </c>
      <c r="S42" s="777">
        <f t="shared" si="12"/>
        <v>100</v>
      </c>
      <c r="T42" s="776" t="s">
        <v>17</v>
      </c>
      <c r="U42" s="777">
        <f t="shared" si="13"/>
        <v>100</v>
      </c>
      <c r="V42" s="776" t="s">
        <v>17</v>
      </c>
      <c r="W42" s="777">
        <f t="shared" si="14"/>
        <v>100</v>
      </c>
      <c r="X42" s="778"/>
      <c r="Y42" s="3198"/>
      <c r="Z42" s="779" t="str">
        <f t="shared" si="15"/>
        <v>单套建筑面积</v>
      </c>
      <c r="AA42" s="1813">
        <f t="shared" si="3"/>
        <v>1</v>
      </c>
      <c r="AB42" s="1813">
        <f t="shared" si="4"/>
        <v>1</v>
      </c>
      <c r="AC42" s="267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2" t="str">
        <f t="shared" si="11"/>
        <v>内部装修</v>
      </c>
      <c r="R43" s="773" t="s">
        <v>17</v>
      </c>
      <c r="S43" s="774">
        <f t="shared" si="12"/>
        <v>100</v>
      </c>
      <c r="T43" s="773" t="s">
        <v>17</v>
      </c>
      <c r="U43" s="774">
        <f t="shared" si="13"/>
        <v>100</v>
      </c>
      <c r="V43" s="773" t="s">
        <v>17</v>
      </c>
      <c r="W43" s="774">
        <f t="shared" si="14"/>
        <v>100</v>
      </c>
      <c r="X43" s="1815"/>
      <c r="Y43" s="3198"/>
      <c r="Z43" s="1816" t="str">
        <f t="shared" si="15"/>
        <v>内部装修</v>
      </c>
      <c r="AA43" s="1813">
        <f t="shared" si="3"/>
        <v>1</v>
      </c>
      <c r="AB43" s="1813">
        <f t="shared" si="4"/>
        <v>1</v>
      </c>
      <c r="AC43" s="2674">
        <f t="shared" si="5"/>
        <v>1</v>
      </c>
    </row>
    <row r="44" spans="1:29" ht="15">
      <c r="A44" s="472"/>
      <c r="B44" s="422" t="s">
        <v>2567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196"/>
      <c r="Q44" s="1812" t="str">
        <f t="shared" si="11"/>
        <v>内部装修维护情况</v>
      </c>
      <c r="R44" s="773" t="s">
        <v>17</v>
      </c>
      <c r="S44" s="774">
        <f t="shared" si="12"/>
        <v>100</v>
      </c>
      <c r="T44" s="773" t="s">
        <v>17</v>
      </c>
      <c r="U44" s="774">
        <f t="shared" si="13"/>
        <v>100</v>
      </c>
      <c r="V44" s="773" t="s">
        <v>17</v>
      </c>
      <c r="W44" s="774">
        <f t="shared" si="14"/>
        <v>100</v>
      </c>
      <c r="X44" s="1815"/>
      <c r="Y44" s="319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7">
        <f t="shared" si="11"/>
        <v>111</v>
      </c>
      <c r="R45" s="769" t="s">
        <v>17</v>
      </c>
      <c r="S45" s="770">
        <f t="shared" si="12"/>
        <v>100</v>
      </c>
      <c r="T45" s="769" t="s">
        <v>17</v>
      </c>
      <c r="U45" s="770">
        <f t="shared" si="13"/>
        <v>100</v>
      </c>
      <c r="V45" s="769" t="s">
        <v>17</v>
      </c>
      <c r="W45" s="770">
        <f t="shared" si="14"/>
        <v>100</v>
      </c>
      <c r="X45" s="771"/>
      <c r="Y45" s="3198"/>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2">
        <f t="shared" si="11"/>
        <v>111</v>
      </c>
      <c r="R46" s="773" t="s">
        <v>17</v>
      </c>
      <c r="S46" s="774">
        <f t="shared" si="12"/>
        <v>100</v>
      </c>
      <c r="T46" s="773" t="s">
        <v>17</v>
      </c>
      <c r="U46" s="774">
        <f t="shared" si="13"/>
        <v>100</v>
      </c>
      <c r="V46" s="773" t="s">
        <v>17</v>
      </c>
      <c r="W46" s="774">
        <f t="shared" si="14"/>
        <v>100</v>
      </c>
      <c r="X46" s="1815"/>
      <c r="Y46" s="319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2">
        <f t="shared" si="11"/>
        <v>111</v>
      </c>
      <c r="R47" s="773" t="s">
        <v>17</v>
      </c>
      <c r="S47" s="774">
        <f t="shared" si="12"/>
        <v>100</v>
      </c>
      <c r="T47" s="773" t="s">
        <v>17</v>
      </c>
      <c r="U47" s="774">
        <f t="shared" si="13"/>
        <v>100</v>
      </c>
      <c r="V47" s="773" t="s">
        <v>17</v>
      </c>
      <c r="W47" s="774">
        <f t="shared" si="14"/>
        <v>100</v>
      </c>
      <c r="X47" s="1815"/>
      <c r="Y47" s="3199"/>
      <c r="Z47" s="1816">
        <f t="shared" si="15"/>
        <v>111</v>
      </c>
      <c r="AA47" s="1813">
        <f t="shared" si="3"/>
        <v>1</v>
      </c>
      <c r="AB47" s="1813">
        <f t="shared" si="4"/>
        <v>1</v>
      </c>
      <c r="AC47" s="2674">
        <f t="shared" si="5"/>
        <v>1</v>
      </c>
    </row>
    <row r="48" spans="1:29" ht="15">
      <c r="A48" s="479" t="s">
        <v>2568</v>
      </c>
      <c r="B48" s="480"/>
      <c r="C48" s="1409" t="s">
        <v>1</v>
      </c>
      <c r="D48" s="1410"/>
      <c r="E48" s="1411"/>
      <c r="F48" s="1412"/>
      <c r="G48" s="1413"/>
      <c r="H48" s="1414"/>
      <c r="I48" s="1411"/>
      <c r="J48" s="485"/>
      <c r="K48" s="782"/>
      <c r="L48" s="1145"/>
      <c r="M48" s="1133"/>
      <c r="N48" s="1133"/>
      <c r="O48" s="1133"/>
      <c r="P48" s="3177" t="str">
        <f>A48</f>
        <v>成交单价（元/平方米）</v>
      </c>
      <c r="Q48" s="3200"/>
      <c r="R48" s="3201">
        <f>E48</f>
        <v>0</v>
      </c>
      <c r="S48" s="3201"/>
      <c r="T48" s="3201">
        <f>G48</f>
        <v>0</v>
      </c>
      <c r="U48" s="3201"/>
      <c r="V48" s="3201">
        <f>I48</f>
        <v>0</v>
      </c>
      <c r="W48" s="3201"/>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77"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57" t="str">
        <f>A50</f>
        <v>估价对象XX用房的比较价值（楼面单价，元/平方米）</v>
      </c>
      <c r="Q50" s="3258"/>
      <c r="R50" s="3259" t="e">
        <f>IF(F1="售价",ROUND(AVERAGE(R49:V49),0),ROUND(AVERAGE(R49:V49),1))</f>
        <v>#DIV/0!</v>
      </c>
      <c r="S50" s="3259"/>
      <c r="T50" s="3259"/>
      <c r="U50" s="3259"/>
      <c r="V50" s="3259"/>
      <c r="W50" s="325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1"/>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2576</v>
      </c>
      <c r="B61" s="516"/>
      <c r="C61" s="517"/>
      <c r="D61" s="518"/>
      <c r="E61" s="518"/>
      <c r="F61" s="518"/>
      <c r="G61" s="518"/>
      <c r="H61" s="518"/>
      <c r="I61" s="518"/>
      <c r="J61" s="518"/>
      <c r="K61" s="518"/>
      <c r="L61" s="518"/>
      <c r="M61" s="519"/>
      <c r="N61" s="518"/>
      <c r="O61" s="519"/>
      <c r="P61" s="2682"/>
      <c r="Q61" s="504"/>
    </row>
    <row r="62" spans="1:29" s="117" customFormat="1" ht="15">
      <c r="A62" s="521" t="s">
        <v>2541</v>
      </c>
      <c r="B62" s="510"/>
      <c r="C62" s="522" t="s">
        <v>2643</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2579</v>
      </c>
      <c r="B64" s="528" t="s">
        <v>2545</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2690</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2554</v>
      </c>
      <c r="B101" s="528" t="s">
        <v>2603</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2605</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2607</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2608</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2609</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2692</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2611</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2693</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6"/>
      <c r="D2" s="1126"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32.75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9" t="s">
        <v>2694</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2551</v>
      </c>
      <c r="Q15" s="1812" t="str">
        <f t="shared" si="6"/>
        <v>产业集聚程度</v>
      </c>
      <c r="R15" s="773" t="s">
        <v>17</v>
      </c>
      <c r="S15" s="774">
        <f t="shared" si="0"/>
        <v>100</v>
      </c>
      <c r="T15" s="773" t="s">
        <v>17</v>
      </c>
      <c r="U15" s="774">
        <f t="shared" si="1"/>
        <v>100</v>
      </c>
      <c r="V15" s="773" t="s">
        <v>17</v>
      </c>
      <c r="W15" s="774">
        <f t="shared" si="2"/>
        <v>100</v>
      </c>
      <c r="X15" s="1815"/>
      <c r="Y15" s="3193"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451" t="s">
        <v>2679</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194"/>
      <c r="Q20" s="1812"/>
      <c r="R20" s="773"/>
      <c r="S20" s="774"/>
      <c r="T20" s="773"/>
      <c r="U20" s="774"/>
      <c r="V20" s="773"/>
      <c r="W20" s="774"/>
      <c r="X20" s="1815"/>
      <c r="Y20" s="3194"/>
      <c r="Z20" s="1816"/>
      <c r="AA20" s="1813">
        <v>1</v>
      </c>
      <c r="AB20" s="1813">
        <v>1</v>
      </c>
      <c r="AC20" s="1813">
        <v>1</v>
      </c>
    </row>
    <row r="21" spans="1:29" ht="15">
      <c r="A21" s="428"/>
      <c r="B21" s="1386" t="s">
        <v>2680</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194"/>
      <c r="Q22" s="1812"/>
      <c r="R22" s="773"/>
      <c r="S22" s="774"/>
      <c r="T22" s="773"/>
      <c r="U22" s="774"/>
      <c r="V22" s="773"/>
      <c r="W22" s="774"/>
      <c r="X22" s="1815"/>
      <c r="Y22" s="3194"/>
      <c r="Z22" s="1816"/>
      <c r="AA22" s="1813">
        <v>1</v>
      </c>
      <c r="AB22" s="1813">
        <v>1</v>
      </c>
      <c r="AC22" s="1813">
        <v>1</v>
      </c>
    </row>
    <row r="23" spans="1:29" ht="15">
      <c r="A23" s="428"/>
      <c r="B23" s="451" t="s">
        <v>2681</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2" t="str">
        <f>B23</f>
        <v>环境质量</v>
      </c>
      <c r="R23" s="773" t="s">
        <v>17</v>
      </c>
      <c r="S23" s="774">
        <f>F23</f>
        <v>100</v>
      </c>
      <c r="T23" s="773" t="s">
        <v>17</v>
      </c>
      <c r="U23" s="774">
        <f>H23</f>
        <v>100</v>
      </c>
      <c r="V23" s="773" t="s">
        <v>17</v>
      </c>
      <c r="W23" s="774">
        <f>J23</f>
        <v>100</v>
      </c>
      <c r="X23" s="1815"/>
      <c r="Y23" s="3194"/>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194"/>
      <c r="Q24" s="1812"/>
      <c r="R24" s="773"/>
      <c r="S24" s="774"/>
      <c r="T24" s="773"/>
      <c r="U24" s="774"/>
      <c r="V24" s="773"/>
      <c r="W24" s="774"/>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2">
        <f>B25</f>
        <v>111</v>
      </c>
      <c r="R25" s="773" t="s">
        <v>17</v>
      </c>
      <c r="S25" s="774">
        <f>F25</f>
        <v>100</v>
      </c>
      <c r="T25" s="773" t="s">
        <v>17</v>
      </c>
      <c r="U25" s="774">
        <f>H25</f>
        <v>100</v>
      </c>
      <c r="V25" s="773" t="s">
        <v>17</v>
      </c>
      <c r="W25" s="774">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2">
        <f t="shared" ref="Q26:Q40" si="11">B26</f>
        <v>111</v>
      </c>
      <c r="R26" s="773" t="s">
        <v>17</v>
      </c>
      <c r="S26" s="774">
        <f>F26</f>
        <v>100</v>
      </c>
      <c r="T26" s="773" t="s">
        <v>17</v>
      </c>
      <c r="U26" s="774">
        <f>H26</f>
        <v>100</v>
      </c>
      <c r="V26" s="773" t="s">
        <v>17</v>
      </c>
      <c r="W26" s="774">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7">
        <f t="shared" si="11"/>
        <v>111</v>
      </c>
      <c r="R27" s="769" t="s">
        <v>17</v>
      </c>
      <c r="S27" s="770">
        <f>F27</f>
        <v>100</v>
      </c>
      <c r="T27" s="769" t="s">
        <v>17</v>
      </c>
      <c r="U27" s="770">
        <f>H27</f>
        <v>100</v>
      </c>
      <c r="V27" s="769" t="s">
        <v>17</v>
      </c>
      <c r="W27" s="770">
        <f>J27</f>
        <v>100</v>
      </c>
      <c r="X27" s="771"/>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2">
        <f t="shared" si="11"/>
        <v>111</v>
      </c>
      <c r="R28" s="773" t="s">
        <v>17</v>
      </c>
      <c r="S28" s="774">
        <f t="shared" ref="S28:S40" si="12">F28</f>
        <v>100</v>
      </c>
      <c r="T28" s="773" t="s">
        <v>17</v>
      </c>
      <c r="U28" s="774">
        <f t="shared" ref="U28:U40" si="13">H28</f>
        <v>100</v>
      </c>
      <c r="V28" s="773" t="s">
        <v>17</v>
      </c>
      <c r="W28" s="774">
        <f t="shared" ref="W28:W40" si="14">J28</f>
        <v>100</v>
      </c>
      <c r="X28" s="1815"/>
      <c r="Y28" s="3194"/>
      <c r="Z28" s="1816">
        <f t="shared" ref="Z28:Z40" si="15">Q28</f>
        <v>111</v>
      </c>
      <c r="AA28" s="1813">
        <f t="shared" si="3"/>
        <v>1</v>
      </c>
      <c r="AB28" s="1813">
        <f t="shared" si="4"/>
        <v>1</v>
      </c>
      <c r="AC28" s="1813">
        <f t="shared" si="5"/>
        <v>1</v>
      </c>
    </row>
    <row r="29" spans="1:29" ht="15">
      <c r="A29" s="466" t="s">
        <v>2554</v>
      </c>
      <c r="B29" s="71" t="s">
        <v>2684</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0" t="s">
        <v>2556</v>
      </c>
      <c r="Q29" s="1812" t="str">
        <f t="shared" si="11"/>
        <v>建筑类型</v>
      </c>
      <c r="R29" s="773" t="s">
        <v>17</v>
      </c>
      <c r="S29" s="774">
        <f t="shared" si="12"/>
        <v>100</v>
      </c>
      <c r="T29" s="773" t="s">
        <v>17</v>
      </c>
      <c r="U29" s="774">
        <f t="shared" si="13"/>
        <v>100</v>
      </c>
      <c r="V29" s="773" t="s">
        <v>17</v>
      </c>
      <c r="W29" s="774">
        <f t="shared" si="14"/>
        <v>100</v>
      </c>
      <c r="X29" s="1815"/>
      <c r="Y29" s="3198"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5" t="str">
        <f t="shared" si="11"/>
        <v>项目建筑规模</v>
      </c>
      <c r="R30" s="776" t="s">
        <v>17</v>
      </c>
      <c r="S30" s="777" t="e">
        <f t="shared" si="12"/>
        <v>#N/A</v>
      </c>
      <c r="T30" s="776" t="s">
        <v>17</v>
      </c>
      <c r="U30" s="777" t="e">
        <f t="shared" si="13"/>
        <v>#N/A</v>
      </c>
      <c r="V30" s="776" t="s">
        <v>17</v>
      </c>
      <c r="W30" s="777" t="e">
        <f t="shared" si="14"/>
        <v>#N/A</v>
      </c>
      <c r="X30" s="778"/>
      <c r="Y30" s="3198"/>
      <c r="Z30" s="779"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2" t="str">
        <f t="shared" si="11"/>
        <v>建筑结构</v>
      </c>
      <c r="R31" s="773" t="s">
        <v>17</v>
      </c>
      <c r="S31" s="774">
        <f t="shared" si="12"/>
        <v>100</v>
      </c>
      <c r="T31" s="773" t="s">
        <v>17</v>
      </c>
      <c r="U31" s="774">
        <f t="shared" si="13"/>
        <v>100</v>
      </c>
      <c r="V31" s="773" t="s">
        <v>17</v>
      </c>
      <c r="W31" s="774">
        <f t="shared" si="14"/>
        <v>100</v>
      </c>
      <c r="X31" s="1815"/>
      <c r="Y31" s="3198"/>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2" t="str">
        <f t="shared" si="11"/>
        <v>公共部分装修</v>
      </c>
      <c r="R32" s="773" t="s">
        <v>17</v>
      </c>
      <c r="S32" s="774">
        <f t="shared" si="12"/>
        <v>100</v>
      </c>
      <c r="T32" s="773" t="s">
        <v>17</v>
      </c>
      <c r="U32" s="774">
        <f t="shared" si="13"/>
        <v>100</v>
      </c>
      <c r="V32" s="773" t="s">
        <v>17</v>
      </c>
      <c r="W32" s="774">
        <f t="shared" si="14"/>
        <v>100</v>
      </c>
      <c r="X32" s="1815"/>
      <c r="Y32" s="3198"/>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2" t="str">
        <f t="shared" si="11"/>
        <v>成新度</v>
      </c>
      <c r="R33" s="773" t="s">
        <v>17</v>
      </c>
      <c r="S33" s="774" t="e">
        <f t="shared" si="12"/>
        <v>#N/A</v>
      </c>
      <c r="T33" s="773" t="s">
        <v>17</v>
      </c>
      <c r="U33" s="774" t="e">
        <f t="shared" si="13"/>
        <v>#N/A</v>
      </c>
      <c r="V33" s="773" t="s">
        <v>17</v>
      </c>
      <c r="W33" s="774"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7" t="str">
        <f t="shared" si="11"/>
        <v>物业管理</v>
      </c>
      <c r="R34" s="769" t="s">
        <v>17</v>
      </c>
      <c r="S34" s="770">
        <f t="shared" si="12"/>
        <v>100</v>
      </c>
      <c r="T34" s="769" t="s">
        <v>17</v>
      </c>
      <c r="U34" s="770">
        <f t="shared" si="13"/>
        <v>100</v>
      </c>
      <c r="V34" s="769" t="s">
        <v>17</v>
      </c>
      <c r="W34" s="770">
        <f t="shared" si="14"/>
        <v>100</v>
      </c>
      <c r="X34" s="771"/>
      <c r="Y34" s="3198"/>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2556</v>
      </c>
      <c r="Q35" s="1812" t="str">
        <f t="shared" si="11"/>
        <v>市政基础设施</v>
      </c>
      <c r="R35" s="773" t="s">
        <v>17</v>
      </c>
      <c r="S35" s="774">
        <f t="shared" si="12"/>
        <v>100</v>
      </c>
      <c r="T35" s="773" t="s">
        <v>17</v>
      </c>
      <c r="U35" s="774">
        <f t="shared" si="13"/>
        <v>100</v>
      </c>
      <c r="V35" s="773" t="s">
        <v>17</v>
      </c>
      <c r="W35" s="774">
        <f t="shared" si="14"/>
        <v>100</v>
      </c>
      <c r="X35" s="1815"/>
      <c r="Y35" s="3198"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2" t="str">
        <f t="shared" si="11"/>
        <v>内部装修</v>
      </c>
      <c r="R36" s="773" t="s">
        <v>17</v>
      </c>
      <c r="S36" s="774">
        <f t="shared" si="12"/>
        <v>100</v>
      </c>
      <c r="T36" s="773" t="s">
        <v>17</v>
      </c>
      <c r="U36" s="774">
        <f t="shared" si="13"/>
        <v>100</v>
      </c>
      <c r="V36" s="773" t="s">
        <v>17</v>
      </c>
      <c r="W36" s="774">
        <f t="shared" si="14"/>
        <v>100</v>
      </c>
      <c r="X36" s="1815"/>
      <c r="Y36" s="3198"/>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2" t="str">
        <f t="shared" si="11"/>
        <v>内部装修状况</v>
      </c>
      <c r="R37" s="773" t="s">
        <v>17</v>
      </c>
      <c r="S37" s="774">
        <f t="shared" si="12"/>
        <v>100</v>
      </c>
      <c r="T37" s="773" t="s">
        <v>17</v>
      </c>
      <c r="U37" s="774">
        <f t="shared" si="13"/>
        <v>100</v>
      </c>
      <c r="V37" s="773" t="s">
        <v>17</v>
      </c>
      <c r="W37" s="774">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5">
        <f t="shared" si="11"/>
        <v>111</v>
      </c>
      <c r="R38" s="776" t="s">
        <v>17</v>
      </c>
      <c r="S38" s="777">
        <f t="shared" si="12"/>
        <v>100</v>
      </c>
      <c r="T38" s="776" t="s">
        <v>17</v>
      </c>
      <c r="U38" s="777">
        <f t="shared" si="13"/>
        <v>100</v>
      </c>
      <c r="V38" s="776" t="s">
        <v>17</v>
      </c>
      <c r="W38" s="777">
        <f t="shared" si="14"/>
        <v>100</v>
      </c>
      <c r="X38" s="778"/>
      <c r="Y38" s="319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2">
        <f t="shared" si="11"/>
        <v>111</v>
      </c>
      <c r="R39" s="773" t="s">
        <v>17</v>
      </c>
      <c r="S39" s="774">
        <f t="shared" si="12"/>
        <v>100</v>
      </c>
      <c r="T39" s="773" t="s">
        <v>17</v>
      </c>
      <c r="U39" s="774">
        <f t="shared" si="13"/>
        <v>100</v>
      </c>
      <c r="V39" s="773" t="s">
        <v>17</v>
      </c>
      <c r="W39" s="774">
        <f t="shared" si="14"/>
        <v>100</v>
      </c>
      <c r="X39" s="1815"/>
      <c r="Y39" s="319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2">
        <f t="shared" si="11"/>
        <v>111</v>
      </c>
      <c r="R40" s="773" t="s">
        <v>17</v>
      </c>
      <c r="S40" s="774">
        <f t="shared" si="12"/>
        <v>100</v>
      </c>
      <c r="T40" s="773" t="s">
        <v>17</v>
      </c>
      <c r="U40" s="774">
        <f t="shared" si="13"/>
        <v>100</v>
      </c>
      <c r="V40" s="773" t="s">
        <v>17</v>
      </c>
      <c r="W40" s="774">
        <f t="shared" si="14"/>
        <v>100</v>
      </c>
      <c r="X40" s="1815"/>
      <c r="Y40" s="3199"/>
      <c r="Z40" s="1816">
        <f t="shared" si="15"/>
        <v>111</v>
      </c>
      <c r="AA40" s="1813">
        <f t="shared" si="3"/>
        <v>1</v>
      </c>
      <c r="AB40" s="1813">
        <f t="shared" si="4"/>
        <v>1</v>
      </c>
      <c r="AC40" s="1813">
        <f t="shared" si="5"/>
        <v>1</v>
      </c>
    </row>
    <row r="41" spans="1:29" ht="15">
      <c r="A41" s="479" t="s">
        <v>2568</v>
      </c>
      <c r="B41" s="480"/>
      <c r="C41" s="1409" t="s">
        <v>1</v>
      </c>
      <c r="D41" s="1410"/>
      <c r="E41" s="1411"/>
      <c r="F41" s="1412"/>
      <c r="G41" s="1413"/>
      <c r="H41" s="1414"/>
      <c r="I41" s="1411"/>
      <c r="J41" s="1414"/>
      <c r="K41" s="782"/>
      <c r="L41" s="1145"/>
      <c r="M41" s="1146"/>
      <c r="N41" s="1133"/>
      <c r="O41" s="1146"/>
      <c r="P41" s="3200" t="str">
        <f>A41</f>
        <v>成交单价（元/平方米）</v>
      </c>
      <c r="Q41" s="3200"/>
      <c r="R41" s="3201">
        <f>E41</f>
        <v>0</v>
      </c>
      <c r="S41" s="3201"/>
      <c r="T41" s="3201">
        <f>G41</f>
        <v>0</v>
      </c>
      <c r="U41" s="3201"/>
      <c r="V41" s="3201">
        <f>I41</f>
        <v>0</v>
      </c>
      <c r="W41" s="3201"/>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202" t="str">
        <f>A43</f>
        <v>估价对象XX用房的比较价值（楼面单价，元/平方米）</v>
      </c>
      <c r="Q43" s="3203"/>
      <c r="R43" s="3204" t="e">
        <f>IF(F1="售价",ROUND(AVERAGE(R42:V42),0),ROUND(AVERAGE(R42:V42),1))</f>
        <v>#DIV/0!</v>
      </c>
      <c r="S43" s="3204"/>
      <c r="T43" s="3204"/>
      <c r="U43" s="3204"/>
      <c r="V43" s="3204"/>
      <c r="W43" s="320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4"/>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3" t="s">
        <v>2540</v>
      </c>
      <c r="Q7" s="3190"/>
      <c r="R7" s="769" t="s">
        <v>17</v>
      </c>
      <c r="S7" s="770">
        <f t="shared" ref="S7:S14" si="0">F7</f>
        <v>0</v>
      </c>
      <c r="T7" s="769" t="s">
        <v>17</v>
      </c>
      <c r="U7" s="770">
        <f t="shared" ref="U7:U14" si="1">H7</f>
        <v>0</v>
      </c>
      <c r="V7" s="769" t="s">
        <v>17</v>
      </c>
      <c r="W7" s="770">
        <f t="shared" ref="W7:W14" si="2">J7</f>
        <v>0</v>
      </c>
      <c r="X7" s="771"/>
      <c r="Y7" s="3163" t="s">
        <v>2540</v>
      </c>
      <c r="Z7" s="316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0" t="s">
        <v>2546</v>
      </c>
      <c r="Q9" s="179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0"/>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01" t="s">
        <v>2550</v>
      </c>
      <c r="B14" s="629" t="s">
        <v>2700</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2551</v>
      </c>
      <c r="Q14" s="1812" t="str">
        <f t="shared" si="6"/>
        <v>交通便捷度</v>
      </c>
      <c r="R14" s="773" t="s">
        <v>17</v>
      </c>
      <c r="S14" s="774">
        <f t="shared" si="0"/>
        <v>100</v>
      </c>
      <c r="T14" s="773" t="s">
        <v>17</v>
      </c>
      <c r="U14" s="774">
        <f t="shared" si="1"/>
        <v>100</v>
      </c>
      <c r="V14" s="773" t="s">
        <v>17</v>
      </c>
      <c r="W14" s="774">
        <f t="shared" si="2"/>
        <v>100</v>
      </c>
      <c r="X14" s="1815"/>
      <c r="Y14" s="3193"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4"/>
      <c r="Q15" s="1812"/>
      <c r="R15" s="773"/>
      <c r="S15" s="774"/>
      <c r="T15" s="773"/>
      <c r="U15" s="774"/>
      <c r="V15" s="773"/>
      <c r="W15" s="774"/>
      <c r="X15" s="1815"/>
      <c r="Y15" s="3194"/>
      <c r="Z15" s="1816"/>
      <c r="AA15" s="1813">
        <v>1</v>
      </c>
      <c r="AB15" s="1813">
        <v>1</v>
      </c>
      <c r="AC15" s="1813">
        <v>1</v>
      </c>
    </row>
    <row r="16" spans="1:29" ht="15">
      <c r="A16" s="404"/>
      <c r="B16" s="631" t="s">
        <v>2679</v>
      </c>
      <c r="C16" s="2607"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2" t="str">
        <f>B16</f>
        <v>公共配套设施</v>
      </c>
      <c r="R16" s="773" t="s">
        <v>17</v>
      </c>
      <c r="S16" s="774">
        <f>F16</f>
        <v>100</v>
      </c>
      <c r="T16" s="773" t="s">
        <v>17</v>
      </c>
      <c r="U16" s="774">
        <f>H16</f>
        <v>100</v>
      </c>
      <c r="V16" s="773" t="s">
        <v>17</v>
      </c>
      <c r="W16" s="774">
        <f>J16</f>
        <v>100</v>
      </c>
      <c r="X16" s="1815"/>
      <c r="Y16" s="319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194"/>
      <c r="Q17" s="1812"/>
      <c r="R17" s="773"/>
      <c r="S17" s="774"/>
      <c r="T17" s="773"/>
      <c r="U17" s="774"/>
      <c r="V17" s="773"/>
      <c r="W17" s="774"/>
      <c r="X17" s="1815"/>
      <c r="Y17" s="3194"/>
      <c r="Z17" s="1816"/>
      <c r="AA17" s="1813">
        <v>1</v>
      </c>
      <c r="AB17" s="1813">
        <v>1</v>
      </c>
      <c r="AC17" s="1813">
        <v>1</v>
      </c>
    </row>
    <row r="18" spans="1:29" ht="15">
      <c r="A18" s="404"/>
      <c r="B18" s="633" t="s">
        <v>2680</v>
      </c>
      <c r="C18" s="2607"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2" t="str">
        <f>B18</f>
        <v>基础设施水平</v>
      </c>
      <c r="R18" s="773" t="s">
        <v>17</v>
      </c>
      <c r="S18" s="774">
        <f>F18</f>
        <v>100</v>
      </c>
      <c r="T18" s="773" t="s">
        <v>17</v>
      </c>
      <c r="U18" s="774">
        <f>H18</f>
        <v>100</v>
      </c>
      <c r="V18" s="773" t="s">
        <v>17</v>
      </c>
      <c r="W18" s="774">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194"/>
      <c r="Q19" s="1812"/>
      <c r="R19" s="773"/>
      <c r="S19" s="774"/>
      <c r="T19" s="773"/>
      <c r="U19" s="774"/>
      <c r="V19" s="773"/>
      <c r="W19" s="774"/>
      <c r="X19" s="1815"/>
      <c r="Y19" s="3194"/>
      <c r="Z19" s="1816"/>
      <c r="AA19" s="1813">
        <v>1</v>
      </c>
      <c r="AB19" s="1813">
        <v>1</v>
      </c>
      <c r="AC19" s="1813">
        <v>1</v>
      </c>
    </row>
    <row r="20" spans="1:29" ht="15">
      <c r="A20" s="404"/>
      <c r="B20" s="631" t="s">
        <v>2701</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2" t="str">
        <f>B20</f>
        <v>自然及人文环境</v>
      </c>
      <c r="R20" s="773" t="s">
        <v>17</v>
      </c>
      <c r="S20" s="774">
        <f>F20</f>
        <v>100</v>
      </c>
      <c r="T20" s="773" t="s">
        <v>17</v>
      </c>
      <c r="U20" s="774">
        <f>H20</f>
        <v>100</v>
      </c>
      <c r="V20" s="773" t="s">
        <v>17</v>
      </c>
      <c r="W20" s="774">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4"/>
      <c r="Q21" s="1812"/>
      <c r="R21" s="773"/>
      <c r="S21" s="774"/>
      <c r="T21" s="773"/>
      <c r="U21" s="774"/>
      <c r="V21" s="773"/>
      <c r="W21" s="774"/>
      <c r="X21" s="1815"/>
      <c r="Y21" s="3194"/>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2" t="str">
        <f>B22</f>
        <v>楼层</v>
      </c>
      <c r="R22" s="773" t="s">
        <v>17</v>
      </c>
      <c r="S22" s="774">
        <f>F22</f>
        <v>100</v>
      </c>
      <c r="T22" s="773" t="s">
        <v>17</v>
      </c>
      <c r="U22" s="774">
        <f>H22</f>
        <v>100</v>
      </c>
      <c r="V22" s="773" t="s">
        <v>17</v>
      </c>
      <c r="W22" s="774">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2">
        <f>B23</f>
        <v>111</v>
      </c>
      <c r="R23" s="773" t="s">
        <v>17</v>
      </c>
      <c r="S23" s="774">
        <f>F23</f>
        <v>100</v>
      </c>
      <c r="T23" s="773" t="s">
        <v>17</v>
      </c>
      <c r="U23" s="774">
        <f>H23</f>
        <v>100</v>
      </c>
      <c r="V23" s="773" t="s">
        <v>17</v>
      </c>
      <c r="W23" s="774">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2">
        <f t="shared" ref="Q24:Q36" si="11">B24</f>
        <v>111</v>
      </c>
      <c r="R24" s="773" t="s">
        <v>17</v>
      </c>
      <c r="S24" s="774">
        <f>F24</f>
        <v>100</v>
      </c>
      <c r="T24" s="773" t="s">
        <v>17</v>
      </c>
      <c r="U24" s="774">
        <f>H24</f>
        <v>100</v>
      </c>
      <c r="V24" s="773" t="s">
        <v>17</v>
      </c>
      <c r="W24" s="774">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7">
        <f t="shared" si="11"/>
        <v>111</v>
      </c>
      <c r="R25" s="769" t="s">
        <v>17</v>
      </c>
      <c r="S25" s="770">
        <f>F25</f>
        <v>100</v>
      </c>
      <c r="T25" s="769" t="s">
        <v>17</v>
      </c>
      <c r="U25" s="770">
        <f>H25</f>
        <v>100</v>
      </c>
      <c r="V25" s="769" t="s">
        <v>17</v>
      </c>
      <c r="W25" s="770">
        <f>J25</f>
        <v>100</v>
      </c>
      <c r="X25" s="771"/>
      <c r="Y25" s="3194"/>
      <c r="Z25" s="55">
        <f>Q25</f>
        <v>111</v>
      </c>
      <c r="AA25" s="1813">
        <f>D25/F25</f>
        <v>1</v>
      </c>
      <c r="AB25" s="1813">
        <f>D25/H25</f>
        <v>1</v>
      </c>
      <c r="AC25" s="1813">
        <f>D25/J25</f>
        <v>1</v>
      </c>
    </row>
    <row r="26" spans="1:29" ht="15">
      <c r="A26" s="652" t="s">
        <v>2554</v>
      </c>
      <c r="B26" s="70" t="s">
        <v>2703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0"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8"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5" t="str">
        <f t="shared" si="11"/>
        <v>项目停车位配比</v>
      </c>
      <c r="R27" s="776" t="s">
        <v>17</v>
      </c>
      <c r="S27" s="777">
        <f t="shared" si="12"/>
        <v>100</v>
      </c>
      <c r="T27" s="776" t="s">
        <v>17</v>
      </c>
      <c r="U27" s="777">
        <f t="shared" si="13"/>
        <v>100</v>
      </c>
      <c r="V27" s="776" t="s">
        <v>17</v>
      </c>
      <c r="W27" s="777">
        <f t="shared" si="14"/>
        <v>100</v>
      </c>
      <c r="X27" s="778"/>
      <c r="Y27" s="3198"/>
      <c r="Z27" s="779"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2" t="str">
        <f t="shared" si="11"/>
        <v>公共部分装修</v>
      </c>
      <c r="R28" s="773" t="s">
        <v>17</v>
      </c>
      <c r="S28" s="774">
        <f t="shared" si="12"/>
        <v>100</v>
      </c>
      <c r="T28" s="773" t="s">
        <v>17</v>
      </c>
      <c r="U28" s="774">
        <f t="shared" si="13"/>
        <v>100</v>
      </c>
      <c r="V28" s="773" t="s">
        <v>17</v>
      </c>
      <c r="W28" s="774">
        <f t="shared" si="14"/>
        <v>100</v>
      </c>
      <c r="X28" s="1815"/>
      <c r="Y28" s="3198"/>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2" t="str">
        <f t="shared" si="11"/>
        <v>成新率</v>
      </c>
      <c r="R29" s="773" t="s">
        <v>17</v>
      </c>
      <c r="S29" s="774" t="e">
        <f t="shared" si="12"/>
        <v>#N/A</v>
      </c>
      <c r="T29" s="773" t="s">
        <v>17</v>
      </c>
      <c r="U29" s="774" t="e">
        <f t="shared" si="13"/>
        <v>#N/A</v>
      </c>
      <c r="V29" s="773" t="s">
        <v>17</v>
      </c>
      <c r="W29" s="774" t="e">
        <f t="shared" si="14"/>
        <v>#N/A</v>
      </c>
      <c r="X29" s="1815"/>
      <c r="Y29" s="3198"/>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2" t="str">
        <f t="shared" si="11"/>
        <v>物业等级</v>
      </c>
      <c r="R30" s="773" t="s">
        <v>17</v>
      </c>
      <c r="S30" s="774">
        <f t="shared" si="12"/>
        <v>100</v>
      </c>
      <c r="T30" s="773" t="s">
        <v>17</v>
      </c>
      <c r="U30" s="774">
        <f t="shared" si="13"/>
        <v>100</v>
      </c>
      <c r="V30" s="773" t="s">
        <v>17</v>
      </c>
      <c r="W30" s="774">
        <f t="shared" si="14"/>
        <v>100</v>
      </c>
      <c r="X30" s="1815"/>
      <c r="Y30" s="3198"/>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7" t="str">
        <f t="shared" si="11"/>
        <v>停车位面积</v>
      </c>
      <c r="R31" s="769" t="s">
        <v>17</v>
      </c>
      <c r="S31" s="770" t="e">
        <f t="shared" si="12"/>
        <v>#N/A</v>
      </c>
      <c r="T31" s="769" t="s">
        <v>17</v>
      </c>
      <c r="U31" s="770" t="e">
        <f t="shared" si="13"/>
        <v>#N/A</v>
      </c>
      <c r="V31" s="769" t="s">
        <v>17</v>
      </c>
      <c r="W31" s="770" t="e">
        <f t="shared" si="14"/>
        <v>#N/A</v>
      </c>
      <c r="X31" s="771"/>
      <c r="Y31" s="3198"/>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2556</v>
      </c>
      <c r="Q32" s="1812" t="str">
        <f t="shared" si="11"/>
        <v>车位类型</v>
      </c>
      <c r="R32" s="773" t="s">
        <v>17</v>
      </c>
      <c r="S32" s="774">
        <f t="shared" si="12"/>
        <v>100</v>
      </c>
      <c r="T32" s="773" t="s">
        <v>17</v>
      </c>
      <c r="U32" s="774">
        <f t="shared" si="13"/>
        <v>100</v>
      </c>
      <c r="V32" s="773" t="s">
        <v>17</v>
      </c>
      <c r="W32" s="774">
        <f t="shared" si="14"/>
        <v>100</v>
      </c>
      <c r="X32" s="1815"/>
      <c r="Y32" s="3198"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2" t="str">
        <f t="shared" si="11"/>
        <v>是否直接入户</v>
      </c>
      <c r="R33" s="773" t="s">
        <v>17</v>
      </c>
      <c r="S33" s="774">
        <f t="shared" si="12"/>
        <v>100</v>
      </c>
      <c r="T33" s="773" t="s">
        <v>17</v>
      </c>
      <c r="U33" s="774">
        <f t="shared" si="13"/>
        <v>100</v>
      </c>
      <c r="V33" s="773" t="s">
        <v>17</v>
      </c>
      <c r="W33" s="774">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5">
        <f t="shared" si="11"/>
        <v>111</v>
      </c>
      <c r="R35" s="776" t="s">
        <v>17</v>
      </c>
      <c r="S35" s="777">
        <f t="shared" si="12"/>
        <v>100</v>
      </c>
      <c r="T35" s="776" t="s">
        <v>17</v>
      </c>
      <c r="U35" s="777">
        <f t="shared" si="13"/>
        <v>100</v>
      </c>
      <c r="V35" s="776" t="s">
        <v>17</v>
      </c>
      <c r="W35" s="777">
        <f t="shared" si="14"/>
        <v>100</v>
      </c>
      <c r="X35" s="778"/>
      <c r="Y35" s="319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2">
        <f t="shared" si="11"/>
        <v>111</v>
      </c>
      <c r="R36" s="773" t="s">
        <v>17</v>
      </c>
      <c r="S36" s="774">
        <f t="shared" si="12"/>
        <v>100</v>
      </c>
      <c r="T36" s="773" t="s">
        <v>17</v>
      </c>
      <c r="U36" s="774">
        <f t="shared" si="13"/>
        <v>100</v>
      </c>
      <c r="V36" s="773" t="s">
        <v>17</v>
      </c>
      <c r="W36" s="774">
        <f t="shared" si="14"/>
        <v>100</v>
      </c>
      <c r="X36" s="1815"/>
      <c r="Y36" s="3198"/>
      <c r="Z36" s="1816">
        <f t="shared" si="15"/>
        <v>111</v>
      </c>
      <c r="AA36" s="1813">
        <f t="shared" si="3"/>
        <v>1</v>
      </c>
      <c r="AB36" s="1813">
        <f t="shared" si="4"/>
        <v>1</v>
      </c>
      <c r="AC36" s="1813">
        <f t="shared" si="5"/>
        <v>1</v>
      </c>
    </row>
    <row r="37" spans="1:29" ht="15">
      <c r="A37" s="479" t="s">
        <v>2711</v>
      </c>
      <c r="B37" s="2695" t="s">
        <v>2712</v>
      </c>
      <c r="C37" s="1409" t="s">
        <v>1</v>
      </c>
      <c r="D37" s="1410"/>
      <c r="E37" s="1411"/>
      <c r="F37" s="1412"/>
      <c r="G37" s="1413"/>
      <c r="H37" s="1414"/>
      <c r="I37" s="1411"/>
      <c r="J37" s="1414"/>
      <c r="K37" s="619"/>
      <c r="L37" s="1145"/>
      <c r="M37" s="1146"/>
      <c r="N37" s="1133"/>
      <c r="O37" s="1146"/>
      <c r="P37" s="3200" t="str">
        <f>A37</f>
        <v>成交单价</v>
      </c>
      <c r="Q37" s="3200"/>
      <c r="R37" s="3201">
        <f>E37</f>
        <v>0</v>
      </c>
      <c r="S37" s="3201"/>
      <c r="T37" s="3201">
        <f>G37</f>
        <v>0</v>
      </c>
      <c r="U37" s="3201"/>
      <c r="V37" s="3201">
        <f>I37</f>
        <v>0</v>
      </c>
      <c r="W37" s="3201"/>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202" t="str">
        <f>A39</f>
        <v>估价对象XX用房的比较价值（楼面单价，元/平方米）</v>
      </c>
      <c r="Q39" s="3203"/>
      <c r="R39" s="3204" t="e">
        <f>IF(F1="售价",ROUND(AVERAGE(R38:V38),0),ROUND(AVERAGE(R38:V38),1))</f>
        <v>#DIV/0!</v>
      </c>
      <c r="S39" s="3204"/>
      <c r="T39" s="3204"/>
      <c r="U39" s="3204"/>
      <c r="V39" s="3204"/>
      <c r="W39" s="320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63" t="s">
        <v>2540</v>
      </c>
      <c r="Q7" s="3190"/>
      <c r="R7" s="769" t="s">
        <v>17</v>
      </c>
      <c r="S7" s="770">
        <f t="shared" ref="S7:S14" si="0">F7</f>
        <v>0</v>
      </c>
      <c r="T7" s="769" t="s">
        <v>17</v>
      </c>
      <c r="U7" s="770">
        <f t="shared" ref="U7:U14" si="1">H7</f>
        <v>0</v>
      </c>
      <c r="V7" s="769" t="s">
        <v>17</v>
      </c>
      <c r="W7" s="770">
        <f t="shared" ref="W7:W14" si="2">J7</f>
        <v>0</v>
      </c>
      <c r="X7" s="771"/>
      <c r="Y7" s="3163" t="s">
        <v>2540</v>
      </c>
      <c r="Z7" s="316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0" t="s">
        <v>2546</v>
      </c>
      <c r="Q9" s="179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0"/>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40" t="s">
        <v>2550</v>
      </c>
      <c r="B14" s="69" t="s">
        <v>2700</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2551</v>
      </c>
      <c r="Q14" s="1812" t="str">
        <f t="shared" si="6"/>
        <v>交通便捷度</v>
      </c>
      <c r="R14" s="773" t="s">
        <v>17</v>
      </c>
      <c r="S14" s="774">
        <f t="shared" si="0"/>
        <v>100</v>
      </c>
      <c r="T14" s="773" t="s">
        <v>17</v>
      </c>
      <c r="U14" s="774">
        <f t="shared" si="1"/>
        <v>100</v>
      </c>
      <c r="V14" s="773" t="s">
        <v>17</v>
      </c>
      <c r="W14" s="774">
        <f t="shared" si="2"/>
        <v>100</v>
      </c>
      <c r="X14" s="1815"/>
      <c r="Y14" s="3193"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4"/>
      <c r="Q15" s="1812"/>
      <c r="R15" s="773"/>
      <c r="S15" s="774"/>
      <c r="T15" s="773"/>
      <c r="U15" s="774"/>
      <c r="V15" s="773"/>
      <c r="W15" s="774"/>
      <c r="X15" s="1815"/>
      <c r="Y15" s="3194"/>
      <c r="Z15" s="1816"/>
      <c r="AA15" s="1813">
        <v>1</v>
      </c>
      <c r="AB15" s="1813">
        <v>1</v>
      </c>
      <c r="AC15" s="1813">
        <v>1</v>
      </c>
    </row>
    <row r="16" spans="1:29" ht="15">
      <c r="A16" s="428"/>
      <c r="B16" s="451" t="s">
        <v>2679</v>
      </c>
      <c r="C16" s="2607"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2" t="str">
        <f>B16</f>
        <v>公共配套设施</v>
      </c>
      <c r="R16" s="773" t="s">
        <v>17</v>
      </c>
      <c r="S16" s="774">
        <f>F16</f>
        <v>100</v>
      </c>
      <c r="T16" s="773" t="s">
        <v>17</v>
      </c>
      <c r="U16" s="774">
        <f>H16</f>
        <v>100</v>
      </c>
      <c r="V16" s="773" t="s">
        <v>17</v>
      </c>
      <c r="W16" s="774">
        <f>J16</f>
        <v>100</v>
      </c>
      <c r="X16" s="1815"/>
      <c r="Y16" s="319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194"/>
      <c r="Q17" s="1812"/>
      <c r="R17" s="773"/>
      <c r="S17" s="774"/>
      <c r="T17" s="773"/>
      <c r="U17" s="774"/>
      <c r="V17" s="773"/>
      <c r="W17" s="774"/>
      <c r="X17" s="1815"/>
      <c r="Y17" s="3194"/>
      <c r="Z17" s="1816"/>
      <c r="AA17" s="1813">
        <v>1</v>
      </c>
      <c r="AB17" s="1813">
        <v>1</v>
      </c>
      <c r="AC17" s="1813">
        <v>1</v>
      </c>
    </row>
    <row r="18" spans="1:29" ht="15">
      <c r="A18" s="428"/>
      <c r="B18" s="1386" t="s">
        <v>2680</v>
      </c>
      <c r="C18" s="2607"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2" t="str">
        <f>B18</f>
        <v>基础设施水平</v>
      </c>
      <c r="R18" s="773" t="s">
        <v>17</v>
      </c>
      <c r="S18" s="774">
        <f>F18</f>
        <v>100</v>
      </c>
      <c r="T18" s="773" t="s">
        <v>17</v>
      </c>
      <c r="U18" s="774">
        <f>H18</f>
        <v>100</v>
      </c>
      <c r="V18" s="773" t="s">
        <v>17</v>
      </c>
      <c r="W18" s="774">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194"/>
      <c r="Q19" s="1812"/>
      <c r="R19" s="773"/>
      <c r="S19" s="774"/>
      <c r="T19" s="773"/>
      <c r="U19" s="774"/>
      <c r="V19" s="773"/>
      <c r="W19" s="774"/>
      <c r="X19" s="1815"/>
      <c r="Y19" s="3194"/>
      <c r="Z19" s="1816"/>
      <c r="AA19" s="1813">
        <v>1</v>
      </c>
      <c r="AB19" s="1813">
        <v>1</v>
      </c>
      <c r="AC19" s="1813">
        <v>1</v>
      </c>
    </row>
    <row r="20" spans="1:29" ht="15">
      <c r="A20" s="428"/>
      <c r="B20" s="451" t="s">
        <v>2701</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2" t="str">
        <f>B20</f>
        <v>自然及人文环境</v>
      </c>
      <c r="R20" s="773" t="s">
        <v>17</v>
      </c>
      <c r="S20" s="774">
        <f>F20</f>
        <v>100</v>
      </c>
      <c r="T20" s="773" t="s">
        <v>17</v>
      </c>
      <c r="U20" s="774">
        <f>H20</f>
        <v>100</v>
      </c>
      <c r="V20" s="773" t="s">
        <v>17</v>
      </c>
      <c r="W20" s="774">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4"/>
      <c r="Q21" s="1812"/>
      <c r="R21" s="773"/>
      <c r="S21" s="774"/>
      <c r="T21" s="773"/>
      <c r="U21" s="774"/>
      <c r="V21" s="773"/>
      <c r="W21" s="774"/>
      <c r="X21" s="1815"/>
      <c r="Y21" s="3194"/>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2" t="str">
        <f>B22</f>
        <v>楼层</v>
      </c>
      <c r="R22" s="773" t="s">
        <v>17</v>
      </c>
      <c r="S22" s="774">
        <f>F22</f>
        <v>100</v>
      </c>
      <c r="T22" s="773" t="s">
        <v>17</v>
      </c>
      <c r="U22" s="774">
        <f>H22</f>
        <v>100</v>
      </c>
      <c r="V22" s="773" t="s">
        <v>17</v>
      </c>
      <c r="W22" s="774">
        <f>J22</f>
        <v>100</v>
      </c>
      <c r="X22" s="1815"/>
      <c r="Y22" s="319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2">
        <f>B23</f>
        <v>111</v>
      </c>
      <c r="R23" s="773" t="s">
        <v>17</v>
      </c>
      <c r="S23" s="774">
        <f>F23</f>
        <v>100</v>
      </c>
      <c r="T23" s="773" t="s">
        <v>17</v>
      </c>
      <c r="U23" s="774">
        <f>H23</f>
        <v>100</v>
      </c>
      <c r="V23" s="773" t="s">
        <v>17</v>
      </c>
      <c r="W23" s="774">
        <f>J23</f>
        <v>100</v>
      </c>
      <c r="X23" s="1815"/>
      <c r="Y23" s="319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2">
        <f t="shared" ref="Q24:Q34" si="11">B24</f>
        <v>111</v>
      </c>
      <c r="R24" s="773" t="s">
        <v>17</v>
      </c>
      <c r="S24" s="774">
        <f>F24</f>
        <v>100</v>
      </c>
      <c r="T24" s="773" t="s">
        <v>17</v>
      </c>
      <c r="U24" s="774">
        <f>H24</f>
        <v>100</v>
      </c>
      <c r="V24" s="773" t="s">
        <v>17</v>
      </c>
      <c r="W24" s="774">
        <f>J24</f>
        <v>100</v>
      </c>
      <c r="X24" s="1815"/>
      <c r="Y24" s="3194"/>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94"/>
      <c r="Q25" s="1797">
        <f t="shared" si="11"/>
        <v>111</v>
      </c>
      <c r="R25" s="769" t="s">
        <v>17</v>
      </c>
      <c r="S25" s="770">
        <f>F25</f>
        <v>100</v>
      </c>
      <c r="T25" s="769" t="s">
        <v>17</v>
      </c>
      <c r="U25" s="770">
        <f>H25</f>
        <v>100</v>
      </c>
      <c r="V25" s="769" t="s">
        <v>17</v>
      </c>
      <c r="W25" s="770">
        <f>J25</f>
        <v>100</v>
      </c>
      <c r="X25" s="771"/>
      <c r="Y25" s="3194"/>
      <c r="Z25" s="55">
        <f>Q25</f>
        <v>111</v>
      </c>
      <c r="AA25" s="1813">
        <f>D25/F25</f>
        <v>1</v>
      </c>
      <c r="AB25" s="1813">
        <f>D25/H25</f>
        <v>1</v>
      </c>
      <c r="AC25" s="1813">
        <f>D25/J25</f>
        <v>1</v>
      </c>
    </row>
    <row r="26" spans="1:29" ht="15">
      <c r="A26" s="466" t="s">
        <v>2554</v>
      </c>
      <c r="B26" s="71" t="s">
        <v>2705</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0"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8"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5" t="str">
        <f t="shared" si="11"/>
        <v>成新率</v>
      </c>
      <c r="R27" s="776" t="s">
        <v>17</v>
      </c>
      <c r="S27" s="777" t="e">
        <f t="shared" si="12"/>
        <v>#N/A</v>
      </c>
      <c r="T27" s="776" t="s">
        <v>17</v>
      </c>
      <c r="U27" s="777" t="e">
        <f t="shared" si="13"/>
        <v>#N/A</v>
      </c>
      <c r="V27" s="776" t="s">
        <v>17</v>
      </c>
      <c r="W27" s="777" t="e">
        <f t="shared" si="14"/>
        <v>#N/A</v>
      </c>
      <c r="X27" s="778"/>
      <c r="Y27" s="3198"/>
      <c r="Z27" s="779"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2" t="str">
        <f t="shared" si="11"/>
        <v>物业等级</v>
      </c>
      <c r="R28" s="773" t="s">
        <v>17</v>
      </c>
      <c r="S28" s="774">
        <f t="shared" si="12"/>
        <v>100</v>
      </c>
      <c r="T28" s="773" t="s">
        <v>17</v>
      </c>
      <c r="U28" s="774">
        <f t="shared" si="13"/>
        <v>100</v>
      </c>
      <c r="V28" s="773" t="s">
        <v>17</v>
      </c>
      <c r="W28" s="774">
        <f t="shared" si="14"/>
        <v>100</v>
      </c>
      <c r="X28" s="1815"/>
      <c r="Y28" s="3198"/>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2" t="str">
        <f t="shared" si="11"/>
        <v>有无电梯</v>
      </c>
      <c r="R29" s="773" t="s">
        <v>17</v>
      </c>
      <c r="S29" s="774">
        <f t="shared" si="12"/>
        <v>100</v>
      </c>
      <c r="T29" s="773" t="s">
        <v>17</v>
      </c>
      <c r="U29" s="774">
        <f t="shared" si="13"/>
        <v>100</v>
      </c>
      <c r="V29" s="773" t="s">
        <v>17</v>
      </c>
      <c r="W29" s="774">
        <f t="shared" si="14"/>
        <v>100</v>
      </c>
      <c r="X29" s="1815"/>
      <c r="Y29" s="3198"/>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2" t="str">
        <f t="shared" si="11"/>
        <v>建筑面积</v>
      </c>
      <c r="R30" s="773" t="s">
        <v>17</v>
      </c>
      <c r="S30" s="774" t="e">
        <f t="shared" si="12"/>
        <v>#N/A</v>
      </c>
      <c r="T30" s="773" t="s">
        <v>17</v>
      </c>
      <c r="U30" s="774" t="e">
        <f t="shared" si="13"/>
        <v>#N/A</v>
      </c>
      <c r="V30" s="773" t="s">
        <v>17</v>
      </c>
      <c r="W30" s="774"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7" t="str">
        <f t="shared" si="11"/>
        <v>是否封闭</v>
      </c>
      <c r="R31" s="769" t="s">
        <v>17</v>
      </c>
      <c r="S31" s="770">
        <f t="shared" si="12"/>
        <v>100</v>
      </c>
      <c r="T31" s="769" t="s">
        <v>17</v>
      </c>
      <c r="U31" s="770">
        <f t="shared" si="13"/>
        <v>100</v>
      </c>
      <c r="V31" s="769" t="s">
        <v>17</v>
      </c>
      <c r="W31" s="770">
        <f t="shared" si="14"/>
        <v>100</v>
      </c>
      <c r="X31" s="771"/>
      <c r="Y31" s="319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2556</v>
      </c>
      <c r="Q32" s="1812">
        <f t="shared" si="11"/>
        <v>111</v>
      </c>
      <c r="R32" s="773" t="s">
        <v>17</v>
      </c>
      <c r="S32" s="774">
        <f t="shared" si="12"/>
        <v>100</v>
      </c>
      <c r="T32" s="773" t="s">
        <v>17</v>
      </c>
      <c r="U32" s="774">
        <f t="shared" si="13"/>
        <v>100</v>
      </c>
      <c r="V32" s="773" t="s">
        <v>17</v>
      </c>
      <c r="W32" s="774">
        <f t="shared" si="14"/>
        <v>100</v>
      </c>
      <c r="X32" s="1815"/>
      <c r="Y32" s="3198" t="s">
        <v>2556</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2">
        <f t="shared" si="11"/>
        <v>111</v>
      </c>
      <c r="R33" s="773" t="s">
        <v>17</v>
      </c>
      <c r="S33" s="774">
        <f t="shared" si="12"/>
        <v>100</v>
      </c>
      <c r="T33" s="773" t="s">
        <v>17</v>
      </c>
      <c r="U33" s="774">
        <f t="shared" si="13"/>
        <v>100</v>
      </c>
      <c r="V33" s="773" t="s">
        <v>17</v>
      </c>
      <c r="W33" s="774">
        <f t="shared" si="14"/>
        <v>100</v>
      </c>
      <c r="X33" s="1815"/>
      <c r="Y33" s="319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ht="15">
      <c r="A35" s="479" t="s">
        <v>2568</v>
      </c>
      <c r="B35" s="480"/>
      <c r="C35" s="1409" t="s">
        <v>1</v>
      </c>
      <c r="D35" s="1410"/>
      <c r="E35" s="1411"/>
      <c r="F35" s="1412"/>
      <c r="G35" s="1413"/>
      <c r="H35" s="1414"/>
      <c r="I35" s="1411"/>
      <c r="J35" s="1414"/>
      <c r="K35" s="782"/>
      <c r="L35" s="1145"/>
      <c r="M35" s="1146"/>
      <c r="N35" s="1133"/>
      <c r="O35" s="1146"/>
      <c r="P35" s="3200" t="str">
        <f>A35</f>
        <v>成交单价（元/平方米）</v>
      </c>
      <c r="Q35" s="3200"/>
      <c r="R35" s="3201">
        <f>E35</f>
        <v>0</v>
      </c>
      <c r="S35" s="3201"/>
      <c r="T35" s="3201">
        <f>G35</f>
        <v>0</v>
      </c>
      <c r="U35" s="3201"/>
      <c r="V35" s="3201">
        <f>I35</f>
        <v>0</v>
      </c>
      <c r="W35" s="3201"/>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202" t="str">
        <f>A37</f>
        <v>估价对象XX用房的比较价值（楼面单价，元/平方米）</v>
      </c>
      <c r="Q37" s="3203"/>
      <c r="R37" s="3204" t="e">
        <f>IF(F1="售价",ROUND(AVERAGE(R36:V36),0),ROUND(AVERAGE(R36:V36),1))</f>
        <v>#DIV/0!</v>
      </c>
      <c r="S37" s="3204"/>
      <c r="T37" s="3204"/>
      <c r="U37" s="3204"/>
      <c r="V37" s="3204"/>
      <c r="W37" s="320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30"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30"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30" s="117" customFormat="1" ht="15.75" thickBot="1">
      <c r="A7" s="408" t="s">
        <v>2539</v>
      </c>
      <c r="B7" s="409"/>
      <c r="C7" s="410">
        <f>'数据-取费表'!B2</f>
        <v>43316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5" si="3">D8/F8</f>
        <v>#DIV/0!</v>
      </c>
      <c r="AB8" s="772" t="e">
        <f t="shared" ref="AB8:AB45" si="4">D8/H8</f>
        <v>#DIV/0!</v>
      </c>
      <c r="AC8" s="772" t="e">
        <f t="shared" ref="AC8:AC45" si="5">D8/J8</f>
        <v>#DIV/0!</v>
      </c>
    </row>
    <row r="9" spans="1:30" s="117" customFormat="1">
      <c r="A9" s="415" t="s">
        <v>2544</v>
      </c>
      <c r="B9" s="71" t="s">
        <v>2545</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135</v>
      </c>
      <c r="G10" s="463"/>
      <c r="H10" s="136">
        <f>ROUND(100/'数据-取费表'!G16,0)</f>
        <v>135</v>
      </c>
      <c r="I10" s="463"/>
      <c r="J10" s="136">
        <f>ROUND(100/'数据-取费表'!G16,0)</f>
        <v>135</v>
      </c>
      <c r="K10" s="672"/>
      <c r="L10" s="1137"/>
      <c r="M10" s="1138"/>
      <c r="N10" s="1138"/>
      <c r="O10" s="1139"/>
      <c r="P10" s="3200"/>
      <c r="Q10" s="1797" t="str">
        <f t="shared" si="6"/>
        <v>土地使用年限（年）</v>
      </c>
      <c r="R10" s="769" t="s">
        <v>17</v>
      </c>
      <c r="S10" s="770">
        <f t="shared" si="0"/>
        <v>135</v>
      </c>
      <c r="T10" s="769" t="s">
        <v>17</v>
      </c>
      <c r="U10" s="770">
        <f t="shared" si="1"/>
        <v>135</v>
      </c>
      <c r="V10" s="769" t="s">
        <v>17</v>
      </c>
      <c r="W10" s="770">
        <f t="shared" si="2"/>
        <v>135</v>
      </c>
      <c r="X10" s="771"/>
      <c r="Y10" s="3036"/>
      <c r="Z10" s="55" t="str">
        <f t="shared" si="7"/>
        <v>土地使用年限（年）</v>
      </c>
      <c r="AA10" s="772">
        <f t="shared" si="3"/>
        <v>0.7407407407407407</v>
      </c>
      <c r="AB10" s="772">
        <f t="shared" si="4"/>
        <v>0.7407407407407407</v>
      </c>
      <c r="AC10" s="772">
        <f t="shared" si="5"/>
        <v>0.7407407407407407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30" s="117" customFormat="1" ht="15">
      <c r="A12" s="431"/>
      <c r="B12" s="2600"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0"/>
      <c r="Q12" s="1797"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15">
      <c r="A15" s="440" t="s">
        <v>2550</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2551</v>
      </c>
      <c r="Q15" s="1812" t="str">
        <f t="shared" si="6"/>
        <v>居住社区成熟度</v>
      </c>
      <c r="R15" s="773" t="s">
        <v>17</v>
      </c>
      <c r="S15" s="774">
        <f t="shared" si="0"/>
        <v>100</v>
      </c>
      <c r="T15" s="773" t="s">
        <v>17</v>
      </c>
      <c r="U15" s="774">
        <f t="shared" si="1"/>
        <v>100</v>
      </c>
      <c r="V15" s="773" t="s">
        <v>17</v>
      </c>
      <c r="W15" s="774">
        <f t="shared" si="2"/>
        <v>100</v>
      </c>
      <c r="X15" s="1815"/>
      <c r="Y15" s="3193" t="s">
        <v>2551</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451" t="s">
        <v>2644</v>
      </c>
      <c r="C17" s="2664"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2" t="str">
        <f>B17</f>
        <v>商业繁华度</v>
      </c>
      <c r="R17" s="773" t="s">
        <v>17</v>
      </c>
      <c r="S17" s="774">
        <f>F17</f>
        <v>100</v>
      </c>
      <c r="T17" s="773" t="s">
        <v>17</v>
      </c>
      <c r="U17" s="774">
        <f>H17</f>
        <v>100</v>
      </c>
      <c r="V17" s="773" t="s">
        <v>17</v>
      </c>
      <c r="W17" s="774">
        <f>J17</f>
        <v>100</v>
      </c>
      <c r="X17" s="1815"/>
      <c r="Y17" s="319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451" t="s">
        <v>2678</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2" t="str">
        <f>B19</f>
        <v>办公集聚程度</v>
      </c>
      <c r="R19" s="773" t="s">
        <v>17</v>
      </c>
      <c r="S19" s="774">
        <f>F19</f>
        <v>100</v>
      </c>
      <c r="T19" s="773" t="s">
        <v>17</v>
      </c>
      <c r="U19" s="774">
        <f>H19</f>
        <v>100</v>
      </c>
      <c r="V19" s="773" t="s">
        <v>17</v>
      </c>
      <c r="W19" s="774">
        <f>J19</f>
        <v>100</v>
      </c>
      <c r="X19" s="1815"/>
      <c r="Y19" s="319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194"/>
      <c r="Q20" s="1812"/>
      <c r="R20" s="773"/>
      <c r="S20" s="774"/>
      <c r="T20" s="773"/>
      <c r="U20" s="774"/>
      <c r="V20" s="773"/>
      <c r="W20" s="774"/>
      <c r="X20" s="1815"/>
      <c r="Y20" s="3194"/>
      <c r="Z20" s="1816"/>
      <c r="AA20" s="1813">
        <v>1</v>
      </c>
      <c r="AB20" s="1813">
        <v>1</v>
      </c>
      <c r="AC20" s="1813">
        <v>1</v>
      </c>
    </row>
    <row r="21" spans="1:29" ht="15">
      <c r="A21" s="428"/>
      <c r="B21" s="451" t="s">
        <v>2700</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2" t="str">
        <f>B21</f>
        <v>交通便捷度</v>
      </c>
      <c r="R21" s="773" t="s">
        <v>17</v>
      </c>
      <c r="S21" s="774">
        <f>F21</f>
        <v>100</v>
      </c>
      <c r="T21" s="773" t="s">
        <v>17</v>
      </c>
      <c r="U21" s="774">
        <f>H21</f>
        <v>100</v>
      </c>
      <c r="V21" s="773" t="s">
        <v>17</v>
      </c>
      <c r="W21" s="774">
        <f>J21</f>
        <v>100</v>
      </c>
      <c r="X21" s="1815"/>
      <c r="Y21" s="3194"/>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194"/>
      <c r="Q22" s="1812"/>
      <c r="R22" s="773"/>
      <c r="S22" s="774"/>
      <c r="T22" s="773"/>
      <c r="U22" s="774"/>
      <c r="V22" s="773"/>
      <c r="W22" s="774"/>
      <c r="X22" s="1815"/>
      <c r="Y22" s="3194"/>
      <c r="Z22" s="1816"/>
      <c r="AA22" s="1813">
        <v>1</v>
      </c>
      <c r="AB22" s="1813">
        <v>1</v>
      </c>
      <c r="AC22" s="1813">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2" t="str">
        <f t="shared" ref="Q23:Q37" si="8">B23</f>
        <v>区域土地利用方向</v>
      </c>
      <c r="R23" s="773" t="s">
        <v>17</v>
      </c>
      <c r="S23" s="774">
        <f>F23</f>
        <v>100</v>
      </c>
      <c r="T23" s="773" t="s">
        <v>17</v>
      </c>
      <c r="U23" s="774">
        <f>H23</f>
        <v>100</v>
      </c>
      <c r="V23" s="773" t="s">
        <v>17</v>
      </c>
      <c r="W23" s="774">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194"/>
      <c r="Q24" s="1812"/>
      <c r="R24" s="773"/>
      <c r="S24" s="774"/>
      <c r="T24" s="773"/>
      <c r="U24" s="774"/>
      <c r="V24" s="773"/>
      <c r="W24" s="774"/>
      <c r="X24" s="1815"/>
      <c r="Y24" s="3194"/>
      <c r="Z24" s="1816"/>
      <c r="AA24" s="1813"/>
      <c r="AB24" s="1813"/>
      <c r="AC24" s="1813"/>
    </row>
    <row r="25" spans="1:29" ht="27">
      <c r="A25" s="404"/>
      <c r="B25" s="1386" t="s">
        <v>2740</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2" t="str">
        <f t="shared" si="8"/>
        <v>自然及人文环境状况</v>
      </c>
      <c r="R25" s="773" t="s">
        <v>17</v>
      </c>
      <c r="S25" s="774">
        <f>F25</f>
        <v>100</v>
      </c>
      <c r="T25" s="773" t="s">
        <v>17</v>
      </c>
      <c r="U25" s="774">
        <f>H25</f>
        <v>100</v>
      </c>
      <c r="V25" s="773" t="s">
        <v>17</v>
      </c>
      <c r="W25" s="774">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194"/>
      <c r="Q26" s="1812"/>
      <c r="R26" s="773"/>
      <c r="S26" s="774"/>
      <c r="T26" s="773"/>
      <c r="U26" s="774"/>
      <c r="V26" s="773"/>
      <c r="W26" s="774"/>
      <c r="X26" s="1815"/>
      <c r="Y26" s="3194"/>
      <c r="Z26" s="1816"/>
      <c r="AA26" s="1813">
        <v>1</v>
      </c>
      <c r="AB26" s="1813">
        <v>1</v>
      </c>
      <c r="AC26" s="1813">
        <v>1</v>
      </c>
    </row>
    <row r="27" spans="1:29" s="117" customFormat="1" ht="15">
      <c r="A27" s="649"/>
      <c r="B27" s="1386" t="s">
        <v>2645</v>
      </c>
      <c r="C27" s="2607"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7" t="str">
        <f t="shared" si="8"/>
        <v>公共配套设施</v>
      </c>
      <c r="R27" s="769" t="s">
        <v>17</v>
      </c>
      <c r="S27" s="770">
        <f>F27</f>
        <v>100</v>
      </c>
      <c r="T27" s="769" t="s">
        <v>17</v>
      </c>
      <c r="U27" s="770">
        <f>H27</f>
        <v>100</v>
      </c>
      <c r="V27" s="769" t="s">
        <v>17</v>
      </c>
      <c r="W27" s="770">
        <f>J27</f>
        <v>100</v>
      </c>
      <c r="X27" s="771"/>
      <c r="Y27" s="3194"/>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194"/>
      <c r="Q28" s="1797"/>
      <c r="R28" s="769"/>
      <c r="S28" s="770"/>
      <c r="T28" s="769"/>
      <c r="U28" s="770"/>
      <c r="V28" s="769"/>
      <c r="W28" s="770"/>
      <c r="X28" s="771"/>
      <c r="Y28" s="3194"/>
      <c r="Z28" s="55"/>
      <c r="AA28" s="1813">
        <v>1</v>
      </c>
      <c r="AB28" s="1813">
        <v>1</v>
      </c>
      <c r="AC28" s="1813">
        <v>1</v>
      </c>
    </row>
    <row r="29" spans="1:29" s="117" customFormat="1" ht="15">
      <c r="A29" s="649"/>
      <c r="B29" s="1386" t="s">
        <v>2646</v>
      </c>
      <c r="C29" s="2607"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7" t="str">
        <f t="shared" ref="Q29" si="9">B29</f>
        <v>基础设施水平</v>
      </c>
      <c r="R29" s="769" t="s">
        <v>17</v>
      </c>
      <c r="S29" s="770">
        <f>F29</f>
        <v>100</v>
      </c>
      <c r="T29" s="769" t="s">
        <v>17</v>
      </c>
      <c r="U29" s="770">
        <f>H29</f>
        <v>100</v>
      </c>
      <c r="V29" s="769" t="s">
        <v>17</v>
      </c>
      <c r="W29" s="770">
        <f>J29</f>
        <v>100</v>
      </c>
      <c r="X29" s="771"/>
      <c r="Y29" s="3194"/>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194"/>
      <c r="Q30" s="1797"/>
      <c r="R30" s="769"/>
      <c r="S30" s="770"/>
      <c r="T30" s="769"/>
      <c r="U30" s="770"/>
      <c r="V30" s="769"/>
      <c r="W30" s="770"/>
      <c r="X30" s="771"/>
      <c r="Y30" s="3194"/>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2" t="str">
        <f t="shared" si="8"/>
        <v>毗邻道路的类型与等级</v>
      </c>
      <c r="R32" s="773" t="s">
        <v>17</v>
      </c>
      <c r="S32" s="774">
        <f t="shared" si="10"/>
        <v>100</v>
      </c>
      <c r="T32" s="773" t="s">
        <v>17</v>
      </c>
      <c r="U32" s="774">
        <f t="shared" si="11"/>
        <v>100</v>
      </c>
      <c r="V32" s="773" t="s">
        <v>17</v>
      </c>
      <c r="W32" s="774">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194"/>
      <c r="Q33" s="1812"/>
      <c r="R33" s="773"/>
      <c r="S33" s="774"/>
      <c r="T33" s="773"/>
      <c r="U33" s="774"/>
      <c r="V33" s="773"/>
      <c r="W33" s="774"/>
      <c r="X33" s="1815"/>
      <c r="Y33" s="3194"/>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2" t="str">
        <f t="shared" si="8"/>
        <v>土地级别</v>
      </c>
      <c r="R34" s="773" t="s">
        <v>17</v>
      </c>
      <c r="S34" s="774">
        <f t="shared" si="10"/>
        <v>100</v>
      </c>
      <c r="T34" s="773" t="s">
        <v>17</v>
      </c>
      <c r="U34" s="774">
        <f t="shared" si="11"/>
        <v>100</v>
      </c>
      <c r="V34" s="773" t="s">
        <v>17</v>
      </c>
      <c r="W34" s="774">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2">
        <f t="shared" si="8"/>
        <v>111</v>
      </c>
      <c r="R35" s="773" t="s">
        <v>17</v>
      </c>
      <c r="S35" s="774">
        <f t="shared" si="10"/>
        <v>100</v>
      </c>
      <c r="T35" s="773" t="s">
        <v>17</v>
      </c>
      <c r="U35" s="774">
        <f t="shared" si="11"/>
        <v>100</v>
      </c>
      <c r="V35" s="773" t="s">
        <v>17</v>
      </c>
      <c r="W35" s="774">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0" t="s">
        <v>2556</v>
      </c>
      <c r="Q36" s="1812">
        <f t="shared" si="8"/>
        <v>111</v>
      </c>
      <c r="R36" s="773" t="s">
        <v>17</v>
      </c>
      <c r="S36" s="774">
        <f t="shared" si="10"/>
        <v>100</v>
      </c>
      <c r="T36" s="773" t="s">
        <v>17</v>
      </c>
      <c r="U36" s="774">
        <f t="shared" si="11"/>
        <v>100</v>
      </c>
      <c r="V36" s="773" t="s">
        <v>17</v>
      </c>
      <c r="W36" s="774">
        <f t="shared" si="12"/>
        <v>100</v>
      </c>
      <c r="X36" s="1815"/>
      <c r="Y36" s="3198" t="s">
        <v>2556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2">
        <f t="shared" si="8"/>
        <v>111</v>
      </c>
      <c r="R37" s="776" t="s">
        <v>17</v>
      </c>
      <c r="S37" s="777">
        <f t="shared" si="10"/>
        <v>100</v>
      </c>
      <c r="T37" s="776" t="s">
        <v>17</v>
      </c>
      <c r="U37" s="777">
        <f t="shared" si="11"/>
        <v>100</v>
      </c>
      <c r="V37" s="776" t="s">
        <v>17</v>
      </c>
      <c r="W37" s="777">
        <f t="shared" si="12"/>
        <v>100</v>
      </c>
      <c r="X37" s="778"/>
      <c r="Y37" s="3198"/>
      <c r="Z37" s="779">
        <f t="shared" si="13"/>
        <v>111</v>
      </c>
      <c r="AA37" s="1813">
        <f t="shared" si="3"/>
        <v>1</v>
      </c>
      <c r="AB37" s="1813">
        <f t="shared" si="4"/>
        <v>1</v>
      </c>
      <c r="AC37" s="181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2" t="str">
        <f>B38</f>
        <v>宗地面积</v>
      </c>
      <c r="R38" s="773" t="s">
        <v>17</v>
      </c>
      <c r="S38" s="774" t="e">
        <f t="shared" si="10"/>
        <v>#N/A</v>
      </c>
      <c r="T38" s="773" t="s">
        <v>17</v>
      </c>
      <c r="U38" s="774" t="e">
        <f t="shared" si="11"/>
        <v>#N/A</v>
      </c>
      <c r="V38" s="773" t="s">
        <v>17</v>
      </c>
      <c r="W38" s="774" t="e">
        <f t="shared" si="12"/>
        <v>#N/A</v>
      </c>
      <c r="X38" s="1815"/>
      <c r="Y38" s="3198"/>
      <c r="Z38" s="1816" t="str">
        <f t="shared" si="13"/>
        <v>宗地面积</v>
      </c>
      <c r="AA38" s="1813" t="e">
        <f t="shared" si="3"/>
        <v>#N/A</v>
      </c>
      <c r="AB38" s="1813" t="e">
        <f t="shared" si="4"/>
        <v>#N/A</v>
      </c>
      <c r="AC38" s="1813" t="e">
        <f t="shared" si="5"/>
        <v>#N/A</v>
      </c>
    </row>
    <row r="39" spans="1:29" ht="15">
      <c r="A39" s="472"/>
      <c r="B39" s="422" t="s">
        <v>2743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98"/>
      <c r="Q39" s="1812" t="str">
        <f t="shared" ref="Q39:Q45" si="14">B39</f>
        <v>宗地形状</v>
      </c>
      <c r="R39" s="773" t="s">
        <v>17</v>
      </c>
      <c r="S39" s="774">
        <f t="shared" si="10"/>
        <v>100</v>
      </c>
      <c r="T39" s="773" t="s">
        <v>17</v>
      </c>
      <c r="U39" s="774">
        <f t="shared" si="11"/>
        <v>100</v>
      </c>
      <c r="V39" s="773" t="s">
        <v>17</v>
      </c>
      <c r="W39" s="774">
        <f t="shared" si="12"/>
        <v>100</v>
      </c>
      <c r="X39" s="1815"/>
      <c r="Y39" s="3198"/>
      <c r="Z39" s="1816" t="str">
        <f t="shared" si="13"/>
        <v>宗地形状</v>
      </c>
      <c r="AA39" s="1813">
        <f t="shared" si="3"/>
        <v>1</v>
      </c>
      <c r="AB39" s="1813">
        <f t="shared" si="4"/>
        <v>1</v>
      </c>
      <c r="AC39" s="1813">
        <f t="shared" si="5"/>
        <v>1</v>
      </c>
    </row>
    <row r="40" spans="1:29" ht="15">
      <c r="A40" s="472"/>
      <c r="B40" s="422" t="s">
        <v>2744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98"/>
      <c r="Q40" s="1812" t="str">
        <f t="shared" si="14"/>
        <v>临街宽度及深度</v>
      </c>
      <c r="R40" s="773" t="s">
        <v>17</v>
      </c>
      <c r="S40" s="774">
        <f t="shared" si="10"/>
        <v>100</v>
      </c>
      <c r="T40" s="773" t="s">
        <v>17</v>
      </c>
      <c r="U40" s="774">
        <f t="shared" si="11"/>
        <v>100</v>
      </c>
      <c r="V40" s="773" t="s">
        <v>17</v>
      </c>
      <c r="W40" s="774">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2745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98"/>
      <c r="Q41" s="1812" t="str">
        <f t="shared" si="14"/>
        <v>宗地开发程度</v>
      </c>
      <c r="R41" s="769" t="s">
        <v>17</v>
      </c>
      <c r="S41" s="770">
        <f t="shared" si="10"/>
        <v>100</v>
      </c>
      <c r="T41" s="769" t="s">
        <v>17</v>
      </c>
      <c r="U41" s="770">
        <f t="shared" si="11"/>
        <v>100</v>
      </c>
      <c r="V41" s="769" t="s">
        <v>17</v>
      </c>
      <c r="W41" s="770">
        <f t="shared" si="12"/>
        <v>100</v>
      </c>
      <c r="X41" s="771"/>
      <c r="Y41" s="3198"/>
      <c r="Z41" s="55" t="str">
        <f t="shared" si="13"/>
        <v>宗地开发程度</v>
      </c>
      <c r="AA41" s="772">
        <f t="shared" si="3"/>
        <v>1</v>
      </c>
      <c r="AB41" s="772">
        <f t="shared" si="4"/>
        <v>1</v>
      </c>
      <c r="AC41" s="772">
        <f t="shared" si="5"/>
        <v>1</v>
      </c>
    </row>
    <row r="42" spans="1:29" ht="15">
      <c r="A42" s="472"/>
      <c r="B42" s="422" t="s">
        <v>2746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98" t="s">
        <v>2556</v>
      </c>
      <c r="Q42" s="1812" t="str">
        <f t="shared" si="14"/>
        <v>工程地质条件</v>
      </c>
      <c r="R42" s="773" t="s">
        <v>17</v>
      </c>
      <c r="S42" s="774">
        <f t="shared" si="10"/>
        <v>100</v>
      </c>
      <c r="T42" s="773" t="s">
        <v>17</v>
      </c>
      <c r="U42" s="774">
        <f t="shared" si="11"/>
        <v>100</v>
      </c>
      <c r="V42" s="773" t="s">
        <v>17</v>
      </c>
      <c r="W42" s="774">
        <f t="shared" si="12"/>
        <v>100</v>
      </c>
      <c r="X42" s="1815"/>
      <c r="Y42" s="3198" t="s">
        <v>2556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2">
        <f t="shared" si="14"/>
        <v>111</v>
      </c>
      <c r="R43" s="773" t="s">
        <v>17</v>
      </c>
      <c r="S43" s="774">
        <f t="shared" si="10"/>
        <v>100</v>
      </c>
      <c r="T43" s="773" t="s">
        <v>17</v>
      </c>
      <c r="U43" s="774">
        <f t="shared" si="11"/>
        <v>100</v>
      </c>
      <c r="V43" s="773" t="s">
        <v>17</v>
      </c>
      <c r="W43" s="774">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2">
        <f t="shared" si="14"/>
        <v>111</v>
      </c>
      <c r="R44" s="773" t="s">
        <v>17</v>
      </c>
      <c r="S44" s="774">
        <f t="shared" si="10"/>
        <v>100</v>
      </c>
      <c r="T44" s="773" t="s">
        <v>17</v>
      </c>
      <c r="U44" s="774">
        <f t="shared" si="11"/>
        <v>100</v>
      </c>
      <c r="V44" s="773" t="s">
        <v>17</v>
      </c>
      <c r="W44" s="774">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2">
        <f t="shared" si="14"/>
        <v>111</v>
      </c>
      <c r="R45" s="776" t="s">
        <v>17</v>
      </c>
      <c r="S45" s="777">
        <f t="shared" si="10"/>
        <v>100</v>
      </c>
      <c r="T45" s="776" t="s">
        <v>17</v>
      </c>
      <c r="U45" s="777">
        <f t="shared" si="11"/>
        <v>100</v>
      </c>
      <c r="V45" s="776" t="s">
        <v>17</v>
      </c>
      <c r="W45" s="777">
        <f t="shared" si="12"/>
        <v>100</v>
      </c>
      <c r="X45" s="778"/>
      <c r="Y45" s="3198"/>
      <c r="Z45" s="779">
        <f t="shared" si="13"/>
        <v>111</v>
      </c>
      <c r="AA45" s="1813">
        <f t="shared" si="3"/>
        <v>1</v>
      </c>
      <c r="AB45" s="1813">
        <f t="shared" si="4"/>
        <v>1</v>
      </c>
      <c r="AC45" s="1813">
        <f t="shared" si="5"/>
        <v>1</v>
      </c>
    </row>
    <row r="46" spans="1:29" ht="15">
      <c r="A46" s="479" t="s">
        <v>2711</v>
      </c>
      <c r="B46" s="2704" t="s">
        <v>2747</v>
      </c>
      <c r="C46" s="682" t="s">
        <v>1</v>
      </c>
      <c r="D46" s="481"/>
      <c r="E46" s="482"/>
      <c r="F46" s="483"/>
      <c r="G46" s="484"/>
      <c r="H46" s="485"/>
      <c r="I46" s="482"/>
      <c r="J46" s="485"/>
      <c r="K46" s="782"/>
      <c r="L46" s="1145"/>
      <c r="M46" s="1146"/>
      <c r="N46" s="1133"/>
      <c r="O46" s="1146"/>
      <c r="P46" s="3200" t="str">
        <f>A46</f>
        <v>成交单价</v>
      </c>
      <c r="Q46" s="3200"/>
      <c r="R46" s="3162">
        <f>E46</f>
        <v>0</v>
      </c>
      <c r="S46" s="3162"/>
      <c r="T46" s="3162">
        <f>G46</f>
        <v>0</v>
      </c>
      <c r="U46" s="3162"/>
      <c r="V46" s="3162">
        <f>I46</f>
        <v>0</v>
      </c>
      <c r="W46" s="3162"/>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200" t="str">
        <f>A47</f>
        <v>比较价值（元/平方米）</v>
      </c>
      <c r="Q47" s="3200"/>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202" t="str">
        <f>A48</f>
        <v>估价对象XX用房的比较价值（楼面单价，元/平方米）</v>
      </c>
      <c r="Q48" s="3203"/>
      <c r="R48" s="3262" t="e">
        <f>ROUND(AVERAGE(R47:V47),0)</f>
        <v>#DIV/0!</v>
      </c>
      <c r="S48" s="3262"/>
      <c r="T48" s="3262"/>
      <c r="U48" s="3262"/>
      <c r="V48" s="3262"/>
      <c r="W48" s="326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5" t="s">
        <v>2751</v>
      </c>
      <c r="D55" s="2706" t="s">
        <v>2752</v>
      </c>
      <c r="E55" s="686" t="s">
        <v>2753</v>
      </c>
      <c r="F55" s="1109" t="s">
        <v>2754</v>
      </c>
      <c r="G55" s="3178" t="s">
        <v>2755</v>
      </c>
      <c r="H55" s="3263"/>
      <c r="I55" s="144" t="s">
        <v>2756</v>
      </c>
      <c r="J55" s="2707">
        <f>项目基本情况!F35</f>
        <v>0</v>
      </c>
      <c r="K55" s="2708" t="s">
        <v>2757</v>
      </c>
      <c r="L55" s="1108"/>
      <c r="M55" s="1146"/>
      <c r="N55" s="1146"/>
      <c r="O55" s="1146"/>
    </row>
    <row r="56" spans="1:15" s="692" customFormat="1">
      <c r="A56" s="688" t="s">
        <v>2758</v>
      </c>
      <c r="B56" s="689" t="e">
        <f>C48</f>
        <v>#DIV/0!</v>
      </c>
      <c r="C56" s="690">
        <v>1</v>
      </c>
      <c r="D56" s="1165">
        <v>1</v>
      </c>
      <c r="E56" s="690">
        <f>'数据-汇总表'!E8+'数据-汇总表'!E9</f>
        <v>32.75</v>
      </c>
      <c r="F56" s="1105" t="e">
        <f t="shared" ref="F56:F65" si="15">ROUND(B56*E56/10000,0)</f>
        <v>#DIV/0!</v>
      </c>
      <c r="G56" s="3177"/>
      <c r="H56" s="3200"/>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64"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64"/>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64"/>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64"/>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9"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9"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10"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32.75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11"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2"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173" t="s">
        <v>2788</v>
      </c>
      <c r="D6" s="3174"/>
      <c r="E6" s="3175" t="s">
        <v>2788</v>
      </c>
      <c r="F6" s="3176"/>
      <c r="G6" s="3173" t="s">
        <v>2788</v>
      </c>
      <c r="H6" s="3174"/>
      <c r="I6" s="3173" t="s">
        <v>2788</v>
      </c>
      <c r="J6" s="3174"/>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0" si="3">D8/F8</f>
        <v>#DIV/0!</v>
      </c>
      <c r="AB8" s="772" t="e">
        <f t="shared" ref="AB8:AB40" si="4">D8/H8</f>
        <v>#DIV/0!</v>
      </c>
      <c r="AC8" s="772" t="e">
        <f t="shared" ref="AC8:AC40" si="5">D8/J8</f>
        <v>#DIV/0!</v>
      </c>
    </row>
    <row r="9" spans="1:29" s="117" customFormat="1">
      <c r="A9" s="415" t="s">
        <v>2544</v>
      </c>
      <c r="B9" s="71" t="s">
        <v>2545</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135</v>
      </c>
      <c r="G10" s="432"/>
      <c r="H10" s="136">
        <f>ROUND(100/'数据-取费表'!G16,0)</f>
        <v>135</v>
      </c>
      <c r="I10" s="432"/>
      <c r="J10" s="136">
        <f>ROUND(100/'数据-取费表'!G16,0)</f>
        <v>135</v>
      </c>
      <c r="K10" s="672"/>
      <c r="L10" s="1137"/>
      <c r="M10" s="1138"/>
      <c r="N10" s="1138"/>
      <c r="O10" s="1139"/>
      <c r="P10" s="3200"/>
      <c r="Q10" s="1797" t="str">
        <f t="shared" si="6"/>
        <v>土地使用年限（年）</v>
      </c>
      <c r="R10" s="769" t="s">
        <v>17</v>
      </c>
      <c r="S10" s="770">
        <f t="shared" si="0"/>
        <v>135</v>
      </c>
      <c r="T10" s="769" t="s">
        <v>17</v>
      </c>
      <c r="U10" s="770">
        <f t="shared" si="1"/>
        <v>135</v>
      </c>
      <c r="V10" s="769" t="s">
        <v>17</v>
      </c>
      <c r="W10" s="770">
        <f t="shared" si="2"/>
        <v>135</v>
      </c>
      <c r="X10" s="771"/>
      <c r="Y10" s="3036"/>
      <c r="Z10" s="55" t="str">
        <f t="shared" si="7"/>
        <v>土地使用年限（年）</v>
      </c>
      <c r="AA10" s="772">
        <f t="shared" si="3"/>
        <v>0.7407407407407407</v>
      </c>
      <c r="AB10" s="772">
        <f t="shared" si="4"/>
        <v>0.7407407407407407</v>
      </c>
      <c r="AC10" s="772">
        <f t="shared" si="5"/>
        <v>0.7407407407407407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29" t="s">
        <v>2789</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2551</v>
      </c>
      <c r="Q15" s="1812" t="str">
        <f t="shared" si="6"/>
        <v>产业集聚程度</v>
      </c>
      <c r="R15" s="773" t="s">
        <v>17</v>
      </c>
      <c r="S15" s="774">
        <f t="shared" si="0"/>
        <v>100</v>
      </c>
      <c r="T15" s="773" t="s">
        <v>17</v>
      </c>
      <c r="U15" s="774">
        <f t="shared" si="1"/>
        <v>100</v>
      </c>
      <c r="V15" s="773" t="s">
        <v>17</v>
      </c>
      <c r="W15" s="774">
        <f t="shared" si="2"/>
        <v>100</v>
      </c>
      <c r="X15" s="1815"/>
      <c r="Y15" s="3193" t="s">
        <v>2551</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631" t="s">
        <v>2700</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631" t="s">
        <v>2739</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2" t="str">
        <f t="shared" ref="Q19:Q33" si="8">B19</f>
        <v>区域土地利用方向</v>
      </c>
      <c r="R19" s="773" t="s">
        <v>17</v>
      </c>
      <c r="S19" s="774">
        <f>F19</f>
        <v>100</v>
      </c>
      <c r="T19" s="773" t="s">
        <v>17</v>
      </c>
      <c r="U19" s="774">
        <f>H19</f>
        <v>100</v>
      </c>
      <c r="V19" s="773" t="s">
        <v>17</v>
      </c>
      <c r="W19" s="774">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1"/>
      <c r="L20" s="1142"/>
      <c r="M20" s="1133"/>
      <c r="N20" s="1133"/>
      <c r="O20" s="1141"/>
      <c r="P20" s="3194"/>
      <c r="Q20" s="1812"/>
      <c r="R20" s="773"/>
      <c r="S20" s="774"/>
      <c r="T20" s="773"/>
      <c r="U20" s="774"/>
      <c r="V20" s="773"/>
      <c r="W20" s="774"/>
      <c r="X20" s="1815"/>
      <c r="Y20" s="3194"/>
      <c r="Z20" s="1816"/>
      <c r="AA20" s="1813"/>
      <c r="AB20" s="1813"/>
      <c r="AC20" s="1813"/>
    </row>
    <row r="21" spans="1:29" ht="15">
      <c r="A21" s="404"/>
      <c r="B21" s="631" t="s">
        <v>2790</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2" t="str">
        <f t="shared" si="8"/>
        <v>环境状况</v>
      </c>
      <c r="R21" s="773" t="s">
        <v>17</v>
      </c>
      <c r="S21" s="774">
        <f>F21</f>
        <v>100</v>
      </c>
      <c r="T21" s="773" t="s">
        <v>17</v>
      </c>
      <c r="U21" s="774">
        <f>H21</f>
        <v>100</v>
      </c>
      <c r="V21" s="773" t="s">
        <v>17</v>
      </c>
      <c r="W21" s="774">
        <f>J21</f>
        <v>100</v>
      </c>
      <c r="X21" s="1815"/>
      <c r="Y21" s="319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194"/>
      <c r="Q22" s="1812"/>
      <c r="R22" s="773"/>
      <c r="S22" s="774"/>
      <c r="T22" s="773"/>
      <c r="U22" s="774"/>
      <c r="V22" s="773"/>
      <c r="W22" s="774"/>
      <c r="X22" s="1815"/>
      <c r="Y22" s="3194"/>
      <c r="Z22" s="1816"/>
      <c r="AA22" s="1813">
        <v>1</v>
      </c>
      <c r="AB22" s="1813">
        <v>1</v>
      </c>
      <c r="AC22" s="1813">
        <v>1</v>
      </c>
    </row>
    <row r="23" spans="1:29" s="117" customFormat="1" ht="15">
      <c r="A23" s="649"/>
      <c r="B23" s="633" t="s">
        <v>2645</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7" t="str">
        <f t="shared" si="8"/>
        <v>公共配套设施</v>
      </c>
      <c r="R23" s="769" t="s">
        <v>17</v>
      </c>
      <c r="S23" s="770">
        <f>F23</f>
        <v>100</v>
      </c>
      <c r="T23" s="769" t="s">
        <v>17</v>
      </c>
      <c r="U23" s="770">
        <f>H23</f>
        <v>100</v>
      </c>
      <c r="V23" s="769" t="s">
        <v>17</v>
      </c>
      <c r="W23" s="770">
        <f>J23</f>
        <v>100</v>
      </c>
      <c r="X23" s="771"/>
      <c r="Y23" s="3194"/>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194"/>
      <c r="Q24" s="1797"/>
      <c r="R24" s="769"/>
      <c r="S24" s="770"/>
      <c r="T24" s="769"/>
      <c r="U24" s="770"/>
      <c r="V24" s="769"/>
      <c r="W24" s="770"/>
      <c r="X24" s="771"/>
      <c r="Y24" s="3194"/>
      <c r="Z24" s="55"/>
      <c r="AA24" s="772">
        <v>1</v>
      </c>
      <c r="AB24" s="772">
        <v>1</v>
      </c>
      <c r="AC24" s="772">
        <v>1</v>
      </c>
    </row>
    <row r="25" spans="1:29" s="117" customFormat="1" ht="15">
      <c r="A25" s="649"/>
      <c r="B25" s="633" t="s">
        <v>2646</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7" t="str">
        <f t="shared" ref="Q25" si="9">B25</f>
        <v>基础设施水平</v>
      </c>
      <c r="R25" s="769" t="s">
        <v>17</v>
      </c>
      <c r="S25" s="770">
        <f>F25</f>
        <v>100</v>
      </c>
      <c r="T25" s="769" t="s">
        <v>17</v>
      </c>
      <c r="U25" s="770">
        <f>H25</f>
        <v>100</v>
      </c>
      <c r="V25" s="769" t="s">
        <v>17</v>
      </c>
      <c r="W25" s="770">
        <f>J25</f>
        <v>100</v>
      </c>
      <c r="X25" s="771"/>
      <c r="Y25" s="3194"/>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194"/>
      <c r="Q26" s="1797"/>
      <c r="R26" s="769"/>
      <c r="S26" s="770"/>
      <c r="T26" s="769"/>
      <c r="U26" s="770"/>
      <c r="V26" s="769"/>
      <c r="W26" s="770"/>
      <c r="X26" s="771"/>
      <c r="Y26" s="3194"/>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2682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2" t="str">
        <f t="shared" si="8"/>
        <v>毗邻道路的类型与等级</v>
      </c>
      <c r="R28" s="773" t="s">
        <v>17</v>
      </c>
      <c r="S28" s="774">
        <f t="shared" si="10"/>
        <v>100</v>
      </c>
      <c r="T28" s="773" t="s">
        <v>17</v>
      </c>
      <c r="U28" s="774">
        <f t="shared" si="11"/>
        <v>100</v>
      </c>
      <c r="V28" s="773" t="s">
        <v>17</v>
      </c>
      <c r="W28" s="774">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194"/>
      <c r="Q29" s="1812"/>
      <c r="R29" s="773"/>
      <c r="S29" s="774"/>
      <c r="T29" s="773"/>
      <c r="U29" s="774"/>
      <c r="V29" s="773"/>
      <c r="W29" s="774"/>
      <c r="X29" s="1815"/>
      <c r="Y29" s="3194"/>
      <c r="Z29" s="1816"/>
      <c r="AA29" s="1813">
        <v>1</v>
      </c>
      <c r="AB29" s="1813">
        <v>1</v>
      </c>
      <c r="AC29" s="1813">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2" t="str">
        <f t="shared" si="8"/>
        <v>土地级别</v>
      </c>
      <c r="R30" s="773" t="s">
        <v>17</v>
      </c>
      <c r="S30" s="774">
        <f t="shared" si="10"/>
        <v>100</v>
      </c>
      <c r="T30" s="773" t="s">
        <v>17</v>
      </c>
      <c r="U30" s="774">
        <f t="shared" si="11"/>
        <v>100</v>
      </c>
      <c r="V30" s="773" t="s">
        <v>17</v>
      </c>
      <c r="W30" s="774">
        <f t="shared" si="12"/>
        <v>100</v>
      </c>
      <c r="X30" s="1815"/>
      <c r="Y30" s="3194"/>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2">
        <f t="shared" si="8"/>
        <v>111</v>
      </c>
      <c r="R31" s="773" t="s">
        <v>17</v>
      </c>
      <c r="S31" s="774">
        <f t="shared" si="10"/>
        <v>100</v>
      </c>
      <c r="T31" s="773" t="s">
        <v>17</v>
      </c>
      <c r="U31" s="774">
        <f t="shared" si="11"/>
        <v>100</v>
      </c>
      <c r="V31" s="773" t="s">
        <v>17</v>
      </c>
      <c r="W31" s="774">
        <f t="shared" si="12"/>
        <v>100</v>
      </c>
      <c r="X31" s="1815"/>
      <c r="Y31" s="3194"/>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0" t="s">
        <v>2556</v>
      </c>
      <c r="Q32" s="1812">
        <f t="shared" si="8"/>
        <v>111</v>
      </c>
      <c r="R32" s="773" t="s">
        <v>17</v>
      </c>
      <c r="S32" s="774">
        <f t="shared" si="10"/>
        <v>100</v>
      </c>
      <c r="T32" s="773" t="s">
        <v>17</v>
      </c>
      <c r="U32" s="774">
        <f t="shared" si="11"/>
        <v>100</v>
      </c>
      <c r="V32" s="773" t="s">
        <v>17</v>
      </c>
      <c r="W32" s="774">
        <f t="shared" si="12"/>
        <v>100</v>
      </c>
      <c r="X32" s="1815"/>
      <c r="Y32" s="3198" t="s">
        <v>2556</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2">
        <f t="shared" si="8"/>
        <v>111</v>
      </c>
      <c r="R33" s="776" t="s">
        <v>17</v>
      </c>
      <c r="S33" s="777">
        <f t="shared" si="10"/>
        <v>100</v>
      </c>
      <c r="T33" s="776" t="s">
        <v>17</v>
      </c>
      <c r="U33" s="777">
        <f t="shared" si="11"/>
        <v>100</v>
      </c>
      <c r="V33" s="776" t="s">
        <v>17</v>
      </c>
      <c r="W33" s="777">
        <f t="shared" si="12"/>
        <v>100</v>
      </c>
      <c r="X33" s="778"/>
      <c r="Y33" s="3198"/>
      <c r="Z33" s="779">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2" t="str">
        <f>B34</f>
        <v>宗地面积</v>
      </c>
      <c r="R34" s="773" t="s">
        <v>17</v>
      </c>
      <c r="S34" s="774" t="e">
        <f t="shared" si="10"/>
        <v>#N/A</v>
      </c>
      <c r="T34" s="773" t="s">
        <v>17</v>
      </c>
      <c r="U34" s="774" t="e">
        <f t="shared" si="11"/>
        <v>#N/A</v>
      </c>
      <c r="V34" s="773" t="s">
        <v>17</v>
      </c>
      <c r="W34" s="774" t="e">
        <f t="shared" si="12"/>
        <v>#N/A</v>
      </c>
      <c r="X34" s="1815"/>
      <c r="Y34" s="3198"/>
      <c r="Z34" s="1816" t="str">
        <f t="shared" si="13"/>
        <v>宗地面积</v>
      </c>
      <c r="AA34" s="1813" t="e">
        <f t="shared" si="3"/>
        <v>#N/A</v>
      </c>
      <c r="AB34" s="1813" t="e">
        <f t="shared" si="4"/>
        <v>#N/A</v>
      </c>
      <c r="AC34" s="1813" t="e">
        <f t="shared" si="5"/>
        <v>#N/A</v>
      </c>
    </row>
    <row r="35" spans="1:29" ht="15">
      <c r="A35" s="472"/>
      <c r="B35" s="422" t="s">
        <v>2743</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98"/>
      <c r="Q35" s="1812" t="str">
        <f t="shared" ref="Q35:Q40" si="14">B35</f>
        <v>宗地形状</v>
      </c>
      <c r="R35" s="773" t="s">
        <v>17</v>
      </c>
      <c r="S35" s="774">
        <f t="shared" si="10"/>
        <v>100</v>
      </c>
      <c r="T35" s="773" t="s">
        <v>17</v>
      </c>
      <c r="U35" s="774">
        <f t="shared" si="11"/>
        <v>100</v>
      </c>
      <c r="V35" s="773" t="s">
        <v>17</v>
      </c>
      <c r="W35" s="774">
        <f t="shared" si="12"/>
        <v>100</v>
      </c>
      <c r="X35" s="1815"/>
      <c r="Y35" s="3198"/>
      <c r="Z35" s="1816" t="str">
        <f t="shared" si="13"/>
        <v>宗地形状</v>
      </c>
      <c r="AA35" s="1813">
        <f t="shared" si="3"/>
        <v>1</v>
      </c>
      <c r="AB35" s="1813">
        <f t="shared" si="4"/>
        <v>1</v>
      </c>
      <c r="AC35" s="1813">
        <f t="shared" si="5"/>
        <v>1</v>
      </c>
    </row>
    <row r="36" spans="1:29" s="117" customFormat="1" ht="15">
      <c r="A36" s="473"/>
      <c r="B36" s="422" t="s">
        <v>2745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98"/>
      <c r="Q36" s="1812" t="str">
        <f t="shared" si="14"/>
        <v>宗地开发程度</v>
      </c>
      <c r="R36" s="769" t="s">
        <v>17</v>
      </c>
      <c r="S36" s="770">
        <f t="shared" si="10"/>
        <v>100</v>
      </c>
      <c r="T36" s="769" t="s">
        <v>17</v>
      </c>
      <c r="U36" s="770">
        <f t="shared" si="11"/>
        <v>100</v>
      </c>
      <c r="V36" s="769" t="s">
        <v>17</v>
      </c>
      <c r="W36" s="770">
        <f t="shared" si="12"/>
        <v>100</v>
      </c>
      <c r="X36" s="771"/>
      <c r="Y36" s="3198"/>
      <c r="Z36" s="55" t="str">
        <f t="shared" si="13"/>
        <v>宗地开发程度</v>
      </c>
      <c r="AA36" s="772">
        <f t="shared" si="3"/>
        <v>1</v>
      </c>
      <c r="AB36" s="772">
        <f t="shared" si="4"/>
        <v>1</v>
      </c>
      <c r="AC36" s="772">
        <f t="shared" si="5"/>
        <v>1</v>
      </c>
    </row>
    <row r="37" spans="1:29" ht="15">
      <c r="A37" s="472"/>
      <c r="B37" s="422" t="s">
        <v>2746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98" t="s">
        <v>2556</v>
      </c>
      <c r="Q37" s="1812" t="str">
        <f t="shared" si="14"/>
        <v>工程地质条件</v>
      </c>
      <c r="R37" s="773" t="s">
        <v>17</v>
      </c>
      <c r="S37" s="774">
        <f t="shared" si="10"/>
        <v>100</v>
      </c>
      <c r="T37" s="773" t="s">
        <v>17</v>
      </c>
      <c r="U37" s="774">
        <f t="shared" si="11"/>
        <v>100</v>
      </c>
      <c r="V37" s="773" t="s">
        <v>17</v>
      </c>
      <c r="W37" s="774">
        <f t="shared" si="12"/>
        <v>100</v>
      </c>
      <c r="X37" s="1815"/>
      <c r="Y37" s="3198" t="s">
        <v>2556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2">
        <f t="shared" si="14"/>
        <v>111</v>
      </c>
      <c r="R38" s="773" t="s">
        <v>17</v>
      </c>
      <c r="S38" s="774">
        <f t="shared" si="10"/>
        <v>100</v>
      </c>
      <c r="T38" s="773" t="s">
        <v>17</v>
      </c>
      <c r="U38" s="774">
        <f t="shared" si="11"/>
        <v>100</v>
      </c>
      <c r="V38" s="773" t="s">
        <v>17</v>
      </c>
      <c r="W38" s="774">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2">
        <f t="shared" si="14"/>
        <v>111</v>
      </c>
      <c r="R39" s="773" t="s">
        <v>17</v>
      </c>
      <c r="S39" s="774">
        <f t="shared" si="10"/>
        <v>100</v>
      </c>
      <c r="T39" s="773" t="s">
        <v>17</v>
      </c>
      <c r="U39" s="774">
        <f t="shared" si="11"/>
        <v>100</v>
      </c>
      <c r="V39" s="773" t="s">
        <v>17</v>
      </c>
      <c r="W39" s="774">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2">
        <f t="shared" si="14"/>
        <v>111</v>
      </c>
      <c r="R40" s="776" t="s">
        <v>17</v>
      </c>
      <c r="S40" s="777">
        <f t="shared" si="10"/>
        <v>100</v>
      </c>
      <c r="T40" s="776" t="s">
        <v>17</v>
      </c>
      <c r="U40" s="777">
        <f t="shared" si="11"/>
        <v>100</v>
      </c>
      <c r="V40" s="776" t="s">
        <v>17</v>
      </c>
      <c r="W40" s="777">
        <f t="shared" si="12"/>
        <v>100</v>
      </c>
      <c r="X40" s="778"/>
      <c r="Y40" s="3198"/>
      <c r="Z40" s="779">
        <f t="shared" si="13"/>
        <v>111</v>
      </c>
      <c r="AA40" s="1813">
        <f t="shared" si="3"/>
        <v>1</v>
      </c>
      <c r="AB40" s="1813">
        <f t="shared" si="4"/>
        <v>1</v>
      </c>
      <c r="AC40" s="1813">
        <f t="shared" si="5"/>
        <v>1</v>
      </c>
    </row>
    <row r="41" spans="1:29" ht="15">
      <c r="A41" s="479" t="s">
        <v>2711</v>
      </c>
      <c r="B41" s="2704" t="s">
        <v>2791</v>
      </c>
      <c r="C41" s="682" t="s">
        <v>1</v>
      </c>
      <c r="D41" s="481"/>
      <c r="E41" s="482"/>
      <c r="F41" s="483"/>
      <c r="G41" s="484"/>
      <c r="H41" s="485"/>
      <c r="I41" s="482"/>
      <c r="J41" s="485"/>
      <c r="K41" s="782"/>
      <c r="L41" s="1145"/>
      <c r="M41" s="1133"/>
      <c r="N41" s="1133"/>
      <c r="O41" s="1146"/>
      <c r="P41" s="3200" t="str">
        <f>A41</f>
        <v>成交单价</v>
      </c>
      <c r="Q41" s="3200"/>
      <c r="R41" s="3162">
        <f>E41</f>
        <v>0</v>
      </c>
      <c r="S41" s="3162"/>
      <c r="T41" s="3162">
        <f>G41</f>
        <v>0</v>
      </c>
      <c r="U41" s="3162"/>
      <c r="V41" s="3162">
        <f>I41</f>
        <v>0</v>
      </c>
      <c r="W41" s="3162"/>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200" t="str">
        <f>A42</f>
        <v>比较价值（元/平方米）</v>
      </c>
      <c r="Q42" s="3200"/>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202" t="str">
        <f>A43</f>
        <v>估价对象XX用房的比较价值（楼面单价，元/平方米）</v>
      </c>
      <c r="Q43" s="3203"/>
      <c r="R43" s="3262" t="e">
        <f>ROUND(AVERAGE(R42:V42),0)</f>
        <v>#DIV/0!</v>
      </c>
      <c r="S43" s="3262"/>
      <c r="T43" s="3262"/>
      <c r="U43" s="3262"/>
      <c r="V43" s="3262"/>
      <c r="W43" s="326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5" t="s">
        <v>2751</v>
      </c>
      <c r="D50" s="2706" t="s">
        <v>2752</v>
      </c>
      <c r="E50" s="686" t="s">
        <v>2753</v>
      </c>
      <c r="F50" s="687" t="s">
        <v>2754</v>
      </c>
      <c r="G50" s="3178" t="s">
        <v>2755</v>
      </c>
      <c r="H50" s="3263"/>
      <c r="I50" s="1816" t="s">
        <v>2792</v>
      </c>
      <c r="J50" s="1816">
        <f>项目基本情况!F35</f>
        <v>0</v>
      </c>
      <c r="K50" s="2708" t="s">
        <v>2757</v>
      </c>
      <c r="L50" s="1108"/>
      <c r="M50" s="1146"/>
      <c r="N50" s="1146"/>
      <c r="O50" s="1146"/>
    </row>
    <row r="51" spans="1:17" s="692" customFormat="1">
      <c r="A51" s="688" t="s">
        <v>2758</v>
      </c>
      <c r="B51" s="689" t="e">
        <f>C43</f>
        <v>#DIV/0!</v>
      </c>
      <c r="C51" s="690">
        <v>1</v>
      </c>
      <c r="D51" s="1165">
        <v>1</v>
      </c>
      <c r="E51" s="690">
        <f>'数据-汇总表'!E8+'数据-汇总表'!E9</f>
        <v>32.75</v>
      </c>
      <c r="F51" s="691" t="e">
        <f t="shared" ref="F51:F60" si="15">ROUND(B51*E51/10000,0)</f>
        <v>#DIV/0!</v>
      </c>
      <c r="G51" s="3177"/>
      <c r="H51" s="3200"/>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64"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64"/>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64"/>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64"/>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9"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9"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10"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2.06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11"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6"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2795</v>
      </c>
      <c r="B1" s="241"/>
      <c r="C1" s="245" t="s">
        <v>2796</v>
      </c>
      <c r="D1" s="388">
        <f>SUM(D29:D30,D33:D39)</f>
        <v>0</v>
      </c>
      <c r="E1" s="2717"/>
      <c r="F1" s="2717"/>
      <c r="G1" s="2717"/>
      <c r="H1" s="2717"/>
      <c r="I1" s="2717"/>
      <c r="J1" s="2717"/>
      <c r="K1" s="1372"/>
      <c r="L1" s="2718" t="s">
        <v>2797</v>
      </c>
      <c r="M1" s="1082">
        <f>SUMPRODUCT((区片价!B5:B9=I2)*(区片价!C3:F3=E2)*(区片价!C5:F9))</f>
        <v>0</v>
      </c>
      <c r="N1" s="1085">
        <f>SUMPRODUCT((因素修正幅度!B5:B9=I2)*(因素修正幅度!C3:F3=E2)*(因素修正幅度!C5:F9))</f>
        <v>0</v>
      </c>
      <c r="O1" s="2719"/>
      <c r="P1" s="2719"/>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21" t="s">
        <v>2804</v>
      </c>
      <c r="D2" s="2722" t="s">
        <v>2805</v>
      </c>
      <c r="E2" s="2723"/>
      <c r="F2" s="2722" t="s">
        <v>2806</v>
      </c>
      <c r="G2" s="2724">
        <f>IF(E2="商业",项目基本情况!B37,IF(E2="办公",项目基本情况!C37,IF(E2="住宅",项目基本情况!D37,项目基本情况!E37)))</f>
        <v>0</v>
      </c>
      <c r="H2" s="2722" t="s">
        <v>2807</v>
      </c>
      <c r="I2" s="2724">
        <f>IF(E2="商业",项目基本情况!B38,IF(E2="办公",项目基本情况!C38,IF(E2="住宅",项目基本情况!D38,项目基本情况!E38)))</f>
        <v>0</v>
      </c>
      <c r="J2" s="2725"/>
      <c r="K2" s="1372"/>
      <c r="L2" s="2726"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21" t="s">
        <v>2810</v>
      </c>
      <c r="D3" s="2722" t="s">
        <v>2811</v>
      </c>
      <c r="E3" s="2727"/>
      <c r="F3" s="2728" t="s">
        <v>2812</v>
      </c>
      <c r="G3" s="915">
        <f>IF(F3="宗地容积率",'数据-汇总表'!I4,IF(F3="估价对象容积率",'数据-汇总表'!I6,'数据-汇总表'!I7))</f>
        <v>15.9</v>
      </c>
      <c r="H3" s="198" t="s">
        <v>2813</v>
      </c>
      <c r="I3" s="946"/>
      <c r="J3" s="2725" t="s">
        <v>2814</v>
      </c>
      <c r="K3" s="1372"/>
      <c r="L3" s="2726"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9"/>
      <c r="B4" s="3280"/>
      <c r="C4" s="3280"/>
      <c r="D4" s="3281"/>
      <c r="E4" s="3281"/>
      <c r="F4" s="3281"/>
      <c r="G4" s="3281"/>
      <c r="H4" s="3281"/>
      <c r="I4" s="3281"/>
      <c r="J4" s="3282"/>
      <c r="K4" s="1372"/>
      <c r="L4" s="2726"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2819</v>
      </c>
      <c r="B6" s="2740" t="s">
        <v>2820</v>
      </c>
      <c r="C6" s="917">
        <f>SUMIF(L1:L12,G2,M1:M12)</f>
        <v>0</v>
      </c>
      <c r="D6" s="2741" t="s">
        <v>2821</v>
      </c>
      <c r="E6" s="2742"/>
      <c r="F6" s="2742"/>
      <c r="G6" s="2743"/>
      <c r="H6" s="2743"/>
      <c r="I6" s="2743"/>
      <c r="J6" s="2744"/>
      <c r="K6" s="1844"/>
      <c r="L6" s="2726"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5" t="str">
        <f>IF(E2="商业",IF(C8="不临58条商业街","",2),"")</f>
        <v/>
      </c>
      <c r="B7" s="2745" t="s">
        <v>2823</v>
      </c>
      <c r="C7" s="918" t="e">
        <f>IF(C8="不临58条商业街",1,ROUND(1+(1.6*E8+1.2*E9+0.8*E10+0.4*E11)*C9,4))</f>
        <v>#DIV/0!</v>
      </c>
      <c r="D7" s="2746" t="s">
        <v>2824</v>
      </c>
      <c r="E7" s="947"/>
      <c r="F7" s="2747"/>
      <c r="G7" s="2748"/>
      <c r="H7" s="2748"/>
      <c r="I7" s="2748"/>
      <c r="J7" s="2749"/>
      <c r="K7" s="1844"/>
      <c r="L7" s="2726"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15.9</v>
      </c>
      <c r="AA7" s="1608"/>
      <c r="AB7" s="1608"/>
      <c r="AC7" s="1609"/>
      <c r="AD7" s="1610"/>
      <c r="AE7" s="1610"/>
      <c r="AF7" s="1610"/>
      <c r="AG7" s="1610"/>
      <c r="AH7" s="1610"/>
      <c r="AI7" s="1610"/>
      <c r="AJ7" s="1611"/>
    </row>
    <row r="8" spans="1:36" ht="15">
      <c r="A8" s="3266"/>
      <c r="B8" s="198" t="s">
        <v>2828</v>
      </c>
      <c r="C8" s="2750"/>
      <c r="D8" s="919" t="s">
        <v>139</v>
      </c>
      <c r="E8" s="920" t="e">
        <f>ROUND(C11/E7,4)</f>
        <v>#DIV/0!</v>
      </c>
      <c r="F8" s="2751" t="s">
        <v>2829</v>
      </c>
      <c r="G8" s="2752"/>
      <c r="H8" s="2752"/>
      <c r="I8" s="2752"/>
      <c r="J8" s="2753"/>
      <c r="K8" s="1372"/>
      <c r="L8" s="2726"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6" t="s">
        <v>2831</v>
      </c>
      <c r="X8" s="3277"/>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66"/>
      <c r="B9" s="198" t="s">
        <v>2844</v>
      </c>
      <c r="C9" s="921">
        <f>SUMIF(修正!C59:C119,C8,修正!E59:E119)</f>
        <v>0</v>
      </c>
      <c r="D9" s="200" t="s">
        <v>140</v>
      </c>
      <c r="E9" s="200" t="e">
        <f>ROUND(C11/E7,4)</f>
        <v>#DIV/0!</v>
      </c>
      <c r="F9" s="2751" t="s">
        <v>2845</v>
      </c>
      <c r="G9" s="2752"/>
      <c r="H9" s="2752"/>
      <c r="I9" s="2752"/>
      <c r="J9" s="2753"/>
      <c r="K9" s="1372"/>
      <c r="L9" s="2726"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8"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2849</v>
      </c>
      <c r="C10" s="200">
        <f>SUMIF(修正!C59:C119,C8,修正!F59:F119)</f>
        <v>0</v>
      </c>
      <c r="D10" s="200" t="s">
        <v>141</v>
      </c>
      <c r="E10" s="200" t="e">
        <f>ROUND(C11/E7,4)</f>
        <v>#DIV/0!</v>
      </c>
      <c r="F10" s="2751" t="s">
        <v>2850</v>
      </c>
      <c r="G10" s="2752"/>
      <c r="H10" s="2752"/>
      <c r="I10" s="2752"/>
      <c r="J10" s="2753"/>
      <c r="K10" s="1372"/>
      <c r="L10" s="2726"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4" t="s">
        <v>2852</v>
      </c>
      <c r="C11" s="922">
        <f>C10/4</f>
        <v>0</v>
      </c>
      <c r="D11" s="922" t="s">
        <v>142</v>
      </c>
      <c r="E11" s="922" t="e">
        <f>ROUND(C11/E7,4)</f>
        <v>#DIV/0!</v>
      </c>
      <c r="F11" s="2755" t="s">
        <v>2853</v>
      </c>
      <c r="G11" s="2756"/>
      <c r="H11" s="2756"/>
      <c r="I11" s="2756"/>
      <c r="J11" s="2757"/>
      <c r="K11" s="1372"/>
      <c r="L11" s="2726"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8" t="s">
        <v>2855</v>
      </c>
      <c r="X11" s="1616" t="s">
        <v>2856</v>
      </c>
      <c r="Y11" s="1617">
        <f>$G$3</f>
        <v>15.9</v>
      </c>
      <c r="Z11" s="1617">
        <f t="shared" ref="Z11:AJ11" si="3">$G$3</f>
        <v>15.9</v>
      </c>
      <c r="AA11" s="1617">
        <f t="shared" si="3"/>
        <v>15.9</v>
      </c>
      <c r="AB11" s="1617">
        <f t="shared" si="3"/>
        <v>15.9</v>
      </c>
      <c r="AC11" s="1617">
        <f t="shared" si="3"/>
        <v>15.9</v>
      </c>
      <c r="AD11" s="1617">
        <f t="shared" si="3"/>
        <v>15.9</v>
      </c>
      <c r="AE11" s="1617">
        <f t="shared" si="3"/>
        <v>15.9</v>
      </c>
      <c r="AF11" s="1617">
        <f t="shared" si="3"/>
        <v>15.9</v>
      </c>
      <c r="AG11" s="1617">
        <f t="shared" si="3"/>
        <v>15.9</v>
      </c>
      <c r="AH11" s="1617">
        <f t="shared" si="3"/>
        <v>15.9</v>
      </c>
      <c r="AI11" s="1617">
        <f t="shared" si="3"/>
        <v>15.9</v>
      </c>
      <c r="AJ11" s="1617">
        <f t="shared" si="3"/>
        <v>15.9</v>
      </c>
    </row>
    <row r="12" spans="1:36" ht="25.5" thickBot="1">
      <c r="A12" s="3265" t="s">
        <v>2857</v>
      </c>
      <c r="B12" s="2758" t="s">
        <v>2858</v>
      </c>
      <c r="C12" s="918">
        <f>ROUND(C15*D15*E15*F15*G15*H15*I15*J15,4)</f>
        <v>1</v>
      </c>
      <c r="D12" s="2759" t="s">
        <v>2859</v>
      </c>
      <c r="E12" s="2760"/>
      <c r="F12" s="2760"/>
      <c r="G12" s="2761"/>
      <c r="H12" s="2761"/>
      <c r="I12" s="2761"/>
      <c r="J12" s="2762"/>
      <c r="K12" s="1372"/>
      <c r="L12" s="2763"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8"/>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4" t="s">
        <v>2862</v>
      </c>
      <c r="C13" s="2765" t="s">
        <v>2863</v>
      </c>
      <c r="D13" s="1810" t="s">
        <v>2864</v>
      </c>
      <c r="E13" s="1810" t="s">
        <v>2865</v>
      </c>
      <c r="F13" s="30" t="s">
        <v>2866</v>
      </c>
      <c r="G13" s="2766" t="s">
        <v>2867</v>
      </c>
      <c r="H13" s="2766" t="s">
        <v>2867</v>
      </c>
      <c r="I13" s="2766" t="s">
        <v>2867</v>
      </c>
      <c r="J13" s="2767" t="s">
        <v>2867</v>
      </c>
      <c r="K13" s="1372"/>
      <c r="L13" s="1372"/>
      <c r="M13" s="1372"/>
      <c r="N13" s="1372"/>
      <c r="O13" s="1372"/>
      <c r="P13" s="1372"/>
      <c r="Q13" s="1372"/>
      <c r="R13" s="1604">
        <v>12</v>
      </c>
      <c r="S13" s="1605"/>
      <c r="T13" s="1604" t="e">
        <f t="shared" si="0"/>
        <v>#DIV/0!</v>
      </c>
      <c r="U13" s="1605"/>
      <c r="V13" s="1604" t="e">
        <f t="shared" si="1"/>
        <v>#DIV/0!</v>
      </c>
      <c r="W13" s="3278"/>
      <c r="X13" s="1618"/>
      <c r="Y13" s="1615">
        <f>(-0.163*(Y12^2)-0.59*Y12+7617)*(10^(-4))/Y11</f>
        <v>4.7905660377358494E-2</v>
      </c>
      <c r="Z13" s="1615">
        <f t="shared" ref="Z13:AJ13" si="5">(-0.163*(Z12^2)-0.59*Z12+7617)*(10^(-4))/Z11</f>
        <v>4.7905660377358494E-2</v>
      </c>
      <c r="AA13" s="1615">
        <f t="shared" si="5"/>
        <v>4.7905660377358494E-2</v>
      </c>
      <c r="AB13" s="1615">
        <f t="shared" si="5"/>
        <v>4.7905660377358494E-2</v>
      </c>
      <c r="AC13" s="1615">
        <f t="shared" si="5"/>
        <v>4.7905660377358494E-2</v>
      </c>
      <c r="AD13" s="1615">
        <f t="shared" si="5"/>
        <v>4.7905660377358494E-2</v>
      </c>
      <c r="AE13" s="1615">
        <f t="shared" si="5"/>
        <v>4.7905660377358494E-2</v>
      </c>
      <c r="AF13" s="1615">
        <f t="shared" si="5"/>
        <v>4.7905660377358494E-2</v>
      </c>
      <c r="AG13" s="1615">
        <f t="shared" si="5"/>
        <v>4.7905660377358494E-2</v>
      </c>
      <c r="AH13" s="1615">
        <f t="shared" si="5"/>
        <v>4.7905660377358494E-2</v>
      </c>
      <c r="AI13" s="1615">
        <f t="shared" si="5"/>
        <v>4.7905660377358494E-2</v>
      </c>
      <c r="AJ13" s="1615">
        <f t="shared" si="5"/>
        <v>4.7905660377358494E-2</v>
      </c>
    </row>
    <row r="14" spans="1:36" ht="15">
      <c r="A14" s="3283"/>
      <c r="B14" s="2768"/>
      <c r="C14" s="2769"/>
      <c r="D14" s="2770"/>
      <c r="E14" s="2770"/>
      <c r="F14" s="2771"/>
      <c r="G14" s="2772" t="s">
        <v>2868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6" t="s">
        <v>2869</v>
      </c>
      <c r="C15" s="229">
        <f>IF(C14="有",1.1,1)</f>
        <v>1</v>
      </c>
      <c r="D15" s="229">
        <f>IF(D14="有",1.1,1)</f>
        <v>1</v>
      </c>
      <c r="E15" s="229">
        <f>IF(E14="有",1.1,1)</f>
        <v>1</v>
      </c>
      <c r="F15" s="229">
        <f>IF(F14="500米范围内",1.2,IF(F14="500-1000米",1.1,1))</f>
        <v>1</v>
      </c>
      <c r="G15" s="948">
        <v>1</v>
      </c>
      <c r="H15" s="948">
        <v>1</v>
      </c>
      <c r="I15" s="948">
        <v>1</v>
      </c>
      <c r="J15" s="949">
        <v>1</v>
      </c>
      <c r="K15" s="1372"/>
      <c r="L15" s="2777" t="s">
        <v>2805</v>
      </c>
      <c r="M15" s="919" t="s">
        <v>2870</v>
      </c>
      <c r="N15" s="919" t="s">
        <v>2871</v>
      </c>
      <c r="O15" s="919" t="s">
        <v>2872</v>
      </c>
      <c r="P15" s="2778"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2874</v>
      </c>
      <c r="B16" s="2745" t="s">
        <v>2875</v>
      </c>
      <c r="C16" s="1803" t="e">
        <f>ROUND(SUM(G17:J17)/C17,0)</f>
        <v>#DIV/0!</v>
      </c>
      <c r="D16" s="2779" t="s">
        <v>2876</v>
      </c>
      <c r="E16" s="2780"/>
      <c r="F16" s="2781"/>
      <c r="G16" s="2782"/>
      <c r="H16" s="2782"/>
      <c r="I16" s="2782"/>
      <c r="J16" s="2783"/>
      <c r="K16" s="1372"/>
      <c r="L16" s="2784"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5" t="s">
        <v>2878</v>
      </c>
      <c r="C17" s="923">
        <f>SUMPRODUCT((修正!A2:A5=E2)*(修正!B1:M1=G2)*(修正!B2:M5))</f>
        <v>0</v>
      </c>
      <c r="D17" s="2786"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2883</v>
      </c>
      <c r="C19" s="926" t="e">
        <f>ROUND(IF(H19="按公示增长率计算",SUMPRODUCT((地价!A3:A23=YEAR(G19)&amp;"-"&amp;ROUNDUP(MONTH(G19)/3,0))*(地价!X2:AB2=E2)*(地价!X3:AB23)),IF(H19="地价指数",M20/M19,(1+I19)^O19)),4)</f>
        <v>#DIV/0!</v>
      </c>
      <c r="D19" s="2797" t="s">
        <v>2884</v>
      </c>
      <c r="E19" s="927">
        <v>41640</v>
      </c>
      <c r="F19" s="2797" t="s">
        <v>2885</v>
      </c>
      <c r="G19" s="928">
        <f>'数据-取费表'!B2</f>
        <v>43316</v>
      </c>
      <c r="H19" s="2798" t="s">
        <v>2886</v>
      </c>
      <c r="I19" s="929" t="str">
        <f>IF(H19="季度增幅（自定义）",SUMIF(N21:N24,E2,O21:O24),"")</f>
        <v/>
      </c>
      <c r="J19" s="2795"/>
      <c r="K19" s="1379"/>
      <c r="L19" s="2799" t="s">
        <v>2887</v>
      </c>
      <c r="M19" s="1736">
        <f>ROUND(SUMIF(地价!B2:F2,E2,地价!B23:F23),0)</f>
        <v>0</v>
      </c>
      <c r="N19" s="2800"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2889</v>
      </c>
      <c r="C20" s="931" t="e">
        <f>ROUND(POWER(1+G20,J20-I20)*(POWER(1+G20,I20)-1)/(POWER(1+G20,J20)-1),4)</f>
        <v>#DIV/0!</v>
      </c>
      <c r="D20" s="2806" t="s">
        <v>2890</v>
      </c>
      <c r="E20" s="1770">
        <f ca="1">存贷款利率!D4/100</f>
        <v>4.3499999999999997E-2</v>
      </c>
      <c r="F20" s="2806" t="s">
        <v>2881</v>
      </c>
      <c r="G20" s="936">
        <f>SUMIF(M15:P15,E2,M17:P17)</f>
        <v>0</v>
      </c>
      <c r="H20" s="2806" t="s">
        <v>2891</v>
      </c>
      <c r="I20" s="937" t="e">
        <f>SUMIF('数据-取费表'!C6:C15,E2,'数据-取费表'!F6:F15)/COUNTIF('数据-取费表'!C6:C15,E2)</f>
        <v>#DIV/0!</v>
      </c>
      <c r="J20" s="938">
        <f>IF(E2="住宅",70,IF(E2="商业",40,50))</f>
        <v>50</v>
      </c>
      <c r="K20" s="1379"/>
      <c r="L20" s="2807" t="s">
        <v>2892</v>
      </c>
      <c r="M20" s="1737">
        <f>ROUND(SUMPRODUCT((地价!A4:A23=YEAR(G19)&amp;"-"&amp;ROUNDUP(MONTH(G19)/3,0))*(地价!B2:F2=E2)*(地价!B4:F23)),0)</f>
        <v>0</v>
      </c>
      <c r="N20" s="2808" t="s">
        <v>2893</v>
      </c>
      <c r="O20" s="2809" t="s">
        <v>2894</v>
      </c>
      <c r="P20" s="2810" t="s">
        <v>2895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2896</v>
      </c>
      <c r="C21" s="939">
        <f>IF(B21="容积率修正",IF(G3&lt;=10,D22,J22),C23)</f>
        <v>0</v>
      </c>
      <c r="D21" s="2813"/>
      <c r="E21" s="2813"/>
      <c r="F21" s="2813"/>
      <c r="G21" s="2813"/>
      <c r="H21" s="2813"/>
      <c r="I21" s="2813"/>
      <c r="J21" s="2814"/>
      <c r="K21" s="1379"/>
      <c r="N21" s="2815"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8" customFormat="1" ht="14.25">
      <c r="A22" s="2664" t="s">
        <v>2898</v>
      </c>
      <c r="B22" s="2816" t="s">
        <v>2899</v>
      </c>
      <c r="C22" s="1812" t="s">
        <v>2900</v>
      </c>
      <c r="D22" s="1812" t="str">
        <f>IF(E22=G22,F22,IF(G3&lt;=10,ROUND(F22+(H22-F22)*(G3-E22)/(G22-E22),4),"——"))</f>
        <v>——</v>
      </c>
      <c r="E22" s="915">
        <f>ROUNDDOWN(G3,1)</f>
        <v>15.9</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15.9</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v>
      </c>
      <c r="K22" s="1379"/>
      <c r="N22" s="2815"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4" t="s">
        <v>2902</v>
      </c>
      <c r="B23" s="2817" t="s">
        <v>2903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2905</v>
      </c>
      <c r="C24" s="926">
        <f>SUMIF(A45:A88,E2,B45:B88)</f>
        <v>0</v>
      </c>
      <c r="D24" s="2793"/>
      <c r="E24" s="2823"/>
      <c r="F24" s="2823"/>
      <c r="G24" s="2823"/>
      <c r="H24" s="2823"/>
      <c r="I24" s="2823"/>
      <c r="J24" s="2824"/>
      <c r="K24" s="1379"/>
      <c r="N24" s="2825"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2907</v>
      </c>
      <c r="C25" s="932"/>
      <c r="D25" s="2748"/>
      <c r="E25" s="2748"/>
      <c r="F25" s="2827"/>
      <c r="G25" s="2748"/>
      <c r="H25" s="2748"/>
      <c r="I25" s="2748"/>
      <c r="J25" s="2749"/>
      <c r="K25" s="1372"/>
      <c r="N25" s="2828"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9"/>
      <c r="B26" s="2816" t="s">
        <v>2909</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2911</v>
      </c>
      <c r="C28" s="2840" t="s">
        <v>2912</v>
      </c>
      <c r="D28" s="2840" t="s">
        <v>2913</v>
      </c>
      <c r="E28" s="2841" t="s">
        <v>2914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2915</v>
      </c>
      <c r="C29" s="206" t="e">
        <f>ROUND(C5*C18*C19*C20*C21*C24,0)</f>
        <v>#DIV/0!</v>
      </c>
      <c r="D29" s="2845"/>
      <c r="E29" s="944" t="e">
        <f>ROUND(C29*D29/10000,0)</f>
        <v>#DIV/0!</v>
      </c>
      <c r="F29" s="2846" t="s">
        <v>2916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2917</v>
      </c>
      <c r="C30" s="229" t="e">
        <f>ROUND(IF(E2="工业",C29*M39,C29*M38),0)</f>
        <v>#DIV/0!</v>
      </c>
      <c r="D30" s="2851"/>
      <c r="E30" s="944" t="e">
        <f>ROUND(C30*D30/10000,0)</f>
        <v>#DIV/0!</v>
      </c>
      <c r="F30" s="2852" t="s">
        <v>2918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2919</v>
      </c>
      <c r="C31" s="2857" t="s">
        <v>2920</v>
      </c>
      <c r="D31" s="2761"/>
      <c r="E31" s="2857"/>
      <c r="F31" s="2857"/>
      <c r="G31" s="2759" t="s">
        <v>2921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2912</v>
      </c>
      <c r="D32" s="498" t="s">
        <v>2913</v>
      </c>
      <c r="E32" s="498" t="s">
        <v>2914</v>
      </c>
      <c r="F32" s="388" t="s">
        <v>2922</v>
      </c>
      <c r="G32" s="2860" t="s">
        <v>2912</v>
      </c>
      <c r="H32" s="2860" t="s">
        <v>2913</v>
      </c>
      <c r="I32" s="2860"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3" t="s">
        <v>2923</v>
      </c>
      <c r="B33" s="2861" t="s">
        <v>2924</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4"/>
      <c r="B34" s="2765" t="s">
        <v>2925</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4"/>
      <c r="B35" s="2765" t="s">
        <v>2926</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5"/>
      <c r="B36" s="2765" t="s">
        <v>2927</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2928</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2929</v>
      </c>
      <c r="M37" s="2865"/>
      <c r="N37" s="1372"/>
      <c r="O37" s="1372"/>
      <c r="P37" s="1372"/>
      <c r="Q37" s="1372"/>
      <c r="R37" s="1372"/>
      <c r="S37" s="1372"/>
      <c r="T37" s="1372"/>
      <c r="U37" s="1372"/>
      <c r="V37" s="1372"/>
      <c r="W37" s="1372"/>
      <c r="X37" s="1372"/>
      <c r="Y37" s="1372"/>
      <c r="Z37" s="1373"/>
    </row>
    <row r="38" spans="1:37">
      <c r="A38" s="2863"/>
      <c r="B38" s="2765" t="s">
        <v>2930</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2931</v>
      </c>
      <c r="M38" s="2866">
        <v>0.25</v>
      </c>
      <c r="N38" s="1372"/>
      <c r="O38" s="1372"/>
      <c r="P38" s="1372"/>
      <c r="Q38" s="1372"/>
      <c r="R38" s="1372"/>
      <c r="S38" s="1372"/>
      <c r="T38" s="1372"/>
      <c r="U38" s="1372"/>
      <c r="V38" s="1372"/>
      <c r="W38" s="1372"/>
      <c r="X38" s="1372"/>
      <c r="Y38" s="1372"/>
      <c r="Z38" s="1373"/>
    </row>
    <row r="39" spans="1:37" ht="13.5" thickBot="1">
      <c r="A39" s="2849"/>
      <c r="B39" s="2867" t="s">
        <v>2932</v>
      </c>
      <c r="C39" s="229" t="e">
        <f>ROUND(C5*C19*C20*C24*F39,0)</f>
        <v>#DIV/0!</v>
      </c>
      <c r="D39" s="2851"/>
      <c r="E39" s="229" t="e">
        <f t="shared" si="7"/>
        <v>#DIV/0!</v>
      </c>
      <c r="F39" s="934">
        <f>SUMIF(修正!A45:A56,G2,修正!H45:H56)</f>
        <v>0</v>
      </c>
      <c r="G39" s="229" t="e">
        <f>ROUND(IF(E2="工业",C39*$M$39,C39*$M$38),0)</f>
        <v>#DIV/0!</v>
      </c>
      <c r="H39" s="229">
        <f t="shared" si="8"/>
        <v>0</v>
      </c>
      <c r="I39" s="229" t="e">
        <f t="shared" si="9"/>
        <v>#DIV/0!</v>
      </c>
      <c r="J39" s="2868"/>
      <c r="K39" s="1372"/>
      <c r="L39" s="2869" t="s">
        <v>2873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2935</v>
      </c>
      <c r="B47" s="1811" t="s">
        <v>2936</v>
      </c>
      <c r="C47" s="1811" t="s">
        <v>2937</v>
      </c>
      <c r="D47" s="1811" t="s">
        <v>2938</v>
      </c>
      <c r="E47" s="818" t="s">
        <v>2939</v>
      </c>
      <c r="F47" s="2879" t="s">
        <v>2940</v>
      </c>
      <c r="G47" s="1811" t="s">
        <v>754</v>
      </c>
      <c r="H47" s="2880" t="s">
        <v>2941</v>
      </c>
      <c r="I47" s="1811"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8" t="s">
        <v>2943</v>
      </c>
      <c r="B48" s="2881" t="str">
        <f>估价对象房地状况!C4</f>
        <v>一般</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8" t="s">
        <v>2944</v>
      </c>
      <c r="B49" s="2882" t="str">
        <f>估价对象房地状况!C18</f>
        <v>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2946</v>
      </c>
      <c r="B51" s="2883" t="s">
        <v>2947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2948</v>
      </c>
      <c r="B52" s="2882" t="str">
        <f>估价对象房地状况!C24</f>
        <v>区内道路</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2949</v>
      </c>
      <c r="B53" s="2884" t="s">
        <v>2950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5" t="s">
        <v>2951</v>
      </c>
      <c r="B54" s="1727" t="str">
        <f>估价对象房地状况!C21</f>
        <v>较齐备</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5" t="s">
        <v>2952</v>
      </c>
      <c r="B55" s="2882" t="str">
        <f>估价对象房地状况!C22</f>
        <v>六通</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6" t="s">
        <v>2953</v>
      </c>
      <c r="B56" s="2887" t="str">
        <f>估价对象房地状况!C20</f>
        <v>较好</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2935</v>
      </c>
      <c r="B58" s="1811"/>
      <c r="C58" s="1811" t="s">
        <v>2937</v>
      </c>
      <c r="D58" s="1811" t="s">
        <v>2938</v>
      </c>
      <c r="E58" s="818" t="s">
        <v>2939</v>
      </c>
      <c r="F58" s="2879" t="s">
        <v>2955</v>
      </c>
      <c r="G58" s="1811" t="s">
        <v>754</v>
      </c>
      <c r="H58" s="2880" t="s">
        <v>2941</v>
      </c>
      <c r="I58" s="1811"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8" t="s">
        <v>2956</v>
      </c>
      <c r="B59" s="2881">
        <f>估价对象房地状况!C17</f>
        <v>0</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8" t="s">
        <v>2944</v>
      </c>
      <c r="B60" s="2882" t="str">
        <f>估价对象房地状况!C18</f>
        <v>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2945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2946</v>
      </c>
      <c r="B62" s="2883" t="s">
        <v>2947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2948</v>
      </c>
      <c r="B63" s="2882" t="str">
        <f>估价对象房地状况!C24</f>
        <v>区内道路</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2949</v>
      </c>
      <c r="B64" s="2884" t="s">
        <v>2950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8" t="s">
        <v>2951</v>
      </c>
      <c r="B65" s="1727" t="str">
        <f>估价对象房地状况!C21</f>
        <v>较齐备</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8" t="s">
        <v>2952</v>
      </c>
      <c r="B66" s="1727" t="str">
        <f>估价对象房地状况!C22</f>
        <v>六通</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6" t="s">
        <v>2953</v>
      </c>
      <c r="B67" s="2888" t="str">
        <f>估价对象房地状况!C20</f>
        <v>较好</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2957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2935</v>
      </c>
      <c r="B69" s="1811"/>
      <c r="C69" s="1811" t="s">
        <v>2937</v>
      </c>
      <c r="D69" s="1811" t="s">
        <v>2938</v>
      </c>
      <c r="E69" s="818" t="s">
        <v>2939</v>
      </c>
      <c r="F69" s="2879" t="s">
        <v>2955</v>
      </c>
      <c r="G69" s="1811" t="s">
        <v>754</v>
      </c>
      <c r="H69" s="2880" t="s">
        <v>2941</v>
      </c>
      <c r="I69" s="1811"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8" t="s">
        <v>2958</v>
      </c>
      <c r="B70" s="2881">
        <f>估价对象房地状况!C15</f>
        <v>0</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2944</v>
      </c>
      <c r="B71" s="2882" t="str">
        <f>估价对象房地状况!C18</f>
        <v>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2959</v>
      </c>
      <c r="B73" s="2882" t="str">
        <f>估价对象房地状况!C24</f>
        <v>区内道路</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2951</v>
      </c>
      <c r="B74" s="1727" t="str">
        <f>估价对象房地状况!C21</f>
        <v>较齐备</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2952</v>
      </c>
      <c r="B75" s="1727" t="str">
        <f>估价对象房地状况!C22</f>
        <v>六通</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2949</v>
      </c>
      <c r="B76" s="2884" t="s">
        <v>2950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2953</v>
      </c>
      <c r="B77" s="2881" t="str">
        <f>估价对象房地状况!C20</f>
        <v>较好</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2961</v>
      </c>
      <c r="B79" s="2875">
        <f>1+E81</f>
        <v>1</v>
      </c>
      <c r="C79" s="813"/>
      <c r="D79" s="813"/>
      <c r="E79" s="814"/>
      <c r="F79" s="2877"/>
      <c r="G79" s="6"/>
      <c r="H79" s="6"/>
      <c r="I79" s="6"/>
      <c r="J79" s="7"/>
      <c r="K79" s="7"/>
      <c r="L79" s="7"/>
      <c r="M79" s="7"/>
      <c r="N79" s="7"/>
      <c r="Z79" s="2720"/>
      <c r="AA79" s="2796"/>
      <c r="AG79" s="1374"/>
      <c r="AK79" s="2796"/>
    </row>
    <row r="80" spans="1:37" ht="24.75">
      <c r="A80" s="2878" t="s">
        <v>2935</v>
      </c>
      <c r="B80" s="1811"/>
      <c r="C80" s="1811" t="s">
        <v>2937</v>
      </c>
      <c r="D80" s="1811" t="s">
        <v>2938</v>
      </c>
      <c r="E80" s="818" t="s">
        <v>2939</v>
      </c>
      <c r="F80" s="2879" t="s">
        <v>2955</v>
      </c>
      <c r="G80" s="1811" t="s">
        <v>754</v>
      </c>
      <c r="H80" s="2880" t="s">
        <v>2941</v>
      </c>
      <c r="I80" s="1811" t="s">
        <v>2942</v>
      </c>
      <c r="J80" s="603" t="s">
        <v>2588</v>
      </c>
      <c r="K80" s="603" t="s">
        <v>2589</v>
      </c>
      <c r="L80" s="603" t="s">
        <v>2590</v>
      </c>
      <c r="M80" s="603" t="s">
        <v>2591</v>
      </c>
      <c r="N80" s="603" t="s">
        <v>2592</v>
      </c>
      <c r="Z80" s="2720"/>
      <c r="AA80" s="2796"/>
      <c r="AG80" s="1374"/>
      <c r="AK80" s="2796"/>
    </row>
    <row r="81" spans="1:37" ht="24">
      <c r="A81" s="2878" t="s">
        <v>2962</v>
      </c>
      <c r="B81" s="2882">
        <f>估价对象房地状况!G15</f>
        <v>0</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2944</v>
      </c>
      <c r="B82" s="2882">
        <f>估价对象房地状况!G16</f>
        <v>0</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2959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4">
      <c r="A85" s="2878" t="s">
        <v>2951</v>
      </c>
      <c r="B85" s="1727">
        <f>估价对象房地状况!G19</f>
        <v>0</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4">
      <c r="A86" s="2878" t="s">
        <v>2952</v>
      </c>
      <c r="B86" s="1727">
        <f>估价对象房地状况!G20</f>
        <v>0</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2949</v>
      </c>
      <c r="B87" s="2884" t="s">
        <v>2963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15" thickBot="1">
      <c r="A88" s="2886" t="s">
        <v>2964</v>
      </c>
      <c r="B88" s="2891">
        <f>估价对象房地状况!G18</f>
        <v>0</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67" t="s">
        <v>2965</v>
      </c>
      <c r="B90" s="3267"/>
      <c r="C90" s="3267"/>
      <c r="D90" s="3267"/>
      <c r="E90" s="3267"/>
      <c r="F90" s="3267"/>
      <c r="G90" s="3267"/>
      <c r="H90" s="3267"/>
      <c r="I90" s="3267"/>
      <c r="J90" s="3267"/>
      <c r="K90" s="2892"/>
      <c r="L90" s="2892"/>
      <c r="M90" s="2892"/>
      <c r="N90" s="2892"/>
    </row>
    <row r="91" spans="1:37">
      <c r="A91" s="3269" t="s">
        <v>2966</v>
      </c>
      <c r="B91" s="3269" t="s">
        <v>2967</v>
      </c>
      <c r="C91" s="2846" t="s">
        <v>2968</v>
      </c>
      <c r="D91" s="2847"/>
      <c r="E91" s="2847"/>
      <c r="F91" s="2847"/>
      <c r="G91" s="2847"/>
      <c r="H91" s="2847"/>
      <c r="I91" s="2847"/>
      <c r="J91" s="2893"/>
      <c r="K91" s="2894"/>
      <c r="L91" s="2894"/>
      <c r="M91" s="2894"/>
      <c r="N91" s="2894"/>
    </row>
    <row r="92" spans="1:37">
      <c r="A92" s="3269"/>
      <c r="B92" s="3269"/>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70" t="s">
        <v>2969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1"/>
      <c r="B99" s="2895" t="s">
        <v>2848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0" t="s">
        <v>2970</v>
      </c>
      <c r="B101" s="2899" t="s">
        <v>2971</v>
      </c>
      <c r="C101" s="2900">
        <f>$G$3</f>
        <v>15.9</v>
      </c>
      <c r="D101" s="2900">
        <f t="shared" ref="D101:N101" si="31">$G$3</f>
        <v>15.9</v>
      </c>
      <c r="E101" s="2900">
        <f t="shared" si="31"/>
        <v>15.9</v>
      </c>
      <c r="F101" s="2900">
        <f t="shared" si="31"/>
        <v>15.9</v>
      </c>
      <c r="G101" s="2900">
        <f t="shared" si="31"/>
        <v>15.9</v>
      </c>
      <c r="H101" s="2900">
        <f t="shared" si="31"/>
        <v>15.9</v>
      </c>
      <c r="I101" s="2900">
        <f t="shared" si="31"/>
        <v>15.9</v>
      </c>
      <c r="J101" s="2900">
        <f t="shared" si="31"/>
        <v>15.9</v>
      </c>
      <c r="K101" s="2900">
        <f t="shared" si="31"/>
        <v>15.9</v>
      </c>
      <c r="L101" s="2900">
        <f t="shared" si="31"/>
        <v>15.9</v>
      </c>
      <c r="M101" s="2900">
        <f t="shared" si="31"/>
        <v>15.9</v>
      </c>
      <c r="N101" s="2900">
        <f t="shared" si="31"/>
        <v>15.9</v>
      </c>
    </row>
    <row r="102" spans="1:14">
      <c r="A102" s="3271"/>
      <c r="B102" s="2895">
        <v>1</v>
      </c>
      <c r="C102" s="2896">
        <f>1.9362/C101</f>
        <v>0.12177358490566037</v>
      </c>
      <c r="D102" s="2896">
        <f>1.9362/D101</f>
        <v>0.12177358490566037</v>
      </c>
      <c r="E102" s="2896">
        <f>1.8629/E101</f>
        <v>0.11716352201257861</v>
      </c>
      <c r="F102" s="2896">
        <f>1.8629/F101</f>
        <v>0.11716352201257861</v>
      </c>
      <c r="G102" s="2896">
        <f>1.8629/G101</f>
        <v>0.11716352201257861</v>
      </c>
      <c r="H102" s="2896">
        <f>1.8629/H101</f>
        <v>0.11716352201257861</v>
      </c>
      <c r="I102" s="2896">
        <f>1.8629/I101</f>
        <v>0.11716352201257861</v>
      </c>
      <c r="J102" s="2896">
        <f>1.942/J101</f>
        <v>0.12213836477987421</v>
      </c>
      <c r="K102" s="2896">
        <f>1.942/K101</f>
        <v>0.12213836477987421</v>
      </c>
      <c r="L102" s="2896">
        <f>1.942/L101</f>
        <v>0.12213836477987421</v>
      </c>
      <c r="M102" s="2896">
        <f>1.942/M101</f>
        <v>0.12213836477987421</v>
      </c>
      <c r="N102" s="2896">
        <f>1.942/N101</f>
        <v>0.12213836477987421</v>
      </c>
    </row>
    <row r="103" spans="1:14">
      <c r="A103" s="3271"/>
      <c r="B103" s="2895">
        <v>2</v>
      </c>
      <c r="C103" s="2896">
        <f>1.4198/C101</f>
        <v>8.929559748427672E-2</v>
      </c>
      <c r="D103" s="2896">
        <f>1.4198/D101</f>
        <v>8.929559748427672E-2</v>
      </c>
      <c r="E103" s="2896">
        <f>1.3372/E101</f>
        <v>8.41006289308176E-2</v>
      </c>
      <c r="F103" s="2896">
        <f>1.3372/F101</f>
        <v>8.41006289308176E-2</v>
      </c>
      <c r="G103" s="2896">
        <f>1.3372/G101</f>
        <v>8.41006289308176E-2</v>
      </c>
      <c r="H103" s="2896">
        <f>1.3372/H101</f>
        <v>8.41006289308176E-2</v>
      </c>
      <c r="I103" s="2896">
        <f>1.3372/I101</f>
        <v>8.41006289308176E-2</v>
      </c>
      <c r="J103" s="2896">
        <f>1.2799/J101</f>
        <v>8.0496855345911944E-2</v>
      </c>
      <c r="K103" s="2896">
        <f>1.2799/K101</f>
        <v>8.0496855345911944E-2</v>
      </c>
      <c r="L103" s="2896">
        <f>1.2799/L101</f>
        <v>8.0496855345911944E-2</v>
      </c>
      <c r="M103" s="2896">
        <f>1.2799/M101</f>
        <v>8.0496855345911944E-2</v>
      </c>
      <c r="N103" s="2896">
        <f>1.2799/N101</f>
        <v>8.0496855345911944E-2</v>
      </c>
    </row>
    <row r="104" spans="1:14">
      <c r="A104" s="3271"/>
      <c r="B104" s="2895">
        <v>3</v>
      </c>
      <c r="C104" s="2896">
        <f>1.1594/C101</f>
        <v>7.2918238993710693E-2</v>
      </c>
      <c r="D104" s="2896">
        <f>1.1594/D101</f>
        <v>7.2918238993710693E-2</v>
      </c>
      <c r="E104" s="2896">
        <f>1.0788/E101</f>
        <v>6.7849056603773578E-2</v>
      </c>
      <c r="F104" s="2896">
        <f>1.0788/F101</f>
        <v>6.7849056603773578E-2</v>
      </c>
      <c r="G104" s="2896">
        <f>1.0788/G101</f>
        <v>6.7849056603773578E-2</v>
      </c>
      <c r="H104" s="2896">
        <f>1.0788/H101</f>
        <v>6.7849056603773578E-2</v>
      </c>
      <c r="I104" s="2896">
        <f>1.0788/I101</f>
        <v>6.7849056603773578E-2</v>
      </c>
      <c r="J104" s="2896">
        <f>1.0072/J101</f>
        <v>6.3345911949685543E-2</v>
      </c>
      <c r="K104" s="2896">
        <f>1.0072/K101</f>
        <v>6.3345911949685543E-2</v>
      </c>
      <c r="L104" s="2896">
        <f>1.0072/L101</f>
        <v>6.3345911949685543E-2</v>
      </c>
      <c r="M104" s="2896">
        <f>1.0072/M101</f>
        <v>6.3345911949685543E-2</v>
      </c>
      <c r="N104" s="2896">
        <f>1.0072/N101</f>
        <v>6.3345911949685543E-2</v>
      </c>
    </row>
    <row r="105" spans="1:14">
      <c r="A105" s="3271"/>
      <c r="B105" s="2895">
        <v>4</v>
      </c>
      <c r="C105" s="2896">
        <f>0.9622/C101</f>
        <v>6.0515723270440254E-2</v>
      </c>
      <c r="D105" s="2896">
        <f>0.9622/D101</f>
        <v>6.0515723270440254E-2</v>
      </c>
      <c r="E105" s="2896">
        <f>0.8656/E101</f>
        <v>5.4440251572327042E-2</v>
      </c>
      <c r="F105" s="2896">
        <f>0.8656/F101</f>
        <v>5.4440251572327042E-2</v>
      </c>
      <c r="G105" s="2896">
        <f>0.8656/G101</f>
        <v>5.4440251572327042E-2</v>
      </c>
      <c r="H105" s="2896">
        <f>0.8656/H101</f>
        <v>5.4440251572327042E-2</v>
      </c>
      <c r="I105" s="2896">
        <f>0.8656/I101</f>
        <v>5.4440251572327042E-2</v>
      </c>
      <c r="J105" s="2896">
        <f>0.7525/J101</f>
        <v>4.7327044025157229E-2</v>
      </c>
      <c r="K105" s="2896">
        <f>0.7525/K101</f>
        <v>4.7327044025157229E-2</v>
      </c>
      <c r="L105" s="2896">
        <f>0.7525/L101</f>
        <v>4.7327044025157229E-2</v>
      </c>
      <c r="M105" s="2896">
        <f>0.7525/M101</f>
        <v>4.7327044025157229E-2</v>
      </c>
      <c r="N105" s="2896">
        <f>0.7525/N101</f>
        <v>4.7327044025157229E-2</v>
      </c>
    </row>
    <row r="106" spans="1:14">
      <c r="A106" s="3271"/>
      <c r="B106" s="2895">
        <v>5</v>
      </c>
      <c r="C106" s="2896">
        <f>0.8417/C101</f>
        <v>5.2937106918238989E-2</v>
      </c>
      <c r="D106" s="2896">
        <f>0.8417/D101</f>
        <v>5.2937106918238989E-2</v>
      </c>
      <c r="E106" s="2896">
        <f>0.7371/E101</f>
        <v>4.6358490566037733E-2</v>
      </c>
      <c r="F106" s="2896">
        <f>0.7371/F101</f>
        <v>4.6358490566037733E-2</v>
      </c>
      <c r="G106" s="2896">
        <f>0.7371/G101</f>
        <v>4.6358490566037733E-2</v>
      </c>
      <c r="H106" s="2896">
        <f>0.7371/H101</f>
        <v>4.6358490566037733E-2</v>
      </c>
      <c r="I106" s="2896">
        <f>0.7371/I101</f>
        <v>4.6358490566037733E-2</v>
      </c>
      <c r="J106" s="2896">
        <f>0.5659/J101</f>
        <v>3.5591194968553452E-2</v>
      </c>
      <c r="K106" s="2896">
        <f>0.5659/K101</f>
        <v>3.5591194968553452E-2</v>
      </c>
      <c r="L106" s="2896">
        <f>0.5659/L101</f>
        <v>3.5591194968553452E-2</v>
      </c>
      <c r="M106" s="2896">
        <f>0.5659/M101</f>
        <v>3.5591194968553452E-2</v>
      </c>
      <c r="N106" s="2896">
        <f>0.5659/N101</f>
        <v>3.5591194968553452E-2</v>
      </c>
    </row>
    <row r="107" spans="1:14">
      <c r="A107" s="3271"/>
      <c r="B107" s="2895">
        <v>6</v>
      </c>
      <c r="C107" s="2896">
        <f>0.7608/C101</f>
        <v>4.7849056603773588E-2</v>
      </c>
      <c r="D107" s="2896">
        <f>0.7608/D101</f>
        <v>4.7849056603773588E-2</v>
      </c>
      <c r="E107" s="2896">
        <f>0.6482/E101</f>
        <v>4.0767295597484272E-2</v>
      </c>
      <c r="F107" s="2896">
        <f>0.6482/F101</f>
        <v>4.0767295597484272E-2</v>
      </c>
      <c r="G107" s="2896">
        <f>0.6482/G101</f>
        <v>4.0767295597484272E-2</v>
      </c>
      <c r="H107" s="2896">
        <f>0.6482/H101</f>
        <v>4.0767295597484272E-2</v>
      </c>
      <c r="I107" s="2896">
        <f>0.6482/I101</f>
        <v>4.0767295597484272E-2</v>
      </c>
      <c r="J107" s="2896">
        <f>0.4525/J101</f>
        <v>2.8459119496855347E-2</v>
      </c>
      <c r="K107" s="2896">
        <f>0.4525/K101</f>
        <v>2.8459119496855347E-2</v>
      </c>
      <c r="L107" s="2896">
        <f>0.4525/L101</f>
        <v>2.8459119496855347E-2</v>
      </c>
      <c r="M107" s="2896">
        <f>0.4525/M101</f>
        <v>2.8459119496855347E-2</v>
      </c>
      <c r="N107" s="2896">
        <f>0.4525/N101</f>
        <v>2.8459119496855347E-2</v>
      </c>
    </row>
    <row r="108" spans="1:14">
      <c r="A108" s="3271"/>
      <c r="B108" s="3090" t="s">
        <v>2972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2"/>
      <c r="B109" s="3091"/>
      <c r="C109" s="2898">
        <f>(-0.163*(C108^2)-0.59*C108+7617)*(10^(-4))/C101</f>
        <v>4.7905660377358494E-2</v>
      </c>
      <c r="D109" s="2898">
        <f>(-0.163*(D108^2)-0.59*D108+7617)*(10^(-4))/D101</f>
        <v>4.7905660377358494E-2</v>
      </c>
      <c r="E109" s="2898">
        <f>(-0.161*(E108^2)-7.509*E108+6533)*(10^(-4))/E101</f>
        <v>4.1088050314465406E-2</v>
      </c>
      <c r="F109" s="2898">
        <f>(-0.161*(F108^2)-7.509*F108+6533)*(10^(-4))/F101</f>
        <v>4.1088050314465406E-2</v>
      </c>
      <c r="G109" s="2898">
        <f>(-0.161*(G108^2)-7.509*G108+6533)*(10^(-4))/G101</f>
        <v>4.1088050314465406E-2</v>
      </c>
      <c r="H109" s="2898">
        <f>(-0.161*(H108^2)-7.509*H108+6533)*(10^(-4))/H101</f>
        <v>4.1088050314465406E-2</v>
      </c>
      <c r="I109" s="2898">
        <f>(-0.161*(I108^2)-7.509*I108+6533)*(10^(-4))/I101</f>
        <v>4.1088050314465406E-2</v>
      </c>
      <c r="J109" s="2898">
        <f>(-0.214*(J108^2)-21.991*J108+4665)*(10^(-4))/J101</f>
        <v>2.9339622641509435E-2</v>
      </c>
      <c r="K109" s="2898">
        <f>(-0.214*(K108^2)-21.991*K108+4665)*(10^(-4))/K101</f>
        <v>2.9339622641509435E-2</v>
      </c>
      <c r="L109" s="2898">
        <f>(-0.214*(L108^2)-21.991*L108+4665)*(10^(-4))/L101</f>
        <v>2.9339622641509435E-2</v>
      </c>
      <c r="M109" s="2898">
        <f>(-0.214*(M108^2)-21.991*M108+4665)*(10^(-4))/M101</f>
        <v>2.9339622641509435E-2</v>
      </c>
      <c r="N109" s="2898">
        <f>(-0.214*(N108^2)-21.991*N108+4665)*(10^(-4))/N101</f>
        <v>2.9339622641509435E-2</v>
      </c>
    </row>
    <row r="110" spans="1:14">
      <c r="A110" s="3268" t="s">
        <v>2973</v>
      </c>
      <c r="B110" s="3268"/>
      <c r="C110" s="3268"/>
      <c r="D110" s="3268"/>
      <c r="E110" s="3268"/>
      <c r="F110" s="3268"/>
      <c r="G110" s="3268"/>
      <c r="H110" s="3268"/>
      <c r="I110" s="3268"/>
      <c r="J110" s="3268"/>
      <c r="K110" s="2901"/>
      <c r="L110" s="2901"/>
      <c r="M110" s="2901"/>
      <c r="N110" s="2901"/>
    </row>
    <row r="112" spans="1:14" ht="13.5" thickBot="1"/>
    <row r="113" spans="1:13" ht="25.5" thickBot="1">
      <c r="A113" s="902" t="s">
        <v>2974</v>
      </c>
      <c r="B113" s="1289">
        <f>G3</f>
        <v>15.9</v>
      </c>
      <c r="C113" s="903" t="s">
        <v>2975</v>
      </c>
      <c r="D113" s="904">
        <f>SUMPRODUCT((A115:A118=F113)*(B114:M114=H113)*B115:M118)</f>
        <v>0</v>
      </c>
      <c r="E113" s="2724" t="s">
        <v>2805</v>
      </c>
      <c r="F113" s="2903">
        <f>E2</f>
        <v>0</v>
      </c>
      <c r="G113" s="2724" t="s">
        <v>2806</v>
      </c>
      <c r="H113" s="2903">
        <f>G2</f>
        <v>0</v>
      </c>
      <c r="I113" s="2724"/>
      <c r="J113" s="2904"/>
      <c r="K113" s="2904"/>
      <c r="L113" s="2904"/>
      <c r="M113" s="2904"/>
    </row>
    <row r="114" spans="1:13">
      <c r="A114" s="907"/>
      <c r="B114" s="2905" t="s">
        <v>2976</v>
      </c>
      <c r="C114" s="2905" t="s">
        <v>2977</v>
      </c>
      <c r="D114" s="2905" t="s">
        <v>2978</v>
      </c>
      <c r="E114" s="2906" t="s">
        <v>2979</v>
      </c>
      <c r="F114" s="2906" t="s">
        <v>2980</v>
      </c>
      <c r="G114" s="2906" t="s">
        <v>2981</v>
      </c>
      <c r="H114" s="2907" t="s">
        <v>2982</v>
      </c>
      <c r="I114" s="2907" t="s">
        <v>2983</v>
      </c>
      <c r="J114" s="2908" t="s">
        <v>2984</v>
      </c>
      <c r="K114" s="2908" t="s">
        <v>2985</v>
      </c>
      <c r="L114" s="2908" t="s">
        <v>2986</v>
      </c>
      <c r="M114" s="2909" t="s">
        <v>2987</v>
      </c>
    </row>
    <row r="115" spans="1:13">
      <c r="A115" s="908" t="s">
        <v>2870</v>
      </c>
      <c r="B115" s="909">
        <f>ROUND(0.9335-0.0094*B113,4)</f>
        <v>0.78400000000000003</v>
      </c>
      <c r="C115" s="909">
        <f>B115</f>
        <v>0.78400000000000003</v>
      </c>
      <c r="D115" s="909">
        <f>ROUND(0.8331-0.0109*B113,4)</f>
        <v>0.65980000000000005</v>
      </c>
      <c r="E115" s="909">
        <f>D115</f>
        <v>0.65980000000000005</v>
      </c>
      <c r="F115" s="909">
        <f>E115</f>
        <v>0.65980000000000005</v>
      </c>
      <c r="G115" s="909">
        <f>F115</f>
        <v>0.65980000000000005</v>
      </c>
      <c r="H115" s="909">
        <f>G115</f>
        <v>0.65980000000000005</v>
      </c>
      <c r="I115" s="909">
        <f>ROUND(0.689-0.0155*B113,4)</f>
        <v>0.44259999999999999</v>
      </c>
      <c r="J115" s="909">
        <f t="shared" ref="J115:M118" si="33">I115</f>
        <v>0.44259999999999999</v>
      </c>
      <c r="K115" s="909">
        <f t="shared" si="33"/>
        <v>0.44259999999999999</v>
      </c>
      <c r="L115" s="909">
        <f t="shared" si="33"/>
        <v>0.44259999999999999</v>
      </c>
      <c r="M115" s="910">
        <f t="shared" si="33"/>
        <v>0.44259999999999999</v>
      </c>
    </row>
    <row r="116" spans="1:13">
      <c r="A116" s="908" t="s">
        <v>2871</v>
      </c>
      <c r="B116" s="909">
        <f>ROUND(0.949-0.012*B113,4)</f>
        <v>0.75819999999999999</v>
      </c>
      <c r="C116" s="909">
        <f>B116</f>
        <v>0.75819999999999999</v>
      </c>
      <c r="D116" s="909">
        <f>ROUND(0.8567-0.013*B113,4)</f>
        <v>0.65</v>
      </c>
      <c r="E116" s="909">
        <f t="shared" ref="E116:H117" si="34">D116</f>
        <v>0.65</v>
      </c>
      <c r="F116" s="909">
        <f t="shared" si="34"/>
        <v>0.65</v>
      </c>
      <c r="G116" s="909">
        <f t="shared" si="34"/>
        <v>0.65</v>
      </c>
      <c r="H116" s="909">
        <f t="shared" si="34"/>
        <v>0.65</v>
      </c>
      <c r="I116" s="909">
        <f>ROUND(0.7694-0.014*B113,4)</f>
        <v>0.54679999999999995</v>
      </c>
      <c r="J116" s="909">
        <f t="shared" si="33"/>
        <v>0.54679999999999995</v>
      </c>
      <c r="K116" s="909">
        <f t="shared" si="33"/>
        <v>0.54679999999999995</v>
      </c>
      <c r="L116" s="909">
        <f t="shared" si="33"/>
        <v>0.54679999999999995</v>
      </c>
      <c r="M116" s="910">
        <f t="shared" si="33"/>
        <v>0.54679999999999995</v>
      </c>
    </row>
    <row r="117" spans="1:13">
      <c r="A117" s="908" t="s">
        <v>2872</v>
      </c>
      <c r="B117" s="909">
        <f>ROUND(0.8808-0.006*B113,4)</f>
        <v>0.78539999999999999</v>
      </c>
      <c r="C117" s="909">
        <f>B117</f>
        <v>0.78539999999999999</v>
      </c>
      <c r="D117" s="909">
        <f>ROUND(0.8748-0.008*B113,4)</f>
        <v>0.74760000000000004</v>
      </c>
      <c r="E117" s="909">
        <f t="shared" si="34"/>
        <v>0.74760000000000004</v>
      </c>
      <c r="F117" s="909">
        <f t="shared" si="34"/>
        <v>0.74760000000000004</v>
      </c>
      <c r="G117" s="909">
        <f t="shared" si="34"/>
        <v>0.74760000000000004</v>
      </c>
      <c r="H117" s="909">
        <f t="shared" si="34"/>
        <v>0.74760000000000004</v>
      </c>
      <c r="I117" s="909">
        <f>ROUND(0.7412-0.0095*B113,4)</f>
        <v>0.59019999999999995</v>
      </c>
      <c r="J117" s="909">
        <f t="shared" si="33"/>
        <v>0.59019999999999995</v>
      </c>
      <c r="K117" s="909">
        <f t="shared" si="33"/>
        <v>0.59019999999999995</v>
      </c>
      <c r="L117" s="909">
        <f t="shared" si="33"/>
        <v>0.59019999999999995</v>
      </c>
      <c r="M117" s="910">
        <f t="shared" si="33"/>
        <v>0.59019999999999995</v>
      </c>
    </row>
    <row r="118" spans="1:13" ht="13.5" thickBot="1">
      <c r="A118" s="713" t="s">
        <v>2873</v>
      </c>
      <c r="B118" s="911">
        <f>ROUND(0.7275-0.01*B113,4)</f>
        <v>0.56850000000000001</v>
      </c>
      <c r="C118" s="911">
        <f>B118</f>
        <v>0.56850000000000001</v>
      </c>
      <c r="D118" s="911">
        <f>ROUND(0.7043-0.012*B113,4)</f>
        <v>0.51349999999999996</v>
      </c>
      <c r="E118" s="911">
        <f>D118</f>
        <v>0.51349999999999996</v>
      </c>
      <c r="F118" s="911">
        <f>E118</f>
        <v>0.51349999999999996</v>
      </c>
      <c r="G118" s="911">
        <f>ROUND(0.6299-0.0122*B113,4)</f>
        <v>0.43590000000000001</v>
      </c>
      <c r="H118" s="911">
        <f>G118</f>
        <v>0.43590000000000001</v>
      </c>
      <c r="I118" s="911">
        <f>ROUND(0.5667-0.0136*B113,4)</f>
        <v>0.35049999999999998</v>
      </c>
      <c r="J118" s="911">
        <f t="shared" si="33"/>
        <v>0.35049999999999998</v>
      </c>
      <c r="K118" s="911">
        <f t="shared" si="33"/>
        <v>0.35049999999999998</v>
      </c>
      <c r="L118" s="911">
        <f t="shared" si="33"/>
        <v>0.35049999999999998</v>
      </c>
      <c r="M118" s="912">
        <f t="shared" si="33"/>
        <v>0.35049999999999998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1630</v>
      </c>
      <c r="C4" s="2974"/>
      <c r="D4" s="2974"/>
      <c r="E4" s="1963"/>
    </row>
    <row r="5" spans="1:5" ht="16.5" thickTop="1">
      <c r="A5" s="1961"/>
      <c r="B5" s="2972" t="s">
        <v>1622</v>
      </c>
      <c r="C5" s="1964" t="s">
        <v>1623</v>
      </c>
      <c r="D5" s="1042">
        <f ca="1">结果表!H101</f>
        <v>75</v>
      </c>
      <c r="E5" s="1961"/>
    </row>
    <row r="6" spans="1:5" ht="15.75">
      <c r="A6" s="1961"/>
      <c r="B6" s="2972"/>
      <c r="C6" s="1964" t="s">
        <v>1624</v>
      </c>
      <c r="D6" s="1042" t="str">
        <f ca="1">NUMBERSTRING(INT(D5*10000),2)&amp;"元整"</f>
        <v>柒拾伍万元整</v>
      </c>
      <c r="E6" s="1961"/>
    </row>
    <row r="7" spans="1:5" ht="15.75">
      <c r="A7" s="1961"/>
      <c r="B7" s="2977"/>
      <c r="C7" s="1965" t="s">
        <v>1625</v>
      </c>
      <c r="D7" s="1043">
        <f ca="1">结果表!H102</f>
        <v>22901</v>
      </c>
      <c r="E7" s="1961"/>
    </row>
    <row r="8" spans="1:5" ht="15.75">
      <c r="A8" s="1961"/>
      <c r="B8" s="2978" t="str">
        <f>结果表!E103</f>
        <v>2.估价师知悉的法定优先受偿款</v>
      </c>
      <c r="C8" s="1966" t="s">
        <v>1626</v>
      </c>
      <c r="D8" s="1043">
        <f>结果表!H103</f>
        <v>0</v>
      </c>
      <c r="E8" s="1961"/>
    </row>
    <row r="9" spans="1:5" ht="15.75">
      <c r="A9" s="1961"/>
      <c r="B9" s="298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1" t="str">
        <f>结果表!E107</f>
        <v>3.房地产抵押价值</v>
      </c>
      <c r="C13" s="1969" t="s">
        <v>1623</v>
      </c>
      <c r="D13" s="1045">
        <f ca="1">结果表!H107</f>
        <v>75</v>
      </c>
      <c r="E13" s="1961"/>
    </row>
    <row r="14" spans="1:5" ht="15.75">
      <c r="A14" s="1961"/>
      <c r="B14" s="2972"/>
      <c r="C14" s="1964" t="s">
        <v>1624</v>
      </c>
      <c r="D14" s="1042" t="str">
        <f ca="1">NUMBERSTRING(INT(D13*10000),2)&amp;"元整"</f>
        <v>柒拾伍万元整</v>
      </c>
      <c r="E14" s="1961"/>
    </row>
    <row r="15" spans="1:5" ht="15">
      <c r="A15" s="1961"/>
      <c r="B15" s="2977"/>
      <c r="C15" s="1965" t="s">
        <v>1634</v>
      </c>
      <c r="D15" s="1054">
        <f ca="1">结果表!H108</f>
        <v>22901</v>
      </c>
      <c r="E15" s="1961"/>
    </row>
    <row r="16" spans="1:5" ht="15">
      <c r="A16" s="1961"/>
      <c r="B16" s="2978" t="str">
        <f>结果表!E109</f>
        <v>——</v>
      </c>
      <c r="C16" s="1969" t="s">
        <v>1635</v>
      </c>
      <c r="D16" s="1970" t="str">
        <f>结果表!H109</f>
        <v>——</v>
      </c>
      <c r="E16" s="1961"/>
    </row>
    <row r="17" spans="1:5" ht="15.75">
      <c r="A17" s="1961"/>
      <c r="B17" s="2979"/>
      <c r="C17" s="1964" t="s">
        <v>1636</v>
      </c>
      <c r="D17" s="1042" t="e">
        <f>NUMBERSTRING(INT(D16*10000),2)&amp;"元整"</f>
        <v>#VALUE!</v>
      </c>
      <c r="E17" s="1961"/>
    </row>
    <row r="18" spans="1:5" ht="15">
      <c r="A18" s="1961"/>
      <c r="B18" s="2980"/>
      <c r="C18" s="1965" t="s">
        <v>1625</v>
      </c>
      <c r="D18" s="1054" t="str">
        <f>结果表!H110</f>
        <v>——</v>
      </c>
      <c r="E18" s="1961"/>
    </row>
    <row r="19" spans="1:5" ht="15.75">
      <c r="A19" s="1961"/>
      <c r="B19" s="2971" t="str">
        <f>结果表!E111</f>
        <v>——</v>
      </c>
      <c r="C19" s="1969" t="s">
        <v>1623</v>
      </c>
      <c r="D19" s="1043" t="str">
        <f>结果表!H111</f>
        <v>——</v>
      </c>
      <c r="E19" s="1961"/>
    </row>
    <row r="20" spans="1:5" ht="15.75">
      <c r="A20" s="1961"/>
      <c r="B20" s="2972"/>
      <c r="C20" s="1964" t="s">
        <v>1636</v>
      </c>
      <c r="D20" s="1042" t="e">
        <f>NUMBERSTRING(INT(D19*10000),2)&amp;"元整"</f>
        <v>#VALUE!</v>
      </c>
      <c r="E20" s="1961"/>
    </row>
    <row r="21" spans="1:5" ht="15.75" thickBot="1">
      <c r="A21" s="1961"/>
      <c r="B21" s="297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2996</v>
      </c>
    </row>
    <row r="2" spans="1:5" ht="15.75">
      <c r="A2" s="2910" t="s">
        <v>2988</v>
      </c>
      <c r="B2" s="2911" t="e">
        <f ca="1">SUMIF(B6:B13,"&lt;&gt;#ref!",B6:B13)</f>
        <v>#DIV/0!</v>
      </c>
      <c r="C2" s="2910" t="s">
        <v>2989</v>
      </c>
      <c r="D2" s="2910" t="s">
        <v>2990</v>
      </c>
      <c r="E2" s="2911">
        <f ca="1">SUMIF(E6:E13,"&lt;&gt;#ref!",E6:E13)</f>
        <v>0</v>
      </c>
    </row>
    <row r="3" spans="1:5" ht="15.75">
      <c r="A3" s="2910" t="s">
        <v>2991</v>
      </c>
      <c r="B3" s="2911" t="e">
        <f ca="1">ROUND(B2*10000/E2,0)</f>
        <v>#DIV/0!</v>
      </c>
      <c r="C3" s="2910" t="s">
        <v>2997</v>
      </c>
      <c r="D3" s="2912"/>
      <c r="E3" s="2912"/>
    </row>
    <row r="4" spans="1:5" ht="15.75">
      <c r="A4" s="2913"/>
      <c r="B4" s="2912"/>
      <c r="C4" s="2912"/>
      <c r="D4" s="2912"/>
      <c r="E4" s="2912"/>
    </row>
    <row r="5" spans="1:5" ht="28.5">
      <c r="A5" s="2914" t="s">
        <v>2992</v>
      </c>
      <c r="B5" s="2910" t="s">
        <v>2993</v>
      </c>
      <c r="C5" s="2911"/>
      <c r="D5" s="2912"/>
      <c r="E5" s="2910" t="s">
        <v>2994</v>
      </c>
    </row>
    <row r="6" spans="1:5" ht="15.75">
      <c r="A6" s="2915" t="s">
        <v>2995</v>
      </c>
      <c r="B6" s="2911" t="e">
        <f ca="1">SUMIF(INDIRECT("'"&amp;A6&amp;"'"&amp;"!A:A"),"总价",INDIRECT("'"&amp;A6&amp;"'"&amp;"!B:B"))</f>
        <v>#DIV/0!</v>
      </c>
      <c r="C6" s="2910" t="s">
        <v>2989</v>
      </c>
      <c r="D6" s="2912"/>
      <c r="E6" s="2575">
        <f ca="1">SUMIF(INDIRECT("'"&amp;A6&amp;"'"&amp;"!C:C"),"建筑面积",INDIRECT("'"&amp;A6&amp;"'"&amp;"!D:D"))</f>
        <v>0</v>
      </c>
    </row>
    <row r="7" spans="1:5" ht="15.75">
      <c r="A7" s="2915"/>
      <c r="B7" s="2911" t="e">
        <f ca="1">SUMIF(INDIRECT("'"&amp;A7&amp;"'"&amp;"!A:A"),"总价",INDIRECT("'"&amp;A7&amp;"'"&amp;"!B:B"))</f>
        <v>#REF!</v>
      </c>
      <c r="C7" s="2910" t="s">
        <v>2989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2989</v>
      </c>
      <c r="D8" s="2912"/>
      <c r="E8" s="2575" t="e">
        <f t="shared" ca="1" si="0"/>
        <v>#REF!</v>
      </c>
    </row>
    <row r="9" spans="1:5" ht="15.75">
      <c r="A9" s="2915"/>
      <c r="B9" s="2911" t="e">
        <f t="shared" ca="1" si="1"/>
        <v>#REF!</v>
      </c>
      <c r="C9" s="2910" t="s">
        <v>2989</v>
      </c>
      <c r="D9" s="2912"/>
      <c r="E9" s="2575" t="e">
        <f t="shared" ca="1" si="0"/>
        <v>#REF!</v>
      </c>
    </row>
    <row r="10" spans="1:5" ht="15.75">
      <c r="A10" s="2915"/>
      <c r="B10" s="2911" t="e">
        <f t="shared" ca="1" si="1"/>
        <v>#REF!</v>
      </c>
      <c r="C10" s="2910" t="s">
        <v>2989</v>
      </c>
      <c r="D10" s="2912"/>
      <c r="E10" s="2575" t="e">
        <f t="shared" ca="1" si="0"/>
        <v>#REF!</v>
      </c>
    </row>
    <row r="11" spans="1:5" ht="15.75">
      <c r="A11" s="2915"/>
      <c r="B11" s="2911" t="e">
        <f t="shared" ca="1" si="1"/>
        <v>#REF!</v>
      </c>
      <c r="C11" s="2910" t="s">
        <v>2989</v>
      </c>
      <c r="D11" s="2912"/>
      <c r="E11" s="2575" t="e">
        <f t="shared" ca="1" si="0"/>
        <v>#REF!</v>
      </c>
    </row>
    <row r="12" spans="1:5" ht="15.75">
      <c r="A12" s="2915"/>
      <c r="B12" s="2911" t="e">
        <f t="shared" ca="1" si="1"/>
        <v>#REF!</v>
      </c>
      <c r="C12" s="2910" t="s">
        <v>2989</v>
      </c>
      <c r="D12" s="2912"/>
      <c r="E12" s="2575" t="e">
        <f t="shared" ca="1" si="0"/>
        <v>#REF!</v>
      </c>
    </row>
    <row r="13" spans="1:5" ht="15.75">
      <c r="A13" s="2915"/>
      <c r="B13" s="2911" t="e">
        <f t="shared" ca="1" si="1"/>
        <v>#REF!</v>
      </c>
      <c r="C13" s="2910" t="s">
        <v>2989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87" t="s">
        <v>1151</v>
      </c>
      <c r="H1" s="3287"/>
      <c r="I1" s="3287"/>
      <c r="J1" s="3287"/>
      <c r="K1" s="3287"/>
      <c r="L1" s="3287"/>
      <c r="N1" s="3287" t="s">
        <v>1152</v>
      </c>
      <c r="O1" s="3287"/>
      <c r="P1" s="3287"/>
      <c r="Q1" s="3287"/>
      <c r="R1" s="1448"/>
      <c r="S1" s="3287" t="s">
        <v>1153</v>
      </c>
      <c r="T1" s="3287"/>
      <c r="U1" s="3287"/>
      <c r="V1" s="3287"/>
      <c r="X1" s="3286" t="s">
        <v>1154</v>
      </c>
      <c r="Y1" s="3287"/>
      <c r="Z1" s="3287"/>
      <c r="AA1" s="3287"/>
      <c r="AB1" s="3287"/>
      <c r="AD1" s="3286" t="s">
        <v>1155</v>
      </c>
      <c r="AE1" s="3287"/>
      <c r="AF1" s="3287"/>
      <c r="AG1" s="3287"/>
      <c r="AH1" s="328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3030</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1">
        <v>2018</v>
      </c>
      <c r="H5" s="1732">
        <v>3</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3031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3038</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9"/>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3029</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9"/>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3026</v>
      </c>
      <c r="B8" s="1471">
        <v>439</v>
      </c>
      <c r="C8" s="1471">
        <v>327</v>
      </c>
      <c r="D8" s="1471">
        <f>C8</f>
        <v>327</v>
      </c>
      <c r="E8" s="1471">
        <v>627</v>
      </c>
      <c r="F8" s="1472">
        <v>283</v>
      </c>
      <c r="G8" s="2926">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3027</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2"/>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1"/>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2"/>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89"/>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89"/>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0"/>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88">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89"/>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89"/>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0"/>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88">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89"/>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89"/>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0"/>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88">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89"/>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89"/>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0"/>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88">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89">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89">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0">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88">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89">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89">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0">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88">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89">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89">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0">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88">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89">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89">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0">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88">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89">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89">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0">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88">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89">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89">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0">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88">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89">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89">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0">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88">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89">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89">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0">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88">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89">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89">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0">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88">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89">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89">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0">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28777</v>
      </c>
      <c r="C2" s="2" t="s">
        <v>133</v>
      </c>
      <c r="D2" s="243"/>
      <c r="E2" s="243"/>
      <c r="F2" s="243"/>
      <c r="G2" s="243"/>
    </row>
    <row r="3" spans="1:7" s="244" customFormat="1" ht="18" customHeight="1" thickBot="1">
      <c r="A3" s="247" t="s">
        <v>85</v>
      </c>
      <c r="B3" s="248">
        <f ca="1">ROUND(B2*10000/'数据-汇总表'!E3,0)</f>
        <v>8786870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32.75</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v>
      </c>
      <c r="D19" s="1038">
        <f>'数据-汇总表'!E3</f>
        <v>32.75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3153</v>
      </c>
      <c r="D27" s="279">
        <f>C29</f>
        <v>4.4999999999999997E-3</v>
      </c>
      <c r="E27" s="280" t="s">
        <v>126</v>
      </c>
      <c r="F27" s="290">
        <f>'数据-取费表'!Q16</f>
        <v>0.15</v>
      </c>
      <c r="G27" s="291" t="s">
        <v>1069</v>
      </c>
    </row>
    <row r="28" spans="1:7" s="258" customFormat="1" ht="13.5" customHeight="1">
      <c r="A28" s="953" t="s">
        <v>794</v>
      </c>
      <c r="B28" s="292" t="s">
        <v>1062</v>
      </c>
      <c r="C28" s="293">
        <f>ROUND((C5+C19+C20)*F27*'数据-取费表'!B21/'数据-取费表'!B20,0)</f>
        <v>3153</v>
      </c>
      <c r="D28" s="279"/>
      <c r="E28" s="280"/>
      <c r="F28" s="290"/>
      <c r="G28" s="291"/>
    </row>
    <row r="29" spans="1:7" s="258" customFormat="1" ht="13.5" customHeight="1">
      <c r="A29" s="953" t="s">
        <v>792</v>
      </c>
      <c r="B29" s="292" t="s">
        <v>1063</v>
      </c>
      <c r="C29" s="282">
        <f>ROUND(C21*F27*'数据-取费表'!B21/'数据-取费表'!B20,4)</f>
        <v>4.4999999999999997E-3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v>
      </c>
      <c r="D34" s="261"/>
      <c r="E34" s="264"/>
      <c r="F34" s="301">
        <f>IF('数据-取费表'!B24=0,1,'数据-取费表'!N16)</f>
        <v>1</v>
      </c>
      <c r="G34" s="263" t="s">
        <v>116</v>
      </c>
    </row>
    <row r="35" spans="1:7" ht="13.5" customHeight="1">
      <c r="A35" s="953" t="s">
        <v>796</v>
      </c>
      <c r="B35" s="259" t="s">
        <v>60</v>
      </c>
      <c r="C35" s="264">
        <f>ROUND(C34*F35,0)</f>
        <v>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v>
      </c>
      <c r="D37" s="261">
        <f>'数据-汇总表'!E3</f>
        <v>32.75</v>
      </c>
      <c r="E37" s="293">
        <f>'数据-取费表'!B35</f>
        <v>200</v>
      </c>
      <c r="F37" s="303"/>
      <c r="G37" s="305" t="s">
        <v>119</v>
      </c>
    </row>
    <row r="38" spans="1:7" ht="13.5" customHeight="1">
      <c r="A38" s="953" t="s">
        <v>799</v>
      </c>
      <c r="B38" s="259" t="s">
        <v>63</v>
      </c>
      <c r="C38" s="264">
        <f>ROUND(C34*F38,0)</f>
        <v>0</v>
      </c>
      <c r="D38" s="264"/>
      <c r="E38" s="264"/>
      <c r="F38" s="303">
        <f>'数据-取费表'!B36</f>
        <v>1.4999999999999999E-2</v>
      </c>
      <c r="G38" s="263" t="s">
        <v>117</v>
      </c>
    </row>
    <row r="39" spans="1:7" s="258" customFormat="1" ht="13.5" customHeight="1">
      <c r="A39" s="950" t="s">
        <v>783</v>
      </c>
      <c r="B39" s="254" t="s">
        <v>104</v>
      </c>
      <c r="C39" s="276">
        <f>ROUND(C33*F20,0)</f>
        <v>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0</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0</v>
      </c>
      <c r="D42" s="282"/>
      <c r="E42" s="282"/>
      <c r="F42" s="283"/>
      <c r="G42" s="3156" t="s">
        <v>121</v>
      </c>
    </row>
    <row r="43" spans="1:7" ht="13.5" customHeight="1">
      <c r="A43" s="953" t="s">
        <v>792</v>
      </c>
      <c r="B43" s="259" t="s">
        <v>1064</v>
      </c>
      <c r="C43" s="282">
        <f ca="1">ROUND(IF('数据-取费表'!B22&lt;=1,C39*F22*'数据-取费表'!B21/2,C39*(POWER((1+F22),'数据-取费表'!B21/2)-1)),0)</f>
        <v>0</v>
      </c>
      <c r="D43" s="282"/>
      <c r="E43" s="282"/>
      <c r="F43" s="283"/>
      <c r="G43" s="3157"/>
    </row>
    <row r="44" spans="1:7" ht="13.5" customHeight="1">
      <c r="A44" s="953" t="s">
        <v>793</v>
      </c>
      <c r="B44" s="259" t="s">
        <v>1066</v>
      </c>
      <c r="C44" s="282">
        <f ca="1">ROUND(IF('数据-取费表'!B22&lt;=1,C40*F22*'数据-取费表'!B21/2,C40*(POWER((1+F22),'数据-取费表'!B21/2)-1)),4)</f>
        <v>1.4E-3</v>
      </c>
      <c r="D44" s="282"/>
      <c r="E44" s="282"/>
      <c r="F44" s="283"/>
      <c r="G44" s="3158"/>
    </row>
    <row r="45" spans="1:7" s="258" customFormat="1" ht="13.5" customHeight="1">
      <c r="A45" s="950" t="s">
        <v>786</v>
      </c>
      <c r="B45" s="288" t="s">
        <v>112</v>
      </c>
      <c r="C45" s="289">
        <f>C46</f>
        <v>2</v>
      </c>
      <c r="D45" s="279">
        <f>C47</f>
        <v>4.4999999999999997E-3</v>
      </c>
      <c r="E45" s="280" t="s">
        <v>129</v>
      </c>
      <c r="F45" s="290"/>
      <c r="G45" s="291" t="s">
        <v>1072</v>
      </c>
    </row>
    <row r="46" spans="1:7" s="258" customFormat="1" ht="13.5" customHeight="1">
      <c r="A46" s="953" t="s">
        <v>794</v>
      </c>
      <c r="B46" s="292" t="s">
        <v>1065</v>
      </c>
      <c r="C46" s="293">
        <f>ROUND((C33+C39)*F27,0)</f>
        <v>2</v>
      </c>
      <c r="D46" s="307"/>
      <c r="E46" s="280"/>
      <c r="F46" s="290"/>
      <c r="G46" s="291"/>
    </row>
    <row r="47" spans="1:7" s="258" customFormat="1" ht="13.5" customHeight="1">
      <c r="A47" s="953" t="s">
        <v>792</v>
      </c>
      <c r="B47" s="292" t="s">
        <v>1067</v>
      </c>
      <c r="C47" s="282">
        <f>ROUND(C40*F27,4)</f>
        <v>4.4999999999999997E-3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v>
      </c>
      <c r="D49" s="276"/>
      <c r="E49" s="276"/>
      <c r="F49" s="308"/>
      <c r="G49" s="278" t="s">
        <v>1073</v>
      </c>
    </row>
    <row r="50" spans="1:7" s="302" customFormat="1" ht="24">
      <c r="A50" s="950" t="s">
        <v>789</v>
      </c>
      <c r="B50" s="254" t="s">
        <v>124</v>
      </c>
      <c r="C50" s="276"/>
      <c r="D50" s="276"/>
      <c r="E50" s="276"/>
      <c r="F50" s="308">
        <f>IF('数据-取费表'!B24=0,'数据-取费表'!N16,1)</f>
        <v>0.77</v>
      </c>
      <c r="G50" s="291" t="s">
        <v>125</v>
      </c>
    </row>
    <row r="51" spans="1:7" ht="16.5" customHeight="1">
      <c r="A51" s="950" t="s">
        <v>790</v>
      </c>
      <c r="B51" s="254" t="s">
        <v>132</v>
      </c>
      <c r="C51" s="276">
        <f ca="1">ROUND(C49*F50,0)</f>
        <v>10</v>
      </c>
      <c r="D51" s="276"/>
      <c r="E51" s="276"/>
      <c r="F51" s="308"/>
      <c r="G51" s="278" t="s">
        <v>64</v>
      </c>
    </row>
    <row r="52" spans="1:7" s="252" customFormat="1" ht="16.5" thickBot="1">
      <c r="A52" s="309" t="s">
        <v>65</v>
      </c>
      <c r="B52" s="310"/>
      <c r="C52" s="311">
        <f ca="1">C31+C51</f>
        <v>28777</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6" t="s">
        <v>1638</v>
      </c>
      <c r="E3" s="1046" t="s">
        <v>1644</v>
      </c>
      <c r="F3" s="1046" t="s">
        <v>1638</v>
      </c>
      <c r="G3" s="1046" t="s">
        <v>1639</v>
      </c>
      <c r="H3" s="1046" t="s">
        <v>1638</v>
      </c>
      <c r="I3" s="1046" t="s">
        <v>1639</v>
      </c>
    </row>
    <row r="4" spans="1:9" ht="60">
      <c r="A4" s="1975" t="str">
        <f>项目基本情况!S2</f>
        <v>广东省广州市白云区黄石路天云街14号101商铺等18套商业用房及翰云路287号之一201铺等2套商业用房房地产</v>
      </c>
      <c r="B4" s="1046">
        <f>项目基本情况!C17</f>
        <v>32.75</v>
      </c>
      <c r="C4" s="1046">
        <f>项目基本情况!C18</f>
        <v>2.06</v>
      </c>
      <c r="D4" s="1046" t="e">
        <f ca="1">结果表!D118</f>
        <v>#REF!</v>
      </c>
      <c r="E4" s="1046" t="e">
        <f ca="1">结果表!E118</f>
        <v>#REF!</v>
      </c>
      <c r="F4" s="1046" t="e">
        <f ca="1">结果表!F118</f>
        <v>#REF!</v>
      </c>
      <c r="G4" s="1046" t="e">
        <f ca="1">结果表!G118</f>
        <v>#REF!</v>
      </c>
      <c r="H4" s="1046">
        <f ca="1">结果表!H118</f>
        <v>75</v>
      </c>
      <c r="I4" s="1046">
        <f ca="1">结果表!I118</f>
        <v>22901</v>
      </c>
    </row>
    <row r="5" spans="1:9" ht="30" customHeight="1">
      <c r="A5" s="2983" t="s">
        <v>1640</v>
      </c>
      <c r="B5" s="2983"/>
      <c r="C5" s="2983"/>
      <c r="D5" s="2984" t="e">
        <f ca="1">结果表!D119</f>
        <v>#REF!</v>
      </c>
      <c r="E5" s="2984"/>
      <c r="F5" s="2984" t="e">
        <f ca="1">结果表!F119</f>
        <v>#REF!</v>
      </c>
      <c r="G5" s="2984"/>
      <c r="H5" s="2984" t="str">
        <f ca="1">结果表!H119</f>
        <v>柒拾伍万元整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1640</v>
      </c>
      <c r="B7" s="2983"/>
      <c r="C7" s="2983"/>
      <c r="D7" s="2986" t="str">
        <f>结果表!D121</f>
        <v>零元整</v>
      </c>
      <c r="E7" s="2987"/>
      <c r="F7" s="2987"/>
      <c r="G7" s="2987"/>
      <c r="H7" s="2987"/>
      <c r="I7" s="2988"/>
    </row>
    <row r="8" spans="1:9" ht="15.75">
      <c r="A8" s="2985" t="str">
        <f>结果表!A122</f>
        <v>房地产抵押价值</v>
      </c>
      <c r="B8" s="2985"/>
      <c r="C8" s="2985"/>
      <c r="D8" s="2985">
        <f ca="1">结果表!D122</f>
        <v>75</v>
      </c>
      <c r="E8" s="2985"/>
      <c r="F8" s="2985"/>
      <c r="G8" s="2985"/>
      <c r="H8" s="2985"/>
      <c r="I8" s="2985"/>
    </row>
    <row r="9" spans="1:9" ht="15">
      <c r="A9" s="2983" t="s">
        <v>1640</v>
      </c>
      <c r="B9" s="2983"/>
      <c r="C9" s="2983"/>
      <c r="D9" s="2984" t="str">
        <f ca="1">结果表!D123</f>
        <v>柒拾伍万元整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2" t="s">
        <v>1662</v>
      </c>
      <c r="B1" s="2992"/>
      <c r="C1" s="2992"/>
      <c r="D1" s="2992"/>
    </row>
    <row r="2" spans="1:4" ht="18">
      <c r="A2" s="2993" t="s">
        <v>1646</v>
      </c>
      <c r="B2" s="2993"/>
      <c r="C2" s="2993"/>
      <c r="D2" s="2993"/>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2993" t="s">
        <v>1652</v>
      </c>
      <c r="B6" s="2993"/>
      <c r="C6" s="2993"/>
      <c r="D6" s="2993"/>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4"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6" t="s">
        <v>1669</v>
      </c>
      <c r="B15" s="3001" t="s">
        <v>136</v>
      </c>
      <c r="C15" s="3002"/>
    </row>
    <row r="16" spans="1:7" ht="13.5">
      <c r="A16" s="3007"/>
      <c r="B16" s="3001" t="s">
        <v>69</v>
      </c>
      <c r="C16" s="3002"/>
    </row>
    <row r="17" spans="1:3" ht="13.5">
      <c r="A17" s="3007"/>
      <c r="B17" s="3004" t="s">
        <v>1670</v>
      </c>
      <c r="C17" s="2002" t="s">
        <v>1669</v>
      </c>
    </row>
    <row r="18" spans="1:3" ht="13.5">
      <c r="A18" s="3007"/>
      <c r="B18" s="3004"/>
      <c r="C18" s="2002" t="s">
        <v>1671</v>
      </c>
    </row>
    <row r="19" spans="1:3" ht="13.5">
      <c r="A19" s="3007"/>
      <c r="B19" s="3004"/>
      <c r="C19" s="2002" t="s">
        <v>1672</v>
      </c>
    </row>
    <row r="20" spans="1:3" ht="13.5">
      <c r="A20" s="3008"/>
      <c r="B20" s="3003" t="s">
        <v>1673</v>
      </c>
      <c r="C20" s="3002"/>
    </row>
    <row r="21" spans="1:3" ht="13.5">
      <c r="A21" s="2003" t="s">
        <v>1674</v>
      </c>
      <c r="B21" s="2004"/>
      <c r="C21" s="2005"/>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2" t="s">
        <v>1680</v>
      </c>
    </row>
    <row r="26" spans="1:3" ht="13.5">
      <c r="A26" s="3005"/>
      <c r="B26" s="3004"/>
      <c r="C26" s="2002" t="s">
        <v>1681</v>
      </c>
    </row>
    <row r="27" spans="1:3" ht="13.5">
      <c r="A27" s="3005"/>
      <c r="B27" s="3004"/>
      <c r="C27" s="2002" t="s">
        <v>1682</v>
      </c>
    </row>
    <row r="28" spans="1:3" ht="13.5">
      <c r="A28" s="3005"/>
      <c r="B28" s="3004"/>
      <c r="C28" s="2002" t="s">
        <v>1683</v>
      </c>
    </row>
    <row r="29" spans="1:3" ht="13.5">
      <c r="A29" s="3005"/>
      <c r="B29" s="3004"/>
      <c r="C29" s="2002" t="s">
        <v>1684</v>
      </c>
    </row>
    <row r="30" spans="1:3" ht="13.5">
      <c r="A30" s="3005"/>
      <c r="B30" s="3004"/>
      <c r="C30" s="2002" t="s">
        <v>1685</v>
      </c>
    </row>
    <row r="31" spans="1:3" ht="13.5">
      <c r="A31" s="3005"/>
      <c r="B31" s="3004"/>
      <c r="C31" s="2002" t="s">
        <v>1686</v>
      </c>
    </row>
    <row r="32" spans="1:3" ht="13.5">
      <c r="A32" s="3005"/>
      <c r="B32" s="3004"/>
      <c r="C32" s="2002" t="s">
        <v>1687</v>
      </c>
    </row>
    <row r="33" spans="1:3" ht="13.5">
      <c r="A33" s="3005"/>
      <c r="B33" s="300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43319</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3036</v>
      </c>
      <c r="B12" s="1024">
        <v>1120110054</v>
      </c>
      <c r="C12" s="2940">
        <v>43937</v>
      </c>
      <c r="D12" s="1704" t="s">
        <v>3036</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收益法（汇总）</vt:lpstr>
      <vt:lpstr>酒店收入计算</vt:lpstr>
      <vt:lpstr>比较法-住宅</vt:lpstr>
      <vt:lpstr>收益法 (元)</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2018-08-07T09:12:39Z</dcterms:modified>
</cp:coreProperties>
</file>