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B7" i="76"/>
  <c r="L47" i="67"/>
  <c r="M29" i="15"/>
  <c r="E11" i="76"/>
  <c r="F6" i="15"/>
  <c r="F42" i="67"/>
  <c r="B10" i="76"/>
  <c r="F26" i="67"/>
  <c r="E12" i="76"/>
  <c r="F13" i="67"/>
  <c r="E2" i="68"/>
  <c r="E8" i="76"/>
  <c r="B9" i="76"/>
  <c r="B11" i="76"/>
  <c r="L47" i="15"/>
  <c r="M26" i="67"/>
  <c r="F20" i="31"/>
  <c r="AO13" i="1"/>
  <c r="D6" i="73"/>
  <c r="F3" i="73"/>
  <c r="F43" i="15"/>
  <c r="F16" i="15"/>
  <c r="L48" i="15"/>
  <c r="B13" i="76"/>
  <c r="M22" i="67"/>
  <c r="M8" i="15"/>
  <c r="F6" i="67"/>
  <c r="F8" i="15"/>
  <c r="M24" i="67"/>
  <c r="F40" i="15"/>
  <c r="F37" i="15"/>
  <c r="F40" i="67"/>
  <c r="F16" i="67"/>
  <c r="M6" i="15"/>
  <c r="M6" i="67"/>
  <c r="M22" i="15"/>
  <c r="E2" i="69"/>
  <c r="J15" i="67"/>
  <c r="B8" i="76"/>
  <c r="F38" i="67"/>
  <c r="E9" i="76"/>
  <c r="E10" i="76"/>
  <c r="F9" i="15"/>
  <c r="F7" i="73"/>
  <c r="B12" i="76"/>
  <c r="D7" i="73"/>
  <c r="M29" i="67"/>
  <c r="E13" i="76"/>
  <c r="M26" i="15"/>
  <c r="F9" i="67"/>
  <c r="M9" i="67"/>
  <c r="F4" i="73"/>
  <c r="F7" i="15"/>
  <c r="M24" i="15"/>
  <c r="M28" i="15"/>
  <c r="F36" i="15"/>
  <c r="F5" i="73"/>
  <c r="M23" i="67"/>
  <c r="D3" i="73"/>
  <c r="F37" i="67"/>
  <c r="C76" i="67"/>
  <c r="M9" i="15"/>
  <c r="M23" i="15"/>
  <c r="J15" i="15"/>
  <c r="F7" i="67"/>
  <c r="E7" i="76"/>
  <c r="F8" i="67"/>
  <c r="L48" i="67"/>
  <c r="M28" i="67"/>
  <c r="F36" i="67"/>
  <c r="F43" i="67"/>
  <c r="F26" i="15"/>
  <c r="F6" i="73"/>
  <c r="F13" i="15"/>
  <c r="F42" i="15"/>
  <c r="C76" i="15"/>
  <c r="M8" i="67"/>
  <c r="F38" i="15"/>
  <c r="D37" i="43" l="1"/>
  <c r="H37" i="43" s="1"/>
  <c r="B25" i="31"/>
  <c r="C33" i="33"/>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36" i="3"/>
  <c r="E306" i="3"/>
  <c r="E224" i="3"/>
  <c r="E532" i="3"/>
  <c r="E474" i="3"/>
  <c r="E288" i="3"/>
  <c r="E537" i="3"/>
  <c r="E475" i="3"/>
  <c r="E168" i="3"/>
  <c r="E257" i="3"/>
  <c r="E14" i="3"/>
  <c r="E397" i="3"/>
  <c r="E207" i="3"/>
  <c r="E379" i="3"/>
  <c r="E411" i="3"/>
  <c r="E432" i="3"/>
  <c r="E547" i="3"/>
  <c r="E546" i="3"/>
  <c r="E27" i="3"/>
  <c r="E162" i="3"/>
  <c r="E186" i="3"/>
  <c r="E210" i="3"/>
  <c r="E331" i="3"/>
  <c r="E384" i="3"/>
  <c r="E44" i="3"/>
  <c r="E441" i="3"/>
  <c r="E14" i="6"/>
  <c r="E63" i="39" s="1"/>
  <c r="I4" i="6"/>
  <c r="G3" i="43" s="1"/>
  <c r="F26" i="43" s="1"/>
  <c r="E29" i="6"/>
  <c r="K15"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16" i="15"/>
  <c r="D9" i="68"/>
  <c r="D4" i="73"/>
  <c r="D5" i="73"/>
  <c r="C16" i="67"/>
  <c r="C36" i="68"/>
  <c r="E29" i="3" l="1"/>
  <c r="AM6" i="3"/>
  <c r="E317" i="3"/>
  <c r="E291" i="3"/>
  <c r="E272" i="3"/>
  <c r="E126" i="3"/>
  <c r="E92" i="3"/>
  <c r="E71" i="3"/>
  <c r="E403" i="3"/>
  <c r="E367" i="3"/>
  <c r="E548" i="3"/>
  <c r="U6" i="3"/>
  <c r="E145" i="3"/>
  <c r="E196" i="3"/>
  <c r="E93" i="3"/>
  <c r="E357" i="3"/>
  <c r="E208" i="3"/>
  <c r="E54" i="3"/>
  <c r="E471" i="3"/>
  <c r="W6" i="3"/>
  <c r="E438" i="3"/>
  <c r="E529" i="3"/>
  <c r="E313" i="3"/>
  <c r="E157" i="3"/>
  <c r="E352" i="3"/>
  <c r="E461" i="3"/>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D26" i="43" s="1"/>
  <c r="C25" i="43" s="1"/>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F27" i="68"/>
  <c r="G1" i="73"/>
  <c r="AY6" i="3" l="1"/>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81" i="3"/>
  <c r="BM6"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15"/>
  <c r="F41" i="15"/>
  <c r="M27" i="67"/>
  <c r="AY585" i="3" l="1"/>
  <c r="BQ6" i="3"/>
  <c r="AY411" i="3"/>
  <c r="AY462" i="3"/>
  <c r="AY348" i="3"/>
  <c r="AY242" i="3"/>
  <c r="AY166" i="3"/>
  <c r="AY109" i="3"/>
  <c r="AY397" i="3"/>
  <c r="AY247" i="3"/>
  <c r="AY133" i="3"/>
  <c r="AY190" i="3"/>
  <c r="AY61" i="3"/>
  <c r="AY533" i="3"/>
  <c r="AY420" i="3"/>
  <c r="AY372" i="3"/>
  <c r="AY26" i="3"/>
  <c r="AY473" i="3"/>
  <c r="AY261" i="3"/>
  <c r="AY50" i="3"/>
  <c r="AY225" i="3"/>
  <c r="AY276" i="3"/>
  <c r="AY115" i="3"/>
  <c r="AY66"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D10" i="68"/>
  <c r="C17" i="15"/>
  <c r="C17" i="67"/>
  <c r="C14" i="67"/>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C14" i="15"/>
  <c r="B6" i="76"/>
  <c r="C34" i="68"/>
  <c r="E6" i="76"/>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S22" i="31" l="1"/>
  <c r="R22" i="31"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B20" i="31" l="1"/>
  <c r="B21" i="31" s="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20" i="9"/>
  <c r="D35"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34" i="9"/>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19" i="9"/>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11" i="1"/>
  <c r="AO8" i="1"/>
  <c r="C20" i="9"/>
  <c r="AO10" i="1"/>
  <c r="AO9" i="1"/>
  <c r="AO6"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<sst xmlns="http://schemas.openxmlformats.org/spreadsheetml/2006/main" count="7999" uniqueCount="3521">
  <si>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</si>
  <si>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</si>
  <si>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</si>
  <si>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</si>
  <si>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</si>
  <si>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</si>
  <si>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</si>
  <si>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</si>
  <si>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</si>
  <si>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</si>
  <si>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</si>
  <si>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</si>
  <si>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</si>
  <si>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</si>
  <si>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</si>
  <si>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</si>
  <si>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</si>
  <si>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</si>
  <si>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</si>
  <si>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</si>
  <si>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</si>
  <si>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</si>
  <si>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</si>
  <si>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</si>
  <si>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</si>
  <si>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</si>
  <si>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</si>
  <si>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</si>
  <si>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</si>
  <si>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</si>
  <si>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</si>
  <si>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</si>
  <si>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</si>
  <si>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</si>
  <si>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</si>
  <si>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</si>
  <si>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</si>
  <si>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</si>
  <si>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</si>
  <si>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</si>
  <si>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</si>
  <si>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</si>
  <si>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</si>
  <si>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</si>
  <si>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</si>
  <si>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</si>
  <si>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</si>
  <si>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</si>
  <si>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</si>
  <si>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</si>
  <si>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</si>
  <si>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</si>
  <si>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</si>
  <si>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</si>
  <si>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</si>
  <si>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</si>
  <si>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</si>
  <si>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</si>
  <si>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</si>
  <si>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</si>
  <si>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</si>
  <si>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</si>
  <si>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</si>
  <si>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</si>
  <si>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</si>
  <si>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</si>
  <si>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</si>
  <si>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</si>
  <si>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</si>
  <si>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</si>
  <si>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</si>
  <si>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</si>
  <si>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</si>
  <si>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</si>
  <si>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</si>
  <si>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</si>
  <si>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</si>
  <si>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</si>
  <si>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</si>
  <si>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</si>
  <si>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</si>
  <si>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</si>
  <si>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</si>
  <si>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</si>
  <si>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</si>
  <si>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</si>
  <si>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</si>
  <si>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</si>
  <si>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</si>
  <si>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</si>
  <si>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</si>
  <si>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</si>
  <si>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</si>
  <si>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</si>
  <si>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</si>
  <si>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</si>
  <si>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</si>
  <si>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</si>
  <si>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</si>
  <si>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</si>
  <si>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</si>
  <si>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</si>
  <si>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</si>
  <si>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</si>
  <si>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</si>
  <si>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</si>
  <si>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</si>
  <si>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</si>
  <si>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</si>
  <si>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</si>
  <si>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</si>
  <si>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</si>
  <si>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</si>
  <si>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</si>
  <si>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</si>
  <si>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</si>
  <si>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</si>
  <si>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</si>
  <si>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</si>
  <si>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</si>
  <si>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</si>
  <si>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</si>
  <si>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</si>
  <si>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</si>
  <si>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</si>
  <si>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</si>
  <si>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</si>
  <si>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</si>
  <si>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</si>
  <si>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</si>
  <si>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</si>
  <si>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</si>
  <si>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</si>
  <si>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</si>
  <si>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</si>
  <si>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</si>
  <si>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</si>
  <si>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</si>
  <si>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</si>
  <si>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</si>
  <si>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</si>
  <si>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</si>
  <si>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</si>
  <si>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</si>
  <si>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</si>
  <si>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</si>
  <si>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</si>
  <si>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</si>
  <si>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</si>
  <si>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</si>
  <si>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</si>
  <si>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</si>
  <si>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</si>
  <si>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</si>
  <si>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</si>
  <si>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</si>
  <si>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</si>
  <si>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</si>
  <si>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</si>
  <si>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</si>
  <si>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</si>
  <si>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</si>
  <si>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</si>
  <si>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</si>
  <si>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</si>
  <si>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</si>
  <si>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</si>
  <si>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</si>
  <si>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</si>
  <si>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</si>
  <si>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</si>
  <si>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</si>
  <si>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</si>
  <si>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</si>
  <si>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</si>
  <si>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</si>
  <si>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</si>
  <si>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</si>
  <si>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</si>
  <si>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</si>
  <si>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</si>
  <si>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</si>
  <si>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</si>
  <si>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</si>
  <si>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</si>
  <si>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</si>
  <si>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</si>
  <si>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</si>
  <si>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</si>
  <si>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</si>
  <si>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</si>
  <si>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</si>
  <si>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</si>
  <si>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</si>
  <si>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</si>
  <si>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</si>
  <si>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</si>
  <si>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</si>
  <si>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</si>
  <si>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</si>
  <si>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</si>
  <si>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</si>
  <si>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</si>
  <si>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</si>
  <si>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</si>
  <si>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</si>
  <si>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</si>
  <si>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</si>
  <si>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</si>
  <si>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</si>
  <si>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</si>
  <si>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</si>
  <si>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</si>
  <si>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</si>
  <si>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</si>
  <si>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</si>
  <si>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</si>
  <si>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</si>
  <si>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</si>
  <si>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</si>
  <si>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</si>
  <si>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</si>
  <si>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</si>
  <si>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</si>
  <si>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</si>
  <si>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</si>
  <si>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</si>
  <si>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</si>
  <si>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</si>
  <si>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</si>
  <si>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</si>
  <si>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</si>
  <si>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</si>
  <si>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</si>
  <si>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</si>
  <si>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</si>
  <si>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</si>
  <si>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</si>
  <si>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</si>
  <si>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</si>
  <si>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</si>
  <si>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</si>
  <si>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</si>
  <si>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</si>
  <si>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</si>
  <si>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</si>
  <si>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</si>
  <si>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</si>
  <si>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</si>
  <si>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</si>
  <si>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</si>
  <si>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</si>
  <si>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</si>
  <si>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</si>
  <si>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</si>
  <si>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</si>
  <si>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</si>
  <si>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</si>
  <si>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</si>
  <si>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</si>
  <si>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</si>
  <si>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</si>
  <si>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</si>
  <si>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</si>
  <si>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</si>
  <si>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</si>
  <si>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</si>
  <si>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</si>
  <si>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</si>
  <si>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</si>
  <si>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</si>
  <si>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</si>
  <si>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</si>
  <si>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</si>
  <si>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</si>
  <si>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</si>
  <si>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</si>
  <si>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</si>
  <si>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</si>
  <si>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</si>
  <si>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</si>
  <si>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</si>
  <si>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</si>
  <si>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</si>
  <si>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</si>
  <si>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</si>
  <si>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</si>
  <si>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</si>
  <si>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</si>
  <si>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</si>
  <si>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</si>
  <si>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</si>
  <si>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</si>
  <si>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</si>
  <si>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</si>
  <si>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</si>
  <si>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</si>
  <si>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</si>
  <si>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</si>
  <si>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</si>
  <si>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</si>
  <si>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</si>
  <si>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</si>
  <si>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</si>
  <si>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</si>
  <si>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</si>
  <si>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</si>
  <si>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</si>
  <si>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</si>
  <si>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</si>
  <si>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</si>
  <si>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</si>
  <si>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</si>
  <si>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</si>
  <si>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</si>
  <si>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</si>
  <si>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</si>
  <si>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</si>
  <si>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</si>
  <si>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</si>
  <si>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</si>
  <si>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</si>
  <si>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</si>
  <si>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</si>
  <si>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</si>
  <si>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</si>
  <si>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</si>
  <si>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</si>
  <si>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</si>
  <si>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</si>
  <si>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</si>
  <si>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</si>
  <si>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</si>
  <si>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</si>
  <si>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</si>
  <si>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</si>
  <si>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</si>
  <si>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</si>
  <si>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</si>
  <si>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</si>
  <si>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</si>
  <si>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</si>
  <si>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</si>
  <si>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</si>
  <si>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</si>
  <si>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</si>
  <si>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</si>
  <si>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</si>
  <si>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</si>
  <si>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</si>
  <si>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</si>
  <si>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</si>
  <si>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</si>
  <si>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</si>
  <si>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</si>
  <si>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</si>
  <si>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</si>
  <si>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</si>
  <si>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</si>
  <si>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</si>
  <si>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</si>
  <si>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</si>
  <si>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</si>
  <si>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</si>
  <si>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</si>
  <si>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</si>
  <si>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</si>
  <si>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</si>
  <si>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</si>
  <si>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</si>
  <si>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</si>
  <si>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</si>
  <si>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</si>
  <si>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</si>
  <si>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</si>
  <si>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</si>
  <si>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</si>
  <si>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</si>
  <si>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</si>
  <si>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</si>
  <si>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</si>
  <si>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</si>
  <si>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</si>
  <si>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</si>
  <si>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</si>
  <si>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</si>
  <si>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</si>
  <si>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</si>
  <si>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</si>
  <si>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</si>
  <si>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</si>
  <si>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</si>
  <si>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</si>
  <si>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</si>
  <si>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</si>
  <si>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</si>
  <si>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</si>
  <si>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</si>
  <si>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</si>
  <si>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</si>
  <si>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</si>
  <si>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</si>
  <si>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</si>
  <si>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</si>
  <si>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</si>
  <si>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</si>
  <si>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</si>
  <si>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</si>
  <si>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</si>
  <si>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</si>
  <si>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</si>
  <si>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</si>
  <si>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</si>
  <si>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</si>
  <si>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</si>
  <si>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</si>
  <si>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</si>
  <si>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</si>
  <si>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</si>
  <si>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</si>
  <si>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</si>
  <si>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</si>
  <si>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</si>
  <si>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</si>
  <si>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</si>
  <si>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</si>
  <si>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</si>
  <si>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</si>
  <si>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</si>
  <si>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</si>
  <si>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</si>
  <si>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</si>
  <si>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</si>
  <si>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</si>
  <si>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</si>
  <si>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</si>
  <si>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</si>
  <si>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</si>
  <si>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</si>
  <si>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</si>
  <si>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</si>
  <si>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</si>
  <si>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</si>
  <si>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</si>
  <si>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</si>
  <si>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</si>
  <si>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</si>
  <si>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</si>
  <si>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</si>
  <si>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</si>
  <si>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</si>
  <si>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</si>
  <si>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</si>
  <si>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</si>
  <si>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</si>
  <si>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</si>
  <si>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</si>
  <si>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</si>
  <si>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</si>
  <si>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</si>
  <si>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</si>
  <si>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</si>
  <si>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</si>
  <si>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</si>
  <si>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</si>
  <si>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</si>
  <si>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</si>
  <si>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</si>
  <si>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</si>
  <si>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</si>
  <si>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</si>
  <si>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</si>
  <si>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</si>
  <si>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</si>
  <si>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</si>
  <si>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</si>
  <si>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</si>
  <si>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</si>
  <si>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</si>
  <si>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</si>
  <si>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</si>
  <si>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</si>
  <si>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</si>
  <si>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</si>
  <si>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</si>
  <si>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</si>
  <si>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</si>
  <si>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</si>
  <si>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</si>
  <si>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</si>
  <si>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</si>
  <si>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</si>
  <si>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</si>
  <si>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</si>
  <si>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</si>
  <si>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</si>
  <si>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</si>
  <si>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</si>
  <si>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</si>
  <si>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</si>
  <si>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</si>
  <si>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</si>
  <si>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</si>
  <si>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</si>
  <si>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</si>
  <si>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</si>
  <si>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</si>
  <si>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</si>
  <si>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</si>
  <si>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</si>
  <si>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</si>
  <si>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</si>
  <si>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</si>
  <si>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</si>
  <si>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</si>
  <si>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</si>
  <si>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</si>
  <si>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</si>
  <si>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</si>
  <si>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</si>
  <si>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</si>
  <si>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</si>
  <si>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</si>
  <si>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</si>
  <si>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</si>
  <si>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</si>
  <si>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</si>
  <si>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</si>
  <si>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</si>
  <si>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</si>
  <si>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</si>
  <si>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</si>
  <si>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</si>
  <si>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</si>
  <si>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</si>
  <si>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</si>
  <si>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</si>
  <si>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</si>
  <si>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</si>
  <si>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</si>
  <si>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</si>
  <si>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</si>
  <si>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</si>
  <si>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</si>
  <si>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</si>
  <si>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</si>
  <si>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</si>
  <si>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</si>
  <si>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</si>
  <si>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</si>
  <si>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</si>
  <si>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</si>
  <si>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</si>
  <si>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</si>
  <si>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</si>
  <si>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</si>
  <si>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</si>
  <si>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</si>
  <si>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</si>
  <si>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</si>
  <si>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</si>
  <si>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</si>
  <si>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</si>
  <si>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</si>
  <si>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</si>
  <si>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</si>
  <si>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</si>
  <si>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</si>
  <si>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</si>
  <si>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</si>
  <si>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</si>
  <si>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</si>
  <si>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</si>
  <si>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</si>
  <si>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</si>
  <si>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</si>
  <si>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</si>
  <si>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</si>
  <si>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</si>
  <si>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</si>
  <si>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</si>
  <si>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</si>
  <si>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</si>
  <si>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</si>
  <si>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</si>
  <si>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</si>
  <si>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</si>
  <si>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</si>
  <si>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</si>
  <si>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</si>
  <si>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</si>
  <si>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</si>
  <si>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</si>
  <si>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</si>
  <si>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</si>
  <si>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</si>
  <si>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</si>
  <si>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</si>
  <si>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</si>
  <si>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</si>
  <si>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</si>
  <si>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</si>
  <si>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</si>
  <si>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</si>
  <si>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</si>
  <si>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</si>
  <si>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</si>
  <si>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</si>
  <si>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</si>
  <si>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</si>
  <si>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</si>
  <si>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</si>
  <si>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</si>
  <si>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</si>
  <si>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</si>
  <si>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</si>
  <si>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</si>
  <si>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</si>
  <si>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</si>
  <si>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</si>
  <si>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</si>
  <si>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</si>
  <si>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</si>
  <si>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</si>
  <si>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</si>
  <si>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</si>
  <si>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</si>
  <si>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</si>
  <si>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</si>
  <si>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</si>
  <si>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</si>
  <si>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</si>
  <si>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</si>
  <si>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</si>
  <si>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</si>
  <si>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</si>
  <si>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</si>
  <si>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</si>
  <si>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</si>
  <si>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</si>
  <si>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</si>
  <si>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</si>
  <si>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</si>
  <si>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</si>
  <si>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</si>
  <si>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</si>
  <si>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</si>
  <si>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</si>
  <si>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</si>
  <si>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</si>
  <si>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</si>
  <si>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</si>
  <si>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</si>
  <si>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</si>
  <si>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</si>
  <si>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</si>
  <si>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</si>
  <si>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</si>
  <si>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</si>
  <si>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</si>
  <si>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</si>
  <si>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</si>
  <si>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</si>
  <si>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</si>
  <si>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</si>
  <si>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</si>
  <si>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</si>
  <si>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</si>
  <si>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</si>
  <si>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</si>
  <si>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</si>
  <si>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</si>
  <si>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</si>
  <si>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</si>
  <si>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</si>
  <si>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</si>
  <si>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</si>
  <si>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</si>
  <si>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</si>
  <si>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</si>
  <si>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</si>
  <si>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</si>
  <si>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</si>
  <si>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</si>
  <si>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</si>
  <si>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</si>
  <si>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</si>
  <si>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</si>
  <si>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</si>
  <si>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</si>
  <si>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</si>
  <si>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</si>
  <si>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</si>
  <si>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</si>
  <si>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</si>
  <si>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</si>
  <si>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</si>
  <si>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</si>
  <si>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</si>
  <si>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</si>
  <si>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</si>
  <si>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</si>
  <si>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</si>
  <si>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</si>
  <si>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</si>
  <si>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</si>
  <si>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</si>
  <si>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</si>
  <si>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</si>
  <si>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</si>
  <si>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</si>
  <si>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</si>
  <si>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</si>
  <si>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</si>
  <si>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</si>
  <si>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</si>
  <si>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</si>
  <si>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</si>
  <si>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</si>
  <si>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</si>
  <si>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</si>
  <si>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</si>
  <si>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</si>
  <si>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</si>
  <si>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</si>
  <si>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</si>
  <si>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</si>
  <si>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</si>
  <si>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</si>
  <si>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</si>
  <si>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</si>
  <si>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</si>
  <si>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</si>
  <si>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</si>
  <si>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</si>
  <si>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</si>
  <si>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</si>
  <si>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</si>
  <si>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</si>
  <si>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</si>
  <si>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</si>
  <si>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</si>
  <si>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</si>
  <si>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</si>
  <si>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</si>
  <si>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</si>
  <si>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</si>
  <si>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</si>
  <si>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</si>
  <si>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</si>
  <si>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</si>
  <si>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</si>
  <si>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</si>
  <si>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</si>
  <si>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</si>
  <si>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</si>
  <si>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</si>
  <si>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</si>
  <si>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</si>
  <si>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</si>
  <si>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</si>
  <si>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</si>
  <si>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</si>
  <si>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</si>
  <si>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</si>
  <si>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</si>
  <si>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</si>
  <si>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</si>
  <si>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</si>
  <si>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</si>
  <si>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</si>
  <si>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</si>
  <si>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</si>
  <si>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</si>
  <si>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</si>
  <si>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</si>
  <si>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</si>
  <si>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</si>
  <si>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</si>
  <si>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</si>
  <si>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</si>
  <si>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</si>
  <si>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</si>
  <si>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</si>
  <si>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</si>
  <si>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</si>
  <si>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</si>
  <si>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</si>
  <si>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</si>
  <si>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</si>
  <si>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</si>
  <si>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</si>
  <si>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</si>
  <si>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</si>
  <si>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</si>
  <si>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</si>
  <si>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</si>
  <si>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</si>
  <si>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</si>
  <si>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</si>
  <si>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</si>
  <si>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</si>
  <si>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</si>
  <si>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</si>
  <si>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</si>
  <si>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</si>
  <si>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</si>
  <si>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</si>
  <si>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</si>
  <si>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</si>
  <si>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</si>
  <si>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</si>
  <si>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</si>
  <si>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</si>
  <si>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</si>
  <si>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</si>
  <si>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</si>
  <si>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</si>
  <si>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</si>
  <si>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</si>
  <si>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</si>
  <si>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</si>
  <si>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</si>
  <si>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</si>
  <si>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</si>
  <si>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</si>
  <si>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</si>
  <si>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</si>
  <si>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</si>
  <si>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</si>
  <si>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</si>
  <si>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</si>
  <si>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</si>
  <si>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</si>
  <si>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</si>
  <si>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</si>
  <si>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</si>
  <si>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</si>
  <si>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</si>
  <si>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</si>
  <si>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</si>
  <si>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</si>
  <si>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</si>
  <si>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</si>
  <si>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</si>
  <si>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</si>
  <si>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</si>
  <si>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</si>
  <si>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</si>
  <si>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</si>
  <si>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</si>
  <si>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</si>
  <si>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</si>
  <si>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</si>
  <si>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</si>
  <si>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</si>
  <si>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</si>
  <si>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</si>
  <si>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</si>
  <si>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</si>
  <si>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</si>
  <si>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</si>
  <si>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</si>
  <si>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</si>
  <si>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</si>
  <si>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</si>
  <si>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</si>
  <si>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</si>
  <si>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</si>
  <si>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</si>
  <si>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</si>
  <si>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</si>
  <si>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</si>
  <si>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</si>
  <si>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</si>
  <si>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</si>
  <si>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</si>
  <si>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</si>
  <si>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</si>
  <si>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</si>
  <si>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</si>
  <si>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</si>
  <si>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</si>
  <si>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</si>
  <si>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</si>
  <si>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</si>
  <si>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</si>
  <si>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</si>
  <si>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</si>
  <si>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</si>
  <si>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</si>
  <si>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</si>
  <si>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</si>
  <si>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</si>
  <si>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</si>
  <si>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</si>
  <si>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</si>
  <si>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</si>
  <si>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</si>
  <si>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</si>
  <si>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</si>
  <si>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</si>
  <si>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</si>
  <si>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</si>
  <si>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</si>
  <si>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</si>
  <si>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</si>
  <si>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</si>
  <si>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</si>
  <si>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</si>
  <si>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</si>
  <si>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</si>
  <si>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</si>
  <si>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</si>
  <si>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</si>
  <si>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</si>
  <si>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</si>
  <si>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</si>
  <si>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</si>
  <si>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</si>
  <si>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</si>
  <si>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</si>
  <si>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</si>
  <si>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</si>
  <si>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</si>
  <si>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</si>
  <si>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</si>
  <si>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</si>
  <si>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</si>
  <si>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</si>
  <si>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</si>
  <si>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</si>
  <si>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</si>
  <si>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</si>
  <si>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</si>
  <si>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</si>
  <si>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</si>
  <si>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</si>
  <si>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</si>
  <si>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</si>
  <si>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</si>
  <si>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</si>
  <si>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</si>
  <si>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</si>
  <si>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</si>
  <si>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</si>
  <si>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</si>
  <si>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</si>
  <si>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</si>
  <si>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</si>
  <si>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</si>
  <si>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</si>
  <si>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</si>
  <si>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</si>
  <si>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</si>
  <si>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</si>
  <si>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</si>
  <si>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</si>
  <si>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</si>
  <si>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</si>
  <si>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</si>
  <si>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</si>
  <si>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</si>
  <si>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</si>
  <si>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</si>
  <si>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</si>
  <si>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</si>
  <si>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</si>
  <si>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</si>
  <si>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</si>
  <si>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</si>
  <si>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</si>
  <si>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</si>
  <si>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</si>
  <si>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</si>
  <si>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</si>
  <si>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</si>
  <si>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</si>
  <si>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</si>
  <si>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</si>
  <si>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</si>
  <si>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</si>
  <si>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</si>
  <si>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</si>
  <si>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</si>
  <si>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</si>
  <si>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</si>
  <si>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</si>
  <si>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</si>
  <si>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</si>
  <si>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</si>
  <si>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</si>
  <si>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</si>
  <si>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</si>
  <si>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</si>
  <si>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</si>
  <si>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</si>
  <si>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</si>
  <si>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</si>
  <si>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</si>
  <si>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</si>
  <si>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</si>
  <si>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</si>
  <si>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</si>
  <si>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</si>
  <si>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</si>
  <si>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</si>
  <si>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</si>
  <si>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</si>
  <si>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</si>
  <si>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</si>
  <si>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</si>
  <si>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</si>
  <si>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</si>
  <si>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</si>
  <si>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</si>
  <si>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</si>
  <si>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</si>
  <si>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</si>
  <si>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</si>
  <si>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</si>
  <si>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</si>
  <si>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</si>
  <si>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</si>
  <si>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</si>
  <si>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</si>
  <si>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</si>
  <si>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</si>
  <si>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</si>
  <si>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</si>
  <si>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</si>
  <si>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</si>
  <si>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</si>
  <si>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</si>
  <si>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</si>
  <si>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</si>
  <si>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</si>
  <si>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</si>
  <si>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</si>
  <si>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</si>
  <si>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</si>
  <si>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</si>
  <si>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</si>
  <si>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</si>
  <si>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</si>
  <si>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</si>
  <si>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</si>
  <si>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</si>
  <si>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</si>
  <si>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</si>
  <si>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</si>
  <si>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</si>
  <si>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</si>
  <si>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</si>
  <si>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</si>
  <si>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</si>
  <si>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</si>
  <si>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</si>
  <si>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</si>
  <si>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</si>
  <si>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</si>
  <si>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</si>
  <si>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</si>
  <si>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</si>
  <si>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</si>
  <si>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</si>
  <si>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</si>
  <si>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</si>
  <si>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</si>
  <si>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</si>
  <si>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</si>
  <si>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</si>
  <si>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</si>
  <si>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</si>
  <si>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</si>
  <si>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</si>
  <si>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</si>
  <si>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</si>
  <si>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</si>
  <si>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</si>
  <si>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</si>
  <si>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</si>
  <si>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</si>
  <si>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</si>
  <si>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</si>
  <si>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</si>
  <si>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</si>
  <si>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</si>
  <si>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</si>
  <si>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</si>
  <si>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</si>
  <si>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</si>
  <si>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</si>
  <si>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</si>
  <si>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</si>
  <si>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</si>
  <si>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</si>
  <si>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</si>
  <si>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</si>
  <si>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</si>
  <si>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</si>
  <si>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</si>
  <si>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</si>
  <si>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</si>
  <si>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</si>
  <si>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</si>
  <si>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</si>
  <si>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</si>
  <si>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</si>
  <si>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</si>
  <si>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</si>
  <si>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</si>
  <si>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</si>
  <si>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</si>
  <si>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</si>
  <si>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</si>
  <si>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</si>
  <si>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</si>
  <si>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</si>
  <si>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</si>
  <si>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</si>
  <si>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</si>
  <si>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</si>
  <si>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</si>
  <si>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</si>
  <si>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</si>
  <si>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</si>
  <si>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</si>
  <si>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</si>
  <si>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</si>
  <si>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</si>
  <si>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</si>
  <si>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</si>
  <si>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</si>
  <si>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</si>
  <si>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</si>
  <si>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</si>
  <si>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</si>
  <si>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</si>
  <si>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</si>
  <si>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</si>
  <si>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</si>
  <si>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</si>
  <si>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</si>
  <si>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</si>
  <si>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</si>
  <si>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</si>
  <si>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</si>
  <si>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</si>
  <si>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</si>
  <si>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</si>
  <si>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</si>
  <si>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</si>
  <si>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</si>
  <si>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</si>
  <si>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</si>
  <si>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</si>
  <si>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</si>
  <si>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</si>
  <si>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</si>
  <si>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</si>
  <si>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</si>
  <si>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</si>
  <si>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</si>
  <si>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</si>
  <si>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</si>
  <si>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</si>
  <si>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</si>
  <si>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</si>
  <si>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</si>
  <si>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</si>
  <si>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</si>
  <si>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</si>
  <si>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</si>
  <si>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</si>
  <si>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</si>
  <si>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</si>
  <si>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</si>
  <si>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</si>
  <si>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</si>
  <si>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</si>
  <si>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</si>
  <si>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</si>
  <si>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</si>
  <si>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</si>
  <si>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</si>
  <si>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</si>
  <si>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</si>
  <si>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</si>
  <si>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</si>
  <si>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</si>
  <si>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</si>
  <si>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</si>
  <si>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</si>
  <si>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</si>
  <si>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</si>
  <si>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</si>
  <si>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</si>
  <si>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</si>
  <si>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</si>
  <si>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</si>
  <si>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</si>
  <si>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</si>
  <si>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</si>
  <si>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</si>
  <si>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</si>
  <si>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</si>
  <si>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</si>
  <si>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</si>
  <si>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</si>
  <si>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</si>
  <si>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</si>
  <si>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</si>
  <si>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</si>
  <si>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</si>
  <si>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</si>
  <si>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</si>
  <si>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</si>
  <si>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</si>
  <si>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</si>
  <si>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</si>
  <si>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</si>
  <si>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</si>
  <si>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</si>
  <si>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</si>
  <si>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</si>
  <si>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</si>
  <si>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</si>
  <si>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</si>
  <si>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</si>
  <si>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</si>
  <si>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</si>
  <si>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</si>
  <si>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</si>
  <si>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</si>
  <si>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</si>
  <si>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</si>
  <si>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</si>
  <si>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</si>
  <si>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</si>
  <si>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</si>
  <si>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</si>
  <si>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</si>
  <si>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</si>
  <si>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</si>
  <si>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</si>
  <si>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</si>
  <si>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</si>
  <si>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</si>
  <si>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</si>
  <si>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</si>
  <si>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</si>
  <si>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</si>
  <si>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</si>
  <si>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</si>
  <si>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</si>
  <si>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</si>
  <si>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</si>
  <si>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</si>
  <si>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</si>
  <si>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</si>
  <si>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</si>
  <si>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</si>
  <si>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</si>
  <si>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</si>
  <si>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</si>
  <si>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</si>
  <si>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</si>
  <si>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</si>
  <si>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</si>
  <si>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</si>
  <si>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</si>
  <si>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</si>
  <si>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</si>
  <si>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</si>
  <si>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</si>
  <si>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</si>
  <si>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</si>
  <si>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</si>
  <si>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</si>
  <si>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</si>
  <si>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</si>
  <si>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</si>
  <si>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</si>
  <si>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</si>
  <si>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</si>
  <si>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</si>
  <si>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</si>
  <si>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</si>
  <si>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</si>
  <si>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</si>
  <si>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</si>
  <si>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</si>
  <si>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</si>
  <si>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</si>
  <si>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</si>
  <si>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</si>
  <si>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</si>
  <si>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</si>
  <si>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</si>
  <si>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</si>
  <si>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</si>
  <si>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</si>
  <si>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</si>
  <si>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</si>
  <si>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</si>
  <si>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</si>
  <si>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</si>
  <si>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</si>
  <si>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</si>
  <si>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</si>
  <si>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</si>
  <si>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</si>
  <si>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</si>
  <si>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</si>
  <si>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</si>
  <si>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</si>
  <si>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</si>
  <si>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</si>
  <si>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</si>
  <si>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</si>
  <si>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</si>
  <si>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</si>
  <si>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</si>
  <si>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</si>
  <si>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</si>
  <si>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</si>
  <si>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</si>
  <si>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</si>
  <si>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</si>
  <si>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</si>
  <si>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</si>
  <si>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</si>
  <si>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</si>
  <si>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</si>
  <si>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</si>
  <si>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</si>
  <si>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</si>
  <si>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</si>
  <si>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</si>
  <si>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</si>
  <si>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</si>
  <si>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</si>
  <si>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</si>
  <si>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</si>
  <si>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</si>
  <si>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</si>
  <si>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</si>
  <si>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</si>
  <si>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</si>
  <si>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</si>
  <si>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</si>
  <si>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</si>
  <si>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</si>
  <si>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</si>
  <si>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</si>
  <si>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</si>
  <si>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</si>
  <si>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</si>
  <si>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</si>
  <si>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</si>
  <si>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</si>
  <si>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</si>
  <si>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</si>
  <si>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</si>
  <si>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</si>
  <si>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</si>
  <si>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</si>
  <si>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</si>
  <si>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</si>
  <si>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</si>
  <si>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</si>
  <si>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</si>
  <si>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</si>
  <si>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</si>
  <si>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</si>
  <si>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</si>
  <si>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</si>
  <si>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</si>
  <si>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</si>
  <si>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</si>
  <si>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</si>
  <si>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</si>
  <si>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</si>
  <si>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</si>
  <si>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</si>
  <si>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</si>
  <si>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</si>
  <si>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</si>
  <si>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</si>
  <si>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</si>
  <si>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</si>
  <si>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</si>
  <si>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</si>
  <si>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</si>
  <si>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</si>
  <si>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</si>
  <si>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</si>
  <si>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</si>
  <si>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</si>
  <si>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</si>
  <si>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</si>
  <si>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</si>
  <si>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</si>
  <si>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</si>
  <si>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</si>
  <si>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</si>
  <si>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</si>
  <si>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</si>
  <si>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</si>
  <si>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</si>
  <si>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</si>
  <si>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</si>
  <si>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</si>
  <si>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</si>
  <si>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</si>
  <si>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</si>
  <si>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</si>
  <si>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</si>
  <si>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</si>
  <si>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</si>
  <si>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</si>
  <si>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</si>
  <si>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</si>
  <si>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</si>
  <si>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</si>
  <si>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</si>
  <si>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</si>
  <si>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</si>
  <si>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</si>
  <si>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</si>
  <si>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</si>
  <si>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</si>
  <si>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</si>
  <si>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</si>
  <si>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</si>
  <si>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</si>
  <si>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</si>
  <si>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</si>
  <si>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</si>
  <si>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</si>
  <si>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</si>
  <si>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</si>
  <si>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</si>
  <si>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</si>
  <si>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</si>
  <si>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</si>
  <si>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</si>
  <si>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</si>
  <si>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</si>
  <si>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</si>
  <si>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</si>
  <si>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</si>
  <si>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</si>
  <si>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</si>
  <si>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</si>
  <si>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</si>
  <si>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</si>
  <si>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</si>
  <si>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</si>
  <si>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</si>
  <si>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</si>
  <si>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</si>
  <si>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</si>
  <si>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</si>
  <si>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</si>
  <si>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</si>
  <si>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</si>
  <si>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</si>
  <si>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</si>
  <si>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</si>
  <si>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</si>
  <si>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</si>
  <si>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</si>
  <si>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</si>
  <si>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</si>
  <si>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</si>
  <si>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</si>
  <si>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</si>
  <si>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</si>
  <si>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</si>
  <si>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</si>
  <si>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</si>
  <si>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</si>
  <si>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</si>
  <si>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</si>
  <si>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</si>
  <si>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</si>
  <si>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</si>
  <si>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</si>
  <si>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</si>
  <si>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</si>
  <si>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</si>
  <si>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</si>
  <si>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</si>
  <si>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</si>
  <si>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</si>
  <si>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</si>
  <si>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</si>
  <si>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</si>
  <si>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</si>
  <si>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</si>
  <si>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</si>
  <si>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</si>
  <si>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</si>
  <si>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</si>
  <si>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</si>
  <si>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</si>
  <si>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</si>
  <si>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</si>
  <si>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</si>
  <si>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</si>
  <si>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</si>
  <si>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</si>
  <si>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</si>
  <si>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</si>
  <si>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</si>
  <si>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</si>
  <si>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</si>
  <si>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</si>
  <si>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</si>
  <si>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</si>
  <si>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</si>
  <si>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</si>
  <si>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</si>
  <si>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</si>
  <si>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</si>
  <si>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</si>
  <si>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</si>
  <si>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</si>
  <si>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</si>
  <si>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</si>
  <si>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</si>
  <si>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</si>
  <si>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</si>
  <si>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</si>
  <si>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</si>
  <si>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</si>
  <si>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</si>
  <si>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</si>
  <si>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</si>
  <si>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</si>
  <si>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</si>
  <si>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</si>
  <si>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</si>
  <si>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</si>
  <si>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</si>
  <si>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</si>
  <si>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</si>
  <si>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</si>
  <si>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</si>
  <si>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</si>
  <si>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</si>
  <si>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</si>
  <si>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</si>
  <si>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</si>
  <si>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</si>
  <si>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</si>
  <si>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</si>
  <si>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</si>
  <si>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</si>
  <si>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</si>
  <si>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</si>
  <si>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</si>
  <si>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</si>
  <si>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</si>
  <si>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</si>
  <si>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</si>
  <si>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</si>
  <si>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</si>
  <si>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</si>
  <si>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</si>
  <si>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</si>
  <si>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</si>
  <si>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</si>
  <si>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</si>
  <si>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</si>
  <si>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</si>
  <si>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</si>
  <si>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</si>
  <si>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</si>
  <si>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</si>
  <si>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</si>
  <si>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</si>
  <si>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</si>
  <si>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</si>
  <si>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</si>
  <si>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</si>
  <si>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</si>
  <si>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</si>
  <si>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</si>
  <si>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</si>
  <si>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</si>
  <si>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</si>
  <si>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</si>
  <si>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</si>
  <si>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</si>
  <si>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</si>
  <si>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</si>
  <si>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</si>
  <si>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</si>
  <si>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</si>
  <si>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</si>
  <si>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</si>
  <si>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</si>
  <si>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</si>
  <si>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</si>
  <si>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</si>
  <si>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</si>
  <si>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</si>
  <si>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</si>
  <si>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</si>
  <si>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</si>
  <si>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</si>
  <si>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</si>
  <si>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</si>
  <si>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</si>
  <si>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</si>
  <si>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</si>
  <si>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</si>
  <si>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</si>
  <si>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</si>
  <si>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</si>
  <si>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</si>
  <si>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</si>
  <si>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</si>
  <si>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</si>
  <si>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</si>
  <si>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</si>
  <si>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</si>
  <si>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</si>
  <si>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</si>
  <si>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</si>
  <si>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</si>
  <si>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</si>
  <si>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</si>
  <si>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</si>
  <si>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</si>
  <si>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</si>
  <si>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</si>
  <si>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</si>
  <si>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</si>
  <si>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</si>
  <si>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</si>
  <si>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</si>
  <si>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</si>
  <si>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</si>
  <si>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</si>
  <si>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</si>
  <si>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</si>
  <si>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</si>
  <si>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</si>
  <si>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</si>
  <si>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</si>
  <si>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</si>
  <si>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</si>
  <si>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</si>
  <si>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</si>
  <si>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</si>
  <si>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</si>
  <si>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</si>
  <si>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</si>
  <si>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</si>
  <si>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</si>
  <si>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</si>
  <si>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</si>
  <si>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</si>
  <si>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</si>
  <si>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</si>
  <si>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</si>
  <si>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</si>
  <si>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</si>
  <si>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</si>
  <si>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</si>
  <si>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</si>
  <si>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</si>
  <si>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</si>
  <si>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</si>
  <si>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</si>
  <si>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</si>
  <si>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</si>
  <si>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</si>
  <si>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</si>
  <si>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</si>
  <si>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</si>
  <si>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</si>
  <si>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</si>
  <si>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</si>
  <si>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</si>
  <si>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</si>
  <si>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</si>
  <si>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</si>
  <si>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</si>
  <si>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</si>
  <si>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</si>
  <si>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</si>
  <si>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</si>
  <si>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</si>
  <si>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</si>
  <si>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</si>
  <si>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</si>
  <si>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</si>
  <si>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</si>
  <si>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</si>
  <si>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</si>
  <si>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</si>
  <si>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</si>
  <si>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</si>
  <si>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</si>
  <si>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</si>
  <si>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</si>
  <si>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</si>
  <si>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</si>
  <si>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</si>
  <si>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</si>
  <si>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</si>
  <si>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</si>
  <si>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</si>
  <si>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</si>
  <si>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</si>
  <si>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</si>
  <si>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</si>
  <si>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</si>
  <si>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</si>
  <si>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</si>
  <si>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</si>
  <si>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</si>
  <si>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</si>
  <si>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</si>
  <si>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</si>
  <si>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</si>
  <si>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</si>
  <si>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</si>
  <si>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</si>
  <si>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</si>
  <si>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</si>
  <si>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</si>
  <si>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</si>
  <si>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</si>
  <si>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</si>
  <si>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</si>
  <si>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</si>
  <si>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</si>
  <si>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</si>
  <si>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</si>
  <si>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</si>
  <si>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</si>
  <si>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</si>
  <si>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</si>
  <si>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</si>
  <si>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</si>
  <si>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</si>
  <si>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</si>
  <si>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</si>
  <si>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</si>
  <si>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</si>
  <si>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</si>
  <si>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</si>
  <si>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</si>
  <si>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</si>
  <si>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</si>
  <si>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</si>
  <si>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</si>
  <si>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</si>
  <si>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</si>
  <si>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</si>
  <si>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</si>
  <si>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</si>
  <si>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</si>
  <si>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</si>
  <si>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</si>
  <si>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</si>
  <si>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</si>
  <si>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</si>
  <si>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</si>
  <si>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</si>
  <si>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</si>
  <si>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</si>
  <si>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</si>
  <si>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</si>
  <si>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</si>
  <si>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</si>
  <si>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</si>
  <si>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</si>
  <si>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</si>
  <si>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</si>
  <si>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</si>
  <si>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</si>
  <si>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</si>
  <si>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</si>
  <si>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</si>
  <si>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</si>
  <si>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</si>
  <si>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</si>
  <si>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</si>
  <si>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</si>
  <si>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</si>
  <si>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</si>
  <si>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</si>
  <si>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</si>
  <si>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</si>
  <si>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</si>
  <si>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</si>
  <si>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</si>
  <si>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</si>
  <si>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</si>
  <si>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</si>
  <si>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</si>
  <si>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</si>
  <si>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</si>
  <si>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</si>
  <si>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</si>
  <si>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</si>
  <si>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</si>
  <si>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</si>
  <si>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</si>
  <si>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</si>
  <si>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</si>
  <si>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</si>
  <si>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</si>
  <si>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</si>
  <si>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</si>
  <si>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</si>
  <si>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</si>
  <si>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</si>
  <si>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</si>
  <si>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</si>
  <si>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</si>
  <si>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</si>
  <si>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</si>
  <si>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</si>
  <si>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</si>
  <si>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</si>
  <si>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</si>
  <si>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</si>
  <si>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</si>
  <si>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</si>
  <si>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</si>
  <si>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</si>
  <si>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</si>
  <si>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</si>
  <si>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</si>
  <si>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</si>
  <si>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</si>
  <si>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</si>
  <si>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</si>
  <si>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</si>
  <si>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</si>
  <si>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</si>
  <si>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</si>
  <si>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</si>
  <si>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</si>
  <si>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</si>
  <si>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</si>
  <si>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</si>
  <si>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</si>
  <si>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</si>
  <si>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</si>
  <si>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</si>
  <si>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</si>
  <si>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</si>
  <si>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</si>
  <si>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</si>
  <si>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</si>
  <si>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</si>
  <si>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</si>
  <si>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</si>
  <si>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</si>
  <si>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</si>
  <si>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</si>
  <si>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</si>
  <si>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</si>
  <si>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</si>
  <si>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</si>
  <si>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</si>
  <si>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</si>
  <si>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</si>
  <si>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</si>
  <si>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</si>
  <si>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</si>
  <si>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</si>
  <si>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</si>
  <si>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</si>
  <si>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</si>
  <si>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</si>
  <si>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</si>
  <si>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</si>
  <si>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</si>
  <si>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</si>
  <si>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</si>
  <si>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</si>
  <si>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</si>
  <si>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</si>
  <si>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</si>
  <si>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</si>
  <si>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</si>
  <si>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</si>
  <si>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</si>
  <si>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</si>
  <si>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</si>
  <si>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</si>
  <si>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</si>
  <si>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</si>
  <si>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</si>
  <si>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</si>
  <si>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</si>
  <si>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</si>
  <si>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</si>
  <si>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</si>
  <si>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</si>
  <si>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</si>
  <si>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</si>
  <si>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</si>
  <si>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</si>
  <si>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</si>
  <si>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</si>
  <si>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</si>
  <si>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</si>
  <si>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</si>
  <si>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</si>
  <si>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</si>
  <si>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</si>
  <si>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</si>
  <si>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</si>
  <si>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</si>
  <si>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</si>
  <si>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</si>
  <si>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</si>
  <si>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</si>
  <si>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</si>
  <si>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</si>
  <si>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</si>
  <si>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</si>
  <si>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</si>
  <si>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</si>
  <si>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</si>
  <si>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</si>
  <si>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</si>
  <si>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</si>
  <si>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</si>
  <si>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</si>
  <si>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</si>
  <si>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</si>
  <si>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</si>
  <si>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</si>
  <si>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</si>
  <si>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</si>
  <si>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</si>
  <si>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</si>
  <si>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</si>
  <si>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</si>
  <si>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</si>
  <si>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</si>
  <si>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</si>
  <si>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</si>
  <si>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</si>
  <si>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</si>
  <si>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</si>
  <si>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</si>
  <si>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</si>
  <si>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</si>
  <si>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</si>
  <si>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</si>
  <si>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</si>
  <si>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</si>
  <si>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</si>
  <si>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</si>
  <si>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</si>
  <si>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</si>
  <si>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</si>
  <si>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</si>
  <si>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</si>
  <si>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</si>
  <si>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</si>
  <si>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</si>
  <si>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</si>
  <si>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</si>
  <si>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</si>
  <si>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</si>
  <si>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</si>
  <si>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</si>
  <si>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</si>
  <si>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</si>
  <si>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</si>
  <si>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</si>
  <si>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</si>
  <si>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</si>
  <si>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</si>
  <si>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</si>
  <si>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</si>
  <si>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</si>
  <si>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</si>
  <si>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</si>
  <si>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</si>
  <si>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</si>
  <si>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</si>
  <si>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</si>
  <si>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</si>
  <si>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</si>
  <si>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</si>
  <si>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</si>
  <si>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</si>
  <si>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</si>
  <si>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</si>
  <si>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</si>
  <si>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</si>
  <si>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</si>
  <si>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</si>
  <si>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</si>
  <si>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</si>
  <si>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</si>
  <si>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</si>
  <si>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</si>
  <si>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</si>
  <si>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</si>
  <si>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</si>
  <si>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</si>
  <si>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</si>
  <si>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</si>
  <si>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</si>
  <si>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</si>
  <si>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</si>
  <si>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</si>
  <si>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</si>
  <si>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</si>
  <si>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</si>
  <si>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</si>
  <si>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</si>
  <si>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</si>
  <si>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</si>
  <si>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</si>
  <si>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</si>
  <si>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</si>
  <si>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</si>
  <si>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</si>
  <si>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</si>
  <si>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</si>
  <si>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</si>
  <si>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</si>
  <si>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</si>
  <si>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</si>
  <si>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</si>
  <si>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</si>
  <si>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</si>
  <si>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</si>
  <si>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</si>
  <si>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</si>
  <si>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</si>
  <si>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</si>
  <si>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</si>
  <si>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</si>
  <si>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</si>
  <si>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</si>
  <si>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</si>
  <si>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</si>
  <si>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</si>
  <si>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</si>
  <si>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</si>
  <si>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</si>
  <si>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</si>
  <si>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</si>
  <si>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</si>
  <si>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</si>
  <si>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</si>
  <si>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</si>
  <si>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</si>
  <si>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</si>
  <si>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</si>
  <si>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</si>
  <si>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</si>
  <si>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</si>
  <si>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</si>
  <si>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</si>
  <si>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</si>
  <si>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</si>
  <si>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</si>
  <si>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</si>
  <si>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</si>
  <si>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</si>
  <si>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</si>
  <si>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</si>
  <si>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</si>
  <si>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</si>
  <si>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</si>
  <si>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</si>
  <si>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</si>
  <si>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</si>
  <si>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</si>
  <si>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</si>
  <si>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</si>
  <si>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</si>
  <si>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</si>
  <si>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</si>
  <si>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</si>
  <si>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</si>
  <si>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</si>
  <si>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</si>
  <si>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</si>
  <si>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</si>
  <si>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</si>
  <si>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</si>
  <si>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</si>
  <si>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</si>
  <si>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</si>
  <si>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</si>
  <si>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</si>
  <si>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</si>
  <si>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</si>
  <si>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</si>
  <si>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</si>
  <si>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</si>
  <si>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</si>
  <si>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</si>
  <si>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</si>
  <si>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</si>
  <si>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</si>
  <si>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</si>
  <si>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</si>
  <si>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</si>
  <si>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</si>
  <si>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</si>
  <si>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</si>
  <si>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</si>
  <si>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</si>
  <si>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</si>
  <si>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</si>
  <si>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</si>
  <si>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</si>
  <si>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</si>
  <si>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</si>
  <si>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</si>
  <si>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</si>
  <si>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</si>
  <si>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</si>
  <si>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</si>
  <si>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</si>
  <si>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</si>
  <si>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</si>
  <si>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</si>
  <si>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</si>
  <si>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</si>
  <si>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</si>
  <si>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</si>
  <si>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</si>
  <si>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</si>
  <si>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</si>
  <si>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</si>
  <si>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</si>
  <si>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</si>
  <si>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</si>
  <si>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</si>
  <si>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</si>
  <si>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</si>
  <si>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</si>
  <si>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</si>
  <si>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</si>
  <si>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</si>
  <si>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</si>
  <si>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</si>
  <si>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</si>
  <si>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</si>
  <si>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</si>
  <si>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</si>
  <si>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</si>
  <si>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</si>
  <si>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</si>
  <si>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</si>
  <si>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</si>
  <si>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</si>
  <si>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</si>
  <si>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</si>
  <si>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</si>
  <si>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</si>
  <si>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</si>
  <si>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</si>
  <si>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</si>
  <si>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</si>
  <si>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</si>
  <si>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</si>
  <si>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</si>
  <si>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</si>
  <si>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</si>
  <si>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</si>
  <si>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</si>
  <si>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</si>
  <si>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</si>
  <si>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</si>
  <si>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</si>
  <si>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</si>
  <si>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</si>
  <si>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</si>
  <si>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</si>
  <si>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</si>
  <si>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</si>
  <si>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</si>
  <si>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</si>
  <si>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</si>
  <si>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</si>
  <si>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</si>
  <si>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</si>
  <si>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</si>
  <si>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</si>
  <si>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</si>
  <si>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</si>
  <si>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</si>
  <si>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</si>
  <si>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</si>
  <si>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</si>
  <si>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</si>
  <si>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</si>
  <si>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</si>
  <si>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</si>
  <si>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</si>
  <si>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</si>
  <si>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</si>
  <si>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</si>
  <si>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</si>
  <si>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</si>
  <si>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</si>
  <si>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</si>
  <si>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</si>
  <si>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</si>
  <si>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</si>
  <si>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</si>
  <si>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</si>
  <si>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</si>
  <si>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</si>
  <si>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</si>
  <si>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</si>
  <si>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</si>
  <si>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</si>
  <si>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</si>
  <si>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</si>
  <si>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</si>
  <si>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</si>
  <si>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</si>
  <si>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</si>
  <si>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</si>
  <si>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</si>
  <si>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</si>
  <si>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</si>
  <si>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</si>
  <si>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</si>
  <si>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</si>
  <si>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</si>
  <si>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</si>
  <si>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</si>
  <si>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</si>
  <si>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</si>
  <si>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</si>
  <si>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</si>
  <si>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</si>
  <si>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</si>
  <si>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</si>
  <si>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</si>
  <si>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</si>
  <si>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</si>
  <si>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</si>
  <si>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</si>
  <si>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</si>
  <si>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</si>
  <si>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</si>
  <si>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</si>
  <si>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</si>
  <si>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</si>
  <si>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</si>
  <si>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</si>
  <si>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</si>
  <si>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</si>
  <si>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</si>
  <si>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</si>
  <si>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</si>
  <si>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</si>
  <si>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</si>
  <si>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</si>
  <si>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</si>
  <si>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</si>
  <si>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</si>
  <si>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</si>
  <si>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</si>
  <si>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</si>
  <si>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</si>
  <si>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</si>
  <si>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</si>
  <si>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</si>
  <si>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</si>
  <si>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</si>
  <si>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</si>
  <si>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</si>
  <si>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</si>
  <si>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</si>
  <si>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</si>
  <si>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</si>
  <si>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</si>
  <si>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</si>
  <si>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</si>
  <si>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</si>
  <si>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</si>
  <si>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</si>
  <si>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</si>
  <si>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</si>
  <si>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</si>
  <si>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</si>
  <si>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</si>
  <si>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</si>
  <si>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</si>
  <si>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</si>
  <si>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</si>
  <si>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</si>
  <si>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</si>
  <si>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</si>
  <si>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</si>
  <si>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</si>
  <si>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</si>
  <si>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</si>
  <si>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</si>
  <si>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</si>
  <si>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</si>
  <si>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</si>
  <si>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</si>
  <si>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</si>
  <si>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</si>
  <si>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</si>
  <si>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</si>
  <si>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</si>
  <si>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</si>
  <si>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</si>
  <si>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</si>
  <si>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</si>
  <si>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</si>
  <si>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</si>
  <si>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</si>
  <si>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</si>
  <si>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</si>
  <si>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</si>
  <si>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</si>
  <si>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</si>
  <si>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</si>
  <si>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</si>
  <si>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</si>
  <si>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</si>
  <si>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</si>
  <si>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</si>
  <si>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</si>
  <si>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</si>
  <si>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</si>
  <si>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</si>
  <si>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</si>
  <si>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</si>
  <si>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</si>
  <si>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</si>
  <si>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</si>
  <si>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</si>
  <si>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</si>
  <si>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</si>
  <si>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</si>
  <si>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</si>
  <si>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</si>
  <si>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</si>
  <si>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</si>
  <si>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</si>
  <si>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</si>
  <si>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</si>
  <si>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</si>
  <si>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</si>
  <si>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</si>
  <si>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</si>
  <si>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</si>
  <si>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</si>
  <si>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</si>
  <si>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</si>
  <si>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</si>
  <si>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</si>
  <si>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</si>
  <si>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</si>
  <si>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</si>
  <si>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</si>
  <si>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</si>
  <si>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</si>
  <si>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</si>
  <si>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</si>
  <si>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</si>
  <si>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</si>
  <si>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</si>
  <si>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</si>
  <si>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</si>
  <si>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</si>
  <si>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</si>
  <si>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</si>
  <si>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</si>
  <si>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</si>
  <si>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</si>
  <si>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</si>
  <si>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</si>
  <si>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</si>
  <si>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</si>
  <si>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</si>
  <si>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</si>
  <si>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</si>
  <si>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</si>
  <si>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</si>
  <si>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</si>
  <si>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</si>
  <si>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</si>
  <si>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</si>
  <si>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</si>
  <si>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</si>
  <si>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</si>
  <si>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</si>
  <si>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</si>
  <si>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</si>
  <si>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</si>
  <si>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</si>
  <si>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</si>
  <si>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</si>
  <si>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</si>
  <si>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</si>
  <si>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</si>
  <si>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</si>
  <si>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</si>
  <si>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</si>
  <si>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</si>
  <si>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</si>
  <si>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</si>
  <si>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</si>
  <si>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</si>
  <si>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</si>
  <si>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</si>
  <si>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</si>
  <si>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</si>
  <si>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</si>
  <si>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</si>
  <si>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</si>
  <si>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</si>
  <si>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</si>
  <si>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</si>
  <si>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</si>
  <si>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</si>
  <si>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</si>
  <si>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</si>
  <si>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</si>
  <si>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</si>
  <si>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</si>
  <si>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</si>
  <si>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</si>
  <si>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</si>
  <si>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</si>
  <si>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</si>
  <si>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</si>
  <si>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</si>
  <si>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</si>
  <si>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</si>
  <si>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</si>
  <si>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</si>
  <si>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</si>
  <si>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</si>
  <si>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</si>
  <si>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</si>
  <si>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</si>
  <si>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</si>
  <si>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</si>
  <si>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</si>
  <si>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</si>
  <si>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</si>
  <si>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</si>
  <si>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</si>
  <si>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</si>
  <si>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</si>
  <si>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</si>
  <si>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</si>
  <si>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</si>
  <si>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</si>
  <si>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</si>
  <si>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</si>
  <si>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</si>
  <si>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</si>
  <si>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</si>
  <si>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</si>
  <si>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</si>
  <si>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</si>
  <si>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</si>
  <si>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</si>
  <si>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</si>
  <si>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</si>
  <si>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</si>
  <si>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</si>
  <si>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</si>
  <si>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</si>
  <si>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</si>
  <si>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</si>
  <si>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</si>
  <si>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</si>
  <si>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</si>
  <si>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</si>
  <si>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</si>
  <si>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</si>
  <si>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</si>
  <si>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</si>
  <si>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</si>
  <si>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</si>
  <si>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</si>
  <si>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</si>
  <si>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</si>
  <si>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</si>
  <si>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</si>
  <si>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</si>
  <si>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</si>
  <si>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</si>
  <si>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</si>
  <si>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</si>
  <si>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</si>
  <si>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</si>
  <si>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</si>
  <si>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</si>
  <si>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</si>
  <si>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</si>
  <si>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</si>
  <si>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</si>
  <si>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</si>
  <si>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</si>
  <si>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</si>
  <si>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</si>
  <si>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</si>
  <si>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</si>
  <si>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</si>
  <si>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</si>
  <si>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</si>
  <si>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</si>
  <si>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</si>
  <si>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</si>
  <si>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</si>
  <si>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</si>
  <si>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</si>
  <si>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</si>
  <si>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</si>
  <si>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</si>
  <si>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</si>
  <si>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</si>
  <si>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</si>
  <si>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</si>
  <si>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</si>
  <si>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</si>
  <si>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</si>
  <si>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</si>
  <si>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</si>
  <si>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</si>
  <si>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</si>
  <si>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</si>
  <si>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</si>
  <si>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</si>
  <si>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</si>
  <si>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</si>
  <si>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</si>
  <si>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</si>
  <si>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</si>
  <si>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</si>
  <si>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</si>
  <si>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</si>
  <si>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</si>
  <si>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</si>
  <si>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</si>
  <si>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</si>
  <si>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</si>
  <si>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</si>
  <si>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</si>
  <si>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</si>
  <si>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</si>
  <si>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</si>
  <si>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</si>
  <si>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</si>
  <si>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</si>
  <si>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</si>
  <si>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</si>
  <si>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</si>
  <si>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</si>
  <si>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</si>
  <si>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</si>
  <si>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</si>
  <si>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</si>
  <si>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</si>
  <si>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</si>
  <si>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</si>
  <si>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</si>
  <si>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</si>
  <si>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</si>
  <si>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</si>
  <si>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</si>
  <si>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</si>
  <si>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</si>
  <si>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</si>
  <si>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</si>
  <si>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</si>
  <si>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</si>
  <si>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</si>
  <si>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</si>
  <si>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</si>
  <si>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</si>
  <si>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</si>
  <si>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</si>
  <si>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</si>
  <si>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</si>
  <si>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</si>
  <si>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</si>
  <si>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</si>
  <si>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</si>
  <si>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</si>
  <si>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</si>
  <si>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</si>
  <si>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</si>
  <si>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</si>
  <si>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</si>
  <si>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</si>
  <si>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</si>
  <si>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</si>
  <si>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</si>
  <si>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</si>
  <si>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</si>
  <si>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</si>
  <si>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</si>
  <si>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</si>
  <si>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</si>
  <si>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</si>
  <si>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</si>
  <si>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</si>
  <si>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</si>
  <si>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</si>
  <si>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</si>
  <si>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</si>
  <si>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</si>
  <si>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</si>
  <si>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</si>
  <si>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</si>
  <si>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</si>
  <si>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</si>
  <si>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</si>
  <si>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</si>
  <si>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</si>
  <si>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</si>
  <si>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</si>
  <si>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</si>
  <si>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</si>
  <si>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</si>
  <si>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</si>
  <si>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</si>
  <si>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</si>
  <si>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</si>
  <si>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</si>
  <si>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</si>
  <si>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</si>
  <si>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</si>
  <si>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</si>
  <si>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</si>
  <si>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</si>
  <si>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</si>
  <si>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</si>
  <si>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</si>
  <si>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</si>
  <si>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</si>
  <si>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</si>
  <si>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</si>
  <si>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</si>
  <si>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</si>
  <si>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</si>
  <si>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</si>
  <si>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</si>
  <si>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</si>
  <si>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</si>
  <si>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</si>
  <si>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</si>
  <si>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</si>
  <si>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</si>
  <si>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</si>
  <si>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</si>
  <si>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</si>
  <si>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</si>
  <si>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</si>
  <si>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</si>
  <si>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</si>
  <si>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</si>
  <si>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</si>
  <si>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</si>
  <si>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</si>
  <si>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</si>
  <si>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</si>
  <si>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</si>
  <si>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</si>
  <si>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</si>
  <si>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</si>
  <si>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</si>
  <si>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</si>
  <si>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</si>
  <si>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</si>
  <si>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</si>
  <si>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</si>
  <si>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</si>
  <si>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</si>
  <si>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</si>
  <si>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</si>
  <si>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</si>
  <si>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</si>
  <si>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</si>
  <si>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</si>
  <si>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</si>
  <si>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</si>
  <si>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</si>
  <si>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</si>
  <si>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</si>
  <si>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</si>
  <si>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</si>
  <si>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</si>
  <si>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</si>
  <si>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</si>
  <si>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</si>
  <si>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</si>
  <si>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</si>
  <si>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</si>
  <si>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</si>
  <si>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</si>
  <si>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</si>
  <si>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</si>
  <si>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</si>
  <si>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</si>
  <si>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</si>
  <si>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</si>
  <si>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</si>
  <si>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</si>
  <si>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</si>
  <si>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</si>
  <si>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</si>
  <si>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</si>
  <si>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</si>
  <si>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</si>
  <si>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</si>
  <si>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</si>
  <si>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</si>
  <si>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</si>
  <si>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</si>
  <si>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</si>
  <si>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</si>
  <si>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</si>
  <si>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</si>
  <si>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</si>
  <si>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</si>
  <si>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</si>
  <si>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</si>
  <si>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</si>
  <si>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</si>
  <si>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</si>
  <si>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</si>
  <si>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</si>
  <si>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</si>
  <si>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</si>
  <si>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</si>
  <si>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</si>
  <si>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</si>
  <si>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</si>
  <si>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</si>
  <si>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</si>
  <si>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</si>
  <si>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</si>
  <si>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</si>
  <si>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</si>
  <si>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</si>
  <si>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</si>
  <si>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</si>
  <si>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</si>
  <si>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</si>
  <si>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</si>
  <si>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</si>
  <si>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</si>
  <si>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</si>
  <si>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</si>
  <si>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</si>
  <si>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</si>
  <si>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</si>
  <si>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</si>
  <si>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</si>
  <si>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</si>
  <si>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</si>
  <si>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</si>
  <si>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</si>
  <si>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</si>
  <si>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</si>
  <si>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</si>
  <si>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</si>
  <si>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</si>
  <si>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</si>
  <si>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</si>
  <si>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</si>
  <si>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</si>
  <si>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</si>
  <si>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</si>
  <si>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</si>
  <si>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</si>
  <si>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</si>
  <si>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</si>
  <si>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</si>
  <si>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</si>
  <si>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</si>
  <si>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</si>
  <si>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</si>
  <si>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</si>
  <si>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</si>
  <si>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</si>
  <si>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</si>
  <si>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</si>
  <si>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</si>
  <si>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</si>
  <si>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</si>
  <si>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</si>
  <si>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</si>
  <si>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</si>
  <si>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</si>
  <si>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</si>
  <si>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</si>
  <si>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</si>
  <si>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</si>
  <si>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</si>
  <si>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</si>
  <si>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</si>
  <si>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</si>
  <si>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</si>
  <si>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</si>
  <si>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</si>
  <si>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</si>
  <si>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</si>
  <si>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</si>
  <si>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</si>
  <si>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</si>
  <si>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</si>
  <si>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</si>
  <si>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</si>
  <si>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</si>
  <si>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</si>
  <si>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</si>
  <si>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</si>
  <si>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</si>
  <si>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</si>
  <si>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</si>
  <si>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</si>
  <si>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</si>
  <si>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</si>
  <si>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</si>
  <si>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</si>
  <si>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</si>
  <si>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</si>
  <si>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</si>
  <si>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</si>
  <si>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</si>
  <si>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</si>
  <si>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</si>
  <si>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</si>
  <si>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</si>
  <si>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</si>
  <si>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</si>
  <si>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</si>
  <si>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</si>
  <si>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</si>
  <si>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</si>
  <si>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</si>
  <si>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</si>
  <si>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</si>
  <si>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</si>
  <si>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</si>
  <si>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</si>
  <si>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</si>
  <si>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</si>
  <si>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</si>
  <si>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</si>
  <si>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</si>
  <si>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</si>
  <si>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</si>
  <si>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</si>
  <si>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</si>
  <si>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</si>
  <si>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</si>
  <si>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</si>
  <si>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</si>
  <si>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</si>
  <si>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</si>
  <si>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</si>
  <si>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</si>
  <si>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</si>
  <si>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</si>
  <si>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</si>
  <si>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</si>
  <si>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</si>
  <si>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</si>
  <si>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</si>
  <si>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</si>
  <si>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</si>
  <si>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</si>
  <si>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</si>
  <si>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</si>
  <si>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</si>
  <si>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</si>
  <si>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</si>
  <si>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</si>
  <si>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</si>
  <si>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</si>
  <si>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</si>
  <si>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</si>
  <si>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</si>
  <si>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</si>
  <si>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</si>
  <si>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</si>
  <si>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</si>
  <si>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</si>
  <si>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</si>
  <si>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</si>
  <si>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</si>
  <si>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</si>
  <si>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</si>
  <si>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</si>
  <si>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</si>
  <si>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</si>
  <si>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</si>
  <si>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</si>
  <si>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</si>
  <si>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</si>
  <si>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</si>
  <si>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</si>
  <si>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</si>
  <si>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</si>
  <si>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</si>
  <si>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</si>
  <si>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</si>
  <si>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</si>
  <si>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</si>
  <si>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</si>
  <si>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</si>
  <si>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</si>
  <si>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</si>
  <si>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</si>
  <si>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</si>
  <si>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</si>
  <si>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</si>
  <si>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</si>
  <si>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</si>
  <si>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</si>
  <si>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</si>
  <si>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</si>
  <si>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</si>
  <si>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</si>
  <si>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</si>
  <si>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</si>
  <si>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</si>
  <si>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</si>
  <si>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</si>
  <si>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</si>
  <si>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</si>
  <si>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</si>
  <si>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</si>
  <si>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</si>
  <si>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</si>
  <si>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</si>
  <si>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</si>
  <si>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</si>
  <si>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</si>
  <si>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</si>
  <si>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</si>
  <si>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</si>
  <si>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</si>
  <si>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</si>
  <si>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</si>
  <si>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</si>
  <si>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</si>
  <si>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</si>
  <si>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</si>
  <si>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</si>
  <si>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</si>
  <si>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</si>
  <si>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</si>
  <si>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</si>
  <si>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</si>
  <si>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</si>
  <si>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</si>
  <si>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</si>
  <si>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</si>
  <si>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</si>
  <si>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</si>
  <si>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</si>
  <si>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</si>
  <si>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</si>
  <si>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</si>
  <si>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</si>
  <si>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</si>
  <si>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</si>
  <si>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</si>
  <si>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</si>
  <si>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</si>
  <si>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</si>
  <si>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</si>
  <si>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</si>
  <si>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</si>
  <si>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</si>
  <si>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</si>
  <si>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</si>
  <si>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</si>
  <si>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</si>
  <si>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</si>
  <si>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</si>
  <si>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</si>
  <si>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</si>
  <si>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</si>
  <si>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</si>
  <si>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</si>
  <si>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</si>
  <si>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</si>
  <si>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</si>
  <si>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</si>
  <si>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</si>
  <si>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</si>
  <si>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</si>
  <si>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</si>
  <si>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</si>
  <si>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</si>
  <si>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</si>
  <si>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</si>
  <si>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</si>
  <si>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</si>
  <si>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</si>
  <si>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</si>
  <si>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</si>
  <si>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</si>
  <si>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</si>
  <si>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</si>
  <si>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</si>
  <si>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</si>
  <si>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</si>
  <si>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</si>
  <si>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</si>
  <si>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</si>
  <si>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</si>
  <si>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</si>
  <si>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</si>
  <si>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</si>
  <si>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</si>
  <si>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</si>
  <si>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</si>
  <si>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</si>
  <si>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</si>
  <si>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</si>
  <si>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</si>
  <si>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</si>
  <si>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</si>
  <si>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</si>
  <si>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</si>
  <si>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</si>
  <si>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</si>
  <si>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</si>
  <si>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</si>
  <si>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</si>
  <si>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</si>
  <si>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</si>
  <si>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</si>
  <si>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</si>
  <si>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</si>
  <si>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</si>
  <si>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</si>
  <si>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</si>
  <si>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</si>
  <si>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</si>
  <si>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</si>
  <si>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</si>
  <si>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</si>
  <si>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</si>
  <si>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</si>
  <si>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</si>
  <si>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</si>
  <si>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</si>
  <si>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</si>
  <si>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</si>
  <si>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</si>
  <si>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</si>
  <si>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</si>
  <si>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</si>
  <si>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</si>
  <si>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</si>
  <si>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</si>
  <si>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</si>
  <si>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</si>
  <si>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</si>
  <si>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</si>
  <si>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</si>
  <si>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</si>
  <si>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</si>
  <si>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</si>
  <si>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</si>
  <si>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</si>
  <si>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</si>
  <si>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</si>
  <si>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</si>
  <si>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</si>
  <si>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</si>
  <si>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</si>
  <si>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</si>
  <si>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</si>
  <si>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</si>
  <si>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</si>
  <si>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</si>
  <si>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</si>
  <si>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</si>
  <si>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</si>
  <si>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</si>
  <si>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</si>
  <si>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</si>
  <si>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</si>
  <si>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</si>
  <si>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</si>
  <si>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</si>
  <si>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</si>
  <si>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</si>
  <si>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</si>
  <si>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</si>
  <si>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</si>
  <si>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</si>
  <si>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</si>
  <si>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</si>
  <si>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</si>
  <si>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</si>
  <si>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</si>
  <si>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</si>
  <si>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</si>
  <si>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</si>
  <si>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</si>
  <si>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</si>
  <si>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</si>
  <si>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</si>
  <si>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</si>
  <si>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</si>
  <si>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</si>
  <si>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</si>
  <si>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</si>
  <si>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</si>
  <si>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</si>
  <si>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</si>
  <si>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</si>
  <si>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</si>
  <si>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</si>
  <si>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</si>
  <si>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</si>
  <si>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</si>
  <si>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</si>
  <si>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</si>
  <si>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</si>
  <si>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</si>
  <si>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</si>
  <si>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</si>
  <si>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</si>
  <si>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</si>
  <si>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</si>
  <si>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</si>
  <si>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</si>
  <si>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</si>
  <si>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</si>
  <si>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</si>
  <si>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</si>
  <si>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</si>
  <si>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</si>
  <si>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</si>
  <si>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</si>
  <si>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</si>
  <si>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</si>
  <si>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</si>
  <si>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</si>
  <si>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</si>
  <si>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</si>
  <si>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</si>
  <si>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</si>
  <si>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</si>
  <si>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</si>
  <si>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</si>
  <si>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</si>
  <si>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</si>
  <si>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</si>
  <si>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</si>
  <si>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</si>
  <si>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</si>
  <si>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</si>
  <si>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</si>
  <si>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</si>
  <si>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</si>
  <si>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</si>
  <si>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</si>
  <si>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</si>
  <si>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</si>
  <si>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</si>
  <si>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</si>
  <si>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</si>
  <si>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</si>
  <si>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</si>
  <si>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</si>
  <si>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</si>
  <si>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</si>
  <si>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</si>
  <si>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</si>
  <si>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</si>
  <si>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</si>
  <si>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</si>
  <si>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</si>
  <si>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</si>
  <si>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</si>
  <si>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</si>
  <si>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</si>
  <si>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</si>
  <si>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</si>
  <si>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</si>
  <si>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</si>
  <si>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</si>
  <si>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</si>
  <si>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</si>
  <si>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</si>
  <si>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</si>
  <si>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</si>
  <si>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</si>
  <si>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</si>
  <si>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</si>
  <si>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</si>
  <si>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</si>
  <si>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</si>
  <si>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</si>
  <si>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</si>
  <si>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</si>
  <si>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</si>
  <si>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</si>
  <si>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</si>
  <si>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</si>
  <si>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</si>
  <si>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</si>
  <si>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</si>
  <si>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</si>
  <si>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</si>
  <si>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</si>
  <si>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</si>
  <si>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</si>
  <si>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</si>
  <si>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</si>
  <si>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</si>
  <si>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</si>
  <si>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</si>
  <si>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</si>
  <si>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</si>
  <si>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</si>
  <si>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</si>
  <si>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</si>
  <si>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</si>
  <si>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</si>
  <si>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</si>
  <si>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</si>
  <si>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</si>
  <si>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</si>
  <si>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</si>
  <si>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</si>
  <si>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</si>
  <si>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</si>
  <si>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</si>
  <si>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</si>
  <si>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</si>
  <si>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</si>
  <si>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</si>
  <si>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</si>
  <si>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</si>
  <si>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</si>
  <si>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</si>
  <si>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</si>
  <si>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</si>
  <si>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</si>
  <si>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</si>
  <si>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</si>
  <si>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</si>
  <si>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</si>
  <si>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</si>
  <si>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</si>
  <si>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</si>
  <si>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</si>
  <si>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</si>
  <si>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</si>
  <si>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</si>
  <si>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</si>
  <si>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</si>
  <si>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</si>
  <si>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</si>
  <si>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</si>
  <si>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</si>
  <si>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</si>
  <si>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</si>
  <si>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</si>
  <si>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</si>
  <si>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</si>
  <si>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</si>
  <si>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</si>
  <si>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</si>
  <si>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</si>
  <si>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</si>
  <si>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</si>
  <si>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</si>
  <si>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</si>
  <si>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</si>
  <si>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</si>
  <si>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</si>
  <si>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</si>
  <si>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</si>
  <si>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</si>
  <si>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</si>
  <si>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</si>
  <si>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</si>
  <si>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</si>
  <si>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</si>
  <si>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</si>
  <si>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</si>
  <si>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</si>
  <si>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</si>
  <si>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</si>
  <si>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</si>
  <si>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</si>
  <si>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</si>
  <si>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</si>
  <si>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</si>
  <si>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</si>
  <si>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</si>
  <si>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</si>
  <si>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</si>
  <si>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</si>
  <si>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</si>
  <si>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</si>
  <si>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</si>
  <si>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</si>
  <si>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</si>
  <si>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</si>
  <si>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</si>
  <si>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</si>
  <si>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</si>
  <si>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</si>
  <si>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</si>
  <si>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</si>
  <si>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</si>
  <si>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</si>
  <si>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</si>
  <si>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</si>
  <si>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</si>
  <si>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</si>
  <si>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</si>
  <si>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</si>
  <si>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</si>
  <si>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</si>
  <si>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</si>
  <si>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</si>
  <si>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</si>
  <si>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</si>
  <si>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</si>
  <si>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</si>
  <si>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</si>
  <si>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</si>
  <si>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</si>
  <si>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</si>
  <si>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</si>
  <si>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</si>
  <si>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</si>
  <si>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</si>
  <si>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</si>
  <si>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</si>
  <si>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</si>
  <si>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</si>
  <si>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</si>
  <si>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</si>
  <si>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</si>
  <si>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</si>
  <si>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</si>
  <si>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</si>
  <si>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</si>
  <si>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</si>
  <si>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</si>
  <si>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</si>
  <si>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</si>
  <si>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</si>
  <si>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</si>
  <si>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</si>
  <si>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</si>
  <si>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</si>
  <si>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</si>
  <si>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</si>
  <si>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</si>
  <si>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</si>
  <si>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</si>
  <si>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</si>
  <si>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</si>
  <si>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</si>
  <si>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</si>
  <si>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</si>
  <si>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</si>
  <si>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</si>
  <si>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</si>
  <si>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</si>
  <si>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</si>
  <si>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</si>
  <si>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</si>
  <si>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</si>
  <si>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</si>
  <si>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</si>
  <si>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</si>
  <si>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</si>
  <si>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</si>
  <si>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</si>
  <si>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</si>
  <si>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</si>
  <si>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</si>
  <si>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</si>
  <si>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</si>
  <si>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</si>
  <si>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</si>
  <si>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</si>
  <si>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</si>
  <si>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</si>
  <si>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</si>
  <si>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</si>
  <si>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</si>
  <si>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</si>
  <si>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</si>
  <si>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</si>
  <si>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</si>
  <si>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</si>
  <si>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</si>
  <si>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</si>
  <si>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</si>
  <si>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</si>
  <si>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</si>
  <si>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</si>
  <si>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</si>
  <si>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</si>
  <si>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</si>
  <si>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</si>
  <si>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</si>
  <si>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</si>
  <si>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</si>
  <si>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</si>
  <si>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</si>
  <si>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</si>
  <si>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</si>
  <si>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</si>
  <si>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</si>
  <si>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</si>
  <si>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</si>
  <si>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</si>
  <si>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</si>
  <si>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</si>
  <si>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</si>
  <si>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</si>
  <si>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</si>
  <si>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</si>
  <si>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</si>
  <si>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</si>
  <si>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</si>
  <si>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</si>
  <si>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</si>
  <si>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</si>
  <si>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</si>
  <si>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</si>
  <si>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</si>
  <si>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</si>
  <si>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</si>
  <si>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</si>
  <si>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</si>
  <si>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</si>
  <si>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</si>
  <si>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</si>
  <si>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</si>
  <si>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</si>
  <si>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</si>
  <si>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</si>
  <si>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</si>
  <si>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</si>
  <si>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</si>
  <si>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</si>
  <si>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</si>
  <si>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</si>
  <si>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</si>
  <si>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</si>
  <si>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</si>
  <si>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</si>
  <si>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</si>
  <si>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</si>
  <si>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</si>
  <si>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</si>
  <si>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</si>
  <si>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</si>
  <si>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</si>
  <si>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</si>
  <si>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</si>
  <si>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</si>
  <si>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</si>
  <si>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</si>
  <si>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</si>
  <si>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</si>
  <si>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</si>
  <si>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</si>
  <si>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</si>
  <si>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</si>
  <si>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</si>
  <si>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</si>
  <si>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</si>
  <si>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</si>
  <si>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</si>
  <si>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</si>
  <si>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</si>
  <si>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</si>
  <si>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</si>
  <si>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</si>
  <si>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</si>
  <si>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</si>
  <si>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</si>
  <si>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</si>
  <si>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t>项目局部</t>
  </si>
  <si>
    <r>
      <t>3</t>
    </r>
    <r>
      <rPr>
        <sz val="10"/>
        <color indexed="8"/>
        <rFont val="宋体"/>
        <family val="3"/>
        <charset val="134"/>
      </rPr>
      <t>层</t>
    </r>
    <r>
      <rPr>
        <sz val="10"/>
        <color indexed="8"/>
        <rFont val="Arial"/>
        <family val="2"/>
      </rPr>
      <t>301</t>
    </r>
    <phoneticPr fontId="3" type="noConversion"/>
  </si>
  <si>
    <t>普通装修</t>
    <phoneticPr fontId="3" type="noConversion"/>
  </si>
  <si>
    <t>B101</t>
    <phoneticPr fontId="24" type="noConversion"/>
  </si>
  <si>
    <t>地下1层</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</si>
  <si>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B102</t>
    </r>
    <phoneticPr fontId="6"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</si>
  <si>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</si>
  <si>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商业B102</t>
  </si>
  <si>
    <t>商业B102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</si>
</sst>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北京市陈庄子路3号院4号楼-1层B102房地产市场价值预评估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受贵公司委托，我公司对北京市陈庄子路3号院4号楼-1层B102房地产市场价值进行了预评估。</v>
      </c>
    </row>
    <row r="7" spans="1:2" s="1203" customFormat="1">
      <c r="A7" s="1201" t="s">
        <v>566</v>
      </c>
      <c r="B7" s="1202" t="str">
        <f>'预评函-1'!A7</f>
        <v>估价对象为北京市陈庄子路3号院4号楼-1层B102房地产，为北京百肯商贸有限公司所有。根据《国有土地使用证》[]，估价对象（分摊）出让国有建设用地使用权面积为0平方米，建筑面积为820.57平方米。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1603</v>
      </c>
    </row>
    <row r="21" spans="1:2" s="1203" customFormat="1">
      <c r="A21" s="1201" t="s">
        <v>537</v>
      </c>
      <c r="B21" s="1202">
        <f ca="1">'预评函-2'!D7</f>
        <v>19535</v>
      </c>
    </row>
    <row r="22" spans="1:2" s="1203" customFormat="1">
      <c r="A22" s="1201" t="s">
        <v>538</v>
      </c>
      <c r="B22" s="1202" t="str">
        <f ca="1">'预评函-2'!D6</f>
        <v>壹仟陆佰零叁万元整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1603</v>
      </c>
    </row>
    <row r="31" spans="1:2" s="1203" customFormat="1">
      <c r="A31" s="1201" t="s">
        <v>576</v>
      </c>
      <c r="B31" s="1202">
        <f ca="1">'预评函-2'!D15</f>
        <v>19535</v>
      </c>
    </row>
    <row r="32" spans="1:2" s="1203" customFormat="1">
      <c r="A32" s="1201" t="s">
        <v>543</v>
      </c>
      <c r="B32" s="1202" t="str">
        <f ca="1">'预评函-2'!D14</f>
        <v>壹仟陆佰零叁万元整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1602</v>
      </c>
    </row>
    <row r="39" spans="1:2" s="1203" customFormat="1">
      <c r="A39" s="1201" t="s">
        <v>545</v>
      </c>
      <c r="B39" s="1202">
        <f ca="1">'预评函-2'!D21</f>
        <v>19523</v>
      </c>
    </row>
    <row r="40" spans="1:2" s="1203" customFormat="1">
      <c r="A40" s="1201" t="s">
        <v>546</v>
      </c>
      <c r="B40" s="1202" t="str">
        <f ca="1">'预评函-2'!D20</f>
        <v>壹仟陆佰零贰万元整</v>
      </c>
    </row>
    <row r="41" spans="1:2" s="1203" customFormat="1">
      <c r="A41" s="1201" t="s">
        <v>592</v>
      </c>
      <c r="B41" s="1202" t="str">
        <f>'预评函-3'!A4</f>
        <v>北京市陈庄子路3号院4号楼-1层B102房地产</v>
      </c>
    </row>
    <row r="42" spans="1:2" s="1203" customFormat="1">
      <c r="A42" s="1201" t="s">
        <v>590</v>
      </c>
      <c r="B42" s="1202" t="str">
        <f>'预评函-3'!B2</f>
        <v>建筑面积</v>
      </c>
    </row>
    <row r="43" spans="1:2" s="1203" customFormat="1">
      <c r="A43" s="1201" t="s">
        <v>591</v>
      </c>
      <c r="B43" s="1202">
        <f>'预评函-3'!B4</f>
        <v>820.57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1092</v>
      </c>
    </row>
    <row r="48" spans="1:2" s="1203" customFormat="1">
      <c r="A48" s="1201" t="s">
        <v>549</v>
      </c>
      <c r="B48" s="1202">
        <f ca="1">'预评函-3'!E4</f>
        <v>13308</v>
      </c>
    </row>
    <row r="49" spans="1:2" s="1203" customFormat="1">
      <c r="A49" s="1201" t="s">
        <v>550</v>
      </c>
      <c r="B49" s="1202" t="str">
        <f ca="1">'预评函-3'!D5</f>
        <v>壹仟零玖拾贰万元整</v>
      </c>
    </row>
    <row r="50" spans="1:2" s="1203" customFormat="1">
      <c r="A50" s="1201" t="s">
        <v>574</v>
      </c>
      <c r="B50" s="1202" t="str">
        <f>'预评函-3'!F2</f>
        <v>在建建筑物价值</v>
      </c>
    </row>
    <row r="51" spans="1:2" s="1203" customFormat="1">
      <c r="A51" s="1201" t="s">
        <v>551</v>
      </c>
      <c r="B51" s="1202">
        <f ca="1">'预评函-3'!F4</f>
        <v>511</v>
      </c>
    </row>
    <row r="52" spans="1:2" s="1203" customFormat="1">
      <c r="A52" s="1201" t="s">
        <v>552</v>
      </c>
      <c r="B52" s="1202">
        <f ca="1">'预评函-3'!G4</f>
        <v>6227</v>
      </c>
    </row>
    <row r="53" spans="1:2" s="1203" customFormat="1">
      <c r="A53" s="1201" t="s">
        <v>580</v>
      </c>
      <c r="B53" s="1202" t="str">
        <f ca="1">'预评函-3'!F5</f>
        <v>伍佰壹拾壹万元整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102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1" t="s">
        <v>2587</v>
      </c>
      <c r="J1" s="3220"/>
      <c r="K1" s="3220"/>
      <c r="L1" s="3220"/>
      <c r="M1" s="3220"/>
      <c r="N1" s="3432"/>
      <c r="O1" s="3432"/>
      <c r="P1" s="3432"/>
      <c r="Q1" s="3432"/>
      <c r="R1" s="3432"/>
    </row>
    <row r="2" spans="1:18">
      <c r="A2" s="3010"/>
      <c r="B2" s="3011"/>
      <c r="C2" s="3011"/>
      <c r="D2" s="3011"/>
      <c r="E2" s="3011"/>
      <c r="F2" s="3012"/>
      <c r="I2" s="3511" t="s">
        <v>2574</v>
      </c>
      <c r="J2" s="3511"/>
      <c r="K2" s="3511"/>
      <c r="L2" s="3511"/>
      <c r="M2" s="3511"/>
      <c r="N2" s="3511"/>
      <c r="O2" s="3511"/>
      <c r="P2" s="3511"/>
      <c r="Q2" s="3511"/>
      <c r="R2" s="3511"/>
    </row>
    <row r="3" spans="1:18">
      <c r="A3" s="3013" t="s">
        <v>2495</v>
      </c>
      <c r="B3" s="3014">
        <f>项目基本情况!D3</f>
        <v>44931</v>
      </c>
      <c r="C3" s="3016"/>
      <c r="D3" s="3016"/>
      <c r="E3" s="3016"/>
      <c r="F3" s="3012"/>
      <c r="I3" s="3433"/>
      <c r="J3" s="3433" t="s">
        <v>2578</v>
      </c>
      <c r="K3" s="3433" t="s">
        <v>2579</v>
      </c>
      <c r="L3" s="3433" t="s">
        <v>2580</v>
      </c>
      <c r="M3" s="3433" t="s">
        <v>2581</v>
      </c>
      <c r="N3" s="3434" t="s">
        <v>2582</v>
      </c>
      <c r="O3" s="3434" t="s">
        <v>2583</v>
      </c>
      <c r="P3" s="3434" t="s">
        <v>2584</v>
      </c>
      <c r="Q3" s="3434" t="s">
        <v>2585</v>
      </c>
      <c r="R3" s="3434" t="s">
        <v>2586</v>
      </c>
    </row>
    <row r="4" spans="1:18">
      <c r="A4" s="3013" t="s">
        <v>2496</v>
      </c>
      <c r="B4" s="3016" t="s">
        <v>2497</v>
      </c>
      <c r="C4" s="3016" t="s">
        <v>2498</v>
      </c>
      <c r="D4" s="3016" t="s">
        <v>2499</v>
      </c>
      <c r="E4" s="3016" t="s">
        <v>2500</v>
      </c>
      <c r="F4" s="3012"/>
      <c r="I4" s="3433" t="s">
        <v>2575</v>
      </c>
      <c r="J4" s="3433">
        <v>80</v>
      </c>
      <c r="K4" s="3433">
        <v>70</v>
      </c>
      <c r="L4" s="3433">
        <v>20</v>
      </c>
      <c r="M4" s="3433">
        <v>30</v>
      </c>
      <c r="N4" s="3016">
        <v>45</v>
      </c>
      <c r="O4" s="3016">
        <v>60</v>
      </c>
      <c r="P4" s="3016">
        <v>50</v>
      </c>
      <c r="Q4" s="3016">
        <v>20</v>
      </c>
      <c r="R4" s="3016">
        <v>375</v>
      </c>
    </row>
    <row r="5" spans="1:18">
      <c r="A5" s="3017">
        <v>40</v>
      </c>
      <c r="B5" s="3014">
        <v>46375</v>
      </c>
      <c r="C5" s="3016">
        <f>ROUNDDOWN(MIN((B5-B3)/365,A5),2)</f>
        <v>3.95</v>
      </c>
      <c r="D5" s="3018">
        <f>IF(ISERROR(ROUND(POWER(1+E5,A5-C5)*(POWER(1+E5,C5)-1)/(POWER(1+E5,A5)-1),3)),0,ROUND(POWER(1+E5,A5-C5)*(POWER(1+E5,C5)-1)/(POWER(1+E5,A5)-1),4))</f>
        <v>0.18129999999999999</v>
      </c>
      <c r="E5" s="3019">
        <v>0.04</v>
      </c>
      <c r="F5" s="3012"/>
      <c r="I5" s="3433" t="s">
        <v>2576</v>
      </c>
      <c r="J5" s="3433">
        <v>70</v>
      </c>
      <c r="K5" s="3433">
        <v>60</v>
      </c>
      <c r="L5" s="3433">
        <v>15</v>
      </c>
      <c r="M5" s="3433">
        <v>25</v>
      </c>
      <c r="N5" s="3016">
        <v>40</v>
      </c>
      <c r="O5" s="3016">
        <v>50</v>
      </c>
      <c r="P5" s="3016">
        <v>40</v>
      </c>
      <c r="Q5" s="3016">
        <v>15</v>
      </c>
      <c r="R5" s="3016">
        <v>315</v>
      </c>
    </row>
    <row r="6" spans="1:18">
      <c r="A6" s="3017">
        <v>50</v>
      </c>
      <c r="B6" s="3014">
        <v>50028</v>
      </c>
      <c r="C6" s="3016">
        <f>ROUNDDOWN(MIN((B6-B3)/365,A6),2)</f>
        <v>13.96</v>
      </c>
      <c r="D6" s="3018">
        <f>IF(ISERROR(ROUND(POWER(1+E6,A6-C6)*(POWER(1+E6,C6)-1)/(POWER(1+E6,A6)-1),3)),0,ROUND(POWER(1+E6,A6-C6)*(POWER(1+E6,C6)-1)/(POWER(1+E6,A6)-1),4))</f>
        <v>0.49070000000000003</v>
      </c>
      <c r="E6" s="3019">
        <v>0.04</v>
      </c>
      <c r="F6" s="3012"/>
      <c r="I6" s="3433" t="s">
        <v>2577</v>
      </c>
      <c r="J6" s="3433">
        <v>60</v>
      </c>
      <c r="K6" s="3433">
        <v>50</v>
      </c>
      <c r="L6" s="3433">
        <v>10</v>
      </c>
      <c r="M6" s="3433">
        <v>20</v>
      </c>
      <c r="N6" s="3016">
        <v>35</v>
      </c>
      <c r="O6" s="3016">
        <v>40</v>
      </c>
      <c r="P6" s="3016">
        <v>30</v>
      </c>
      <c r="Q6" s="3016">
        <v>10</v>
      </c>
      <c r="R6" s="3016">
        <v>255</v>
      </c>
    </row>
    <row r="7" spans="1:18">
      <c r="A7" s="3017">
        <v>70</v>
      </c>
      <c r="B7" s="3014">
        <v>57333</v>
      </c>
      <c r="C7" s="3016">
        <f>ROUNDDOWN(MIN((B7-B3)/365,A7),2)</f>
        <v>33.97</v>
      </c>
      <c r="D7" s="3018">
        <f>IF(ISERROR(ROUND(POWER(1+E7,A7-C7)*(POWER(1+E7,C7)-1)/(POWER(1+E7,A7)-1),3)),0,ROUND(POWER(1+E7,A7-C7)*(POWER(1+E7,C7)-1)/(POWER(1+E7,A7)-1),4))</f>
        <v>0.78669999999999995</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1" customWidth="1"/>
    <col min="12" max="13" width="10" style="2622"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2166</v>
      </c>
      <c r="B1" s="3520" t="str">
        <f>IF(B10="北京市","北京市",C10)&amp;F10&amp;IF(结果表!G1="在建","出让国有建设用地使用权及在建建筑物",IF(结果表!G1="土地","出让国有建设用地使用权",))&amp;B9&amp;"预评估"</f>
        <v>北京市陈庄子路3号院4号楼-1层B102房地产市场价值预评估</v>
      </c>
      <c r="C1" s="3521"/>
      <c r="D1" s="3521"/>
      <c r="E1" s="3521"/>
      <c r="F1" s="3521"/>
      <c r="G1" s="3521"/>
      <c r="H1" s="3521"/>
      <c r="I1" s="3522"/>
      <c r="J1" s="2464"/>
      <c r="K1" s="2366"/>
      <c r="L1" s="2367"/>
      <c r="M1" s="2367"/>
      <c r="N1" s="2368"/>
      <c r="O1" s="1576"/>
      <c r="P1" s="2368"/>
      <c r="Q1" s="2368"/>
      <c r="R1" s="2368"/>
      <c r="S1" s="1681" t="str">
        <f>IF(B10="北京市","北京市",C10)&amp;F10&amp;IF(结果表!G1="在建","出让国有建设用地使用权及在建建筑物房地产抵押价值",IF(结果表!G1="土地","出让国有建设用地使用权抵押价值",B9))</f>
        <v>北京市陈庄子路3号院4号楼-1层B102房地产市场价值</v>
      </c>
      <c r="T1" s="1744"/>
      <c r="U1" s="1744"/>
      <c r="V1" s="1744"/>
      <c r="W1" s="1744"/>
      <c r="X1" s="1744"/>
      <c r="Y1" s="1744"/>
      <c r="Z1" s="1744"/>
      <c r="AA1" s="1744"/>
      <c r="AB1" s="1744"/>
    </row>
    <row r="2" spans="1:30">
      <c r="A2" s="2365" t="s">
        <v>2167</v>
      </c>
      <c r="B2" s="2369"/>
      <c r="C2" s="2370"/>
      <c r="D2" s="2663"/>
      <c r="E2" s="2655"/>
      <c r="F2" s="2655"/>
      <c r="G2" s="2656"/>
      <c r="H2" s="2656"/>
      <c r="I2" s="2656"/>
      <c r="J2" s="2464"/>
      <c r="K2" s="2366"/>
      <c r="L2" s="2367"/>
      <c r="M2" s="2367"/>
      <c r="N2" s="2368"/>
      <c r="O2" s="1576"/>
      <c r="P2" s="2368"/>
      <c r="Q2" s="2368"/>
      <c r="R2" s="2368"/>
      <c r="S2" s="1681" t="str">
        <f>IF(B10="北京市","北京市",C10)&amp;F10&amp;IF(结果表!G1="在建","出让国有建设用地使用权及在建建筑物房地产",IF(结果表!G1="土地","出让国有建设用地使用权","房地产"))</f>
        <v>北京市陈庄子路3号院4号楼-1层B102房地产</v>
      </c>
      <c r="T2" s="1744"/>
      <c r="U2" s="1744"/>
      <c r="V2" s="1744"/>
      <c r="W2" s="1744"/>
      <c r="X2" s="1744"/>
      <c r="Y2" s="1744"/>
      <c r="Z2" s="1744"/>
      <c r="AA2" s="1744"/>
      <c r="AB2" s="1744"/>
    </row>
    <row r="3" spans="1:30">
      <c r="A3" s="302" t="s">
        <v>2168</v>
      </c>
      <c r="B3" s="2371">
        <v>44931</v>
      </c>
      <c r="C3" s="2372" t="s">
        <v>2169</v>
      </c>
      <c r="D3" s="2371">
        <f>B3</f>
        <v>44931</v>
      </c>
      <c r="E3" s="2656"/>
      <c r="F3" s="2656"/>
      <c r="G3" s="2656"/>
      <c r="H3" s="2656"/>
      <c r="I3" s="2656"/>
      <c r="J3" s="2464"/>
      <c r="K3" s="2366"/>
      <c r="L3" s="2367"/>
      <c r="M3" s="2367"/>
      <c r="N3" s="2368"/>
      <c r="O3" s="1576"/>
      <c r="P3" s="2368"/>
      <c r="Q3" s="2368"/>
      <c r="R3" s="2368"/>
      <c r="S3" s="1681"/>
      <c r="T3" s="1744"/>
      <c r="U3" s="1744"/>
      <c r="V3" s="1744"/>
      <c r="W3" s="1744"/>
      <c r="X3" s="1744"/>
      <c r="Y3" s="1744"/>
      <c r="Z3" s="1744"/>
      <c r="AA3" s="1744"/>
      <c r="AB3" s="1744"/>
    </row>
    <row r="4" spans="1:30" ht="13.5" thickBot="1">
      <c r="A4" s="1090" t="s">
        <v>2170</v>
      </c>
      <c r="B4" s="2373" t="s">
        <v>3364</v>
      </c>
      <c r="C4" s="2374">
        <f ca="1">SUMIF(注册房地产估价师,B4,估价师及机构信息!B3:B24)</f>
        <v>1120100036</v>
      </c>
      <c r="D4" s="2373" t="s">
        <v>3365</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6"/>
      <c r="P4" s="2368"/>
      <c r="Q4" s="2368"/>
      <c r="R4" s="2368"/>
      <c r="S4" s="1681"/>
      <c r="T4" s="1744"/>
      <c r="U4" s="1744"/>
      <c r="V4" s="1744"/>
      <c r="W4" s="1744"/>
      <c r="X4" s="1744"/>
      <c r="Y4" s="1744"/>
      <c r="Z4" s="1744"/>
      <c r="AA4" s="1744"/>
      <c r="AB4" s="1744"/>
    </row>
    <row r="5" spans="1:30" ht="24.75" thickTop="1">
      <c r="A5" s="2377" t="s">
        <v>2171</v>
      </c>
      <c r="B5" s="3442" t="s">
        <v>3366</v>
      </c>
      <c r="C5" s="2378"/>
      <c r="D5" s="2379"/>
      <c r="E5" s="2657"/>
      <c r="F5" s="2657"/>
      <c r="G5" s="2657"/>
      <c r="H5" s="2657"/>
      <c r="I5" s="2657"/>
      <c r="J5" s="2434"/>
      <c r="K5" s="2376" t="str">
        <f>IF(F4="——","",IF(H4="——",F4&amp;"（注册号："&amp;G4&amp;")",CONCATENATE(F4,"（注册号：",G4,")、",H4,"（注册号：",I4,")")))</f>
        <v>（注册号：0)、（注册号：0)</v>
      </c>
      <c r="L5" s="2367"/>
      <c r="M5" s="2367"/>
      <c r="N5" s="2368"/>
      <c r="O5" s="1576"/>
      <c r="P5" s="2368"/>
      <c r="Q5" s="2368"/>
      <c r="R5" s="2368"/>
      <c r="S5" s="1744"/>
      <c r="T5" s="1744"/>
      <c r="U5" s="1744"/>
      <c r="V5" s="1744"/>
      <c r="W5" s="1744"/>
      <c r="X5" s="1744"/>
      <c r="Y5" s="1744"/>
      <c r="Z5" s="1744"/>
      <c r="AA5" s="1744"/>
      <c r="AB5" s="1744"/>
    </row>
    <row r="6" spans="1:30">
      <c r="A6" s="2380" t="s">
        <v>2172</v>
      </c>
      <c r="B6" s="3443" t="s">
        <v>3367</v>
      </c>
      <c r="C6" s="2381"/>
      <c r="D6" s="2382"/>
      <c r="E6" s="2655"/>
      <c r="F6" s="2657"/>
      <c r="G6" s="2657"/>
      <c r="H6" s="2657"/>
      <c r="I6" s="2657"/>
      <c r="J6" s="2434"/>
      <c r="K6" s="2608" t="str">
        <f>IF(COUNTIF(B6,"*上海银行*"),"上海银行","")</f>
        <v/>
      </c>
      <c r="L6" s="2606"/>
      <c r="M6" s="2606"/>
      <c r="N6" s="2434"/>
      <c r="O6" s="2445"/>
      <c r="P6" s="2434"/>
      <c r="Q6" s="2434"/>
      <c r="R6" s="2434"/>
    </row>
    <row r="7" spans="1:30" ht="25.5">
      <c r="A7" s="2380" t="s">
        <v>2173</v>
      </c>
      <c r="B7" s="2383" t="str">
        <f>B5</f>
        <v>北京百肯商贸有限公司</v>
      </c>
      <c r="C7" s="2381"/>
      <c r="D7" s="2382"/>
      <c r="E7" s="2655"/>
      <c r="F7" s="2657"/>
      <c r="G7" s="2657"/>
      <c r="H7" s="2657"/>
      <c r="I7" s="2657"/>
      <c r="J7" s="2434"/>
      <c r="K7" s="2609"/>
      <c r="L7" s="2606"/>
      <c r="M7" s="2606"/>
      <c r="N7" s="2434"/>
      <c r="O7" s="2445"/>
      <c r="P7" s="2434"/>
      <c r="Q7" s="2434"/>
      <c r="R7" s="2434"/>
    </row>
    <row r="8" spans="1:30">
      <c r="A8" s="2384" t="s">
        <v>2174</v>
      </c>
      <c r="B8" s="2385" t="s">
        <v>3368</v>
      </c>
      <c r="C8" s="2386"/>
      <c r="D8" s="3523" t="s">
        <v>2175</v>
      </c>
      <c r="E8" s="2387" t="s">
        <v>3370</v>
      </c>
      <c r="F8" s="2388"/>
      <c r="G8" s="2656"/>
      <c r="H8" s="2656"/>
      <c r="I8" s="2656"/>
      <c r="J8" s="2434"/>
      <c r="K8" s="2607"/>
      <c r="L8" s="2606"/>
      <c r="M8" s="2606"/>
      <c r="N8" s="2434"/>
      <c r="O8" s="2445"/>
      <c r="P8" s="2434"/>
      <c r="Q8" s="2434"/>
      <c r="R8" s="2434"/>
    </row>
    <row r="9" spans="1:30" ht="13.5" thickBot="1">
      <c r="A9" s="2389" t="s">
        <v>2176</v>
      </c>
      <c r="B9" s="2390" t="s">
        <v>3369</v>
      </c>
      <c r="C9" s="2391"/>
      <c r="D9" s="3524"/>
      <c r="E9" s="2390" t="s">
        <v>587</v>
      </c>
      <c r="F9" s="2392"/>
      <c r="G9" s="2658"/>
      <c r="H9" s="2658"/>
      <c r="I9" s="2658"/>
      <c r="J9" s="2434"/>
      <c r="K9" s="2609"/>
      <c r="L9" s="2606"/>
      <c r="M9" s="2606"/>
      <c r="N9" s="2434"/>
      <c r="O9" s="2445"/>
      <c r="P9" s="2434"/>
      <c r="Q9" s="2434"/>
      <c r="R9" s="2434"/>
    </row>
    <row r="10" spans="1:30" ht="13.5" thickTop="1">
      <c r="A10" s="2393" t="s">
        <v>2177</v>
      </c>
      <c r="B10" s="2394" t="s">
        <v>3371</v>
      </c>
      <c r="C10" s="3444" t="s">
        <v>3372</v>
      </c>
      <c r="D10" s="2379"/>
      <c r="E10" s="2395" t="s">
        <v>2178</v>
      </c>
      <c r="F10" s="2659" t="s">
        <v>3517</v>
      </c>
      <c r="G10" s="2660"/>
      <c r="H10" s="2661"/>
      <c r="I10" s="2662"/>
      <c r="J10" s="2434"/>
      <c r="K10" s="2609"/>
      <c r="L10" s="2606"/>
      <c r="M10" s="2606"/>
      <c r="N10" s="2434"/>
      <c r="O10" s="2445"/>
      <c r="P10" s="2434"/>
      <c r="Q10" s="2434"/>
      <c r="R10" s="2434"/>
    </row>
    <row r="11" spans="1:30" ht="25.5">
      <c r="A11" s="2396" t="s">
        <v>2179</v>
      </c>
      <c r="B11" s="2397" t="s">
        <v>3373</v>
      </c>
      <c r="C11" s="2398" t="str">
        <f>B5</f>
        <v>北京百肯商贸有限公司</v>
      </c>
      <c r="D11" s="2399"/>
      <c r="E11" s="2368"/>
      <c r="F11" s="2368"/>
      <c r="G11" s="2368"/>
      <c r="H11" s="2368"/>
      <c r="I11" s="2368"/>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2570</v>
      </c>
      <c r="J12" s="3055"/>
      <c r="K12" s="2606"/>
      <c r="L12" s="2606"/>
      <c r="M12" s="2434"/>
      <c r="N12" s="2445"/>
      <c r="O12" s="2434"/>
      <c r="P12" s="2434"/>
      <c r="Q12" s="2434"/>
      <c r="AD12" s="1744"/>
    </row>
    <row r="13" spans="1:30">
      <c r="A13" s="3417" t="s">
        <v>3331</v>
      </c>
      <c r="B13" s="2402" t="s">
        <v>2188</v>
      </c>
      <c r="C13" s="856"/>
      <c r="D13" s="856">
        <v>57791</v>
      </c>
      <c r="E13" s="856"/>
      <c r="F13" s="856"/>
      <c r="G13" s="856"/>
      <c r="H13" s="856"/>
      <c r="I13" s="856"/>
      <c r="J13" s="3055"/>
      <c r="K13" s="2606"/>
      <c r="L13" s="2606"/>
      <c r="M13" s="2434"/>
      <c r="N13" s="2445"/>
      <c r="O13" s="2434"/>
      <c r="P13" s="2434"/>
      <c r="Q13" s="2434"/>
      <c r="AD13" s="1744"/>
    </row>
    <row r="14" spans="1:30">
      <c r="A14" s="1081"/>
      <c r="B14" s="2402" t="s">
        <v>2189</v>
      </c>
      <c r="C14" s="2403"/>
      <c r="D14" s="2403">
        <v>40</v>
      </c>
      <c r="E14" s="2403"/>
      <c r="F14" s="2403"/>
      <c r="G14" s="2403"/>
      <c r="H14" s="2403"/>
      <c r="I14" s="2403"/>
      <c r="J14" s="3056"/>
      <c r="K14" s="2606"/>
      <c r="L14" s="2606"/>
      <c r="M14" s="2434"/>
      <c r="N14" s="2445"/>
      <c r="O14" s="2434"/>
      <c r="P14" s="2434"/>
      <c r="Q14" s="2434"/>
      <c r="AD14" s="1744"/>
    </row>
    <row r="15" spans="1:30">
      <c r="A15" s="320"/>
      <c r="B15" s="2404" t="s">
        <v>2190</v>
      </c>
      <c r="C15" s="2405" t="str">
        <f>IF(A13="出让",IF(C13="","",ROUNDDOWN(MIN((C13-$D$3)/365,C14),2)),C14)</f>
        <v/>
      </c>
      <c r="D15" s="2405">
        <f>IF(A13="出让",IF(D13="","",ROUNDDOWN(MIN((D13-$D$3)/365,D14),2)),D14)</f>
        <v>35.229999999999997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4"/>
    </row>
    <row r="16" spans="1:30">
      <c r="A16" s="2395" t="s">
        <v>2191</v>
      </c>
      <c r="B16" s="3530"/>
      <c r="C16" s="3531"/>
      <c r="D16" s="3532"/>
      <c r="E16" s="2408" t="s">
        <v>2192</v>
      </c>
      <c r="F16" s="3533"/>
      <c r="G16" s="3534"/>
      <c r="H16" s="3534"/>
      <c r="I16" s="3535"/>
      <c r="J16" s="2434"/>
      <c r="K16" s="2610"/>
      <c r="L16" s="2446"/>
      <c r="M16" s="2446"/>
      <c r="N16" s="2502"/>
      <c r="O16" s="2446"/>
      <c r="P16" s="2502"/>
      <c r="Q16" s="2434"/>
      <c r="R16" s="2434"/>
    </row>
    <row r="17" spans="1:28">
      <c r="A17" s="313" t="s">
        <v>2193</v>
      </c>
      <c r="B17" s="302" t="s">
        <v>2194</v>
      </c>
      <c r="C17" s="8">
        <f>'数据-汇总表'!E3</f>
        <v>820.57</v>
      </c>
      <c r="D17" s="2320" t="s">
        <v>2195</v>
      </c>
      <c r="E17" s="3536" t="s">
        <v>2196</v>
      </c>
      <c r="F17" s="3537"/>
      <c r="G17" s="3537"/>
      <c r="H17" s="3537"/>
      <c r="I17" s="3538"/>
      <c r="J17" s="2434"/>
      <c r="K17" s="2611"/>
      <c r="L17" s="2446"/>
      <c r="M17" s="2446"/>
      <c r="N17" s="2502"/>
      <c r="O17" s="2446"/>
      <c r="P17" s="2502"/>
      <c r="Q17" s="2434"/>
      <c r="R17" s="2434"/>
      <c r="S17" s="2434"/>
      <c r="T17" s="2434"/>
      <c r="U17" s="2434"/>
      <c r="V17" s="2434"/>
    </row>
    <row r="18" spans="1:28" ht="24.75" thickBot="1">
      <c r="A18" s="2409" t="s">
        <v>2197</v>
      </c>
      <c r="B18" s="1090" t="s">
        <v>2198</v>
      </c>
      <c r="C18" s="2410">
        <f>'数据-汇总表'!D3</f>
        <v>0</v>
      </c>
      <c r="D18" s="1092" t="s">
        <v>2199</v>
      </c>
      <c r="E18" s="3539" t="s">
        <v>2200</v>
      </c>
      <c r="F18" s="3540"/>
      <c r="G18" s="3540"/>
      <c r="H18" s="3540"/>
      <c r="I18" s="3541"/>
      <c r="J18" s="2434"/>
      <c r="K18" s="2611"/>
      <c r="L18" s="2446"/>
      <c r="M18" s="2446"/>
      <c r="N18" s="2502"/>
      <c r="O18" s="2446"/>
      <c r="P18" s="2502"/>
      <c r="Q18" s="2434"/>
      <c r="R18" s="2434"/>
      <c r="S18" s="2434"/>
      <c r="T18" s="2434"/>
      <c r="U18" s="2434"/>
      <c r="V18" s="2434"/>
    </row>
    <row r="19" spans="1:28" ht="37.5" thickTop="1" thickBot="1">
      <c r="A19" s="327" t="s">
        <v>1055</v>
      </c>
      <c r="B19" s="307" t="s">
        <v>2201</v>
      </c>
      <c r="C19" s="1563"/>
      <c r="D19" s="1564" t="s">
        <v>2202</v>
      </c>
      <c r="E19" s="1565"/>
      <c r="F19" s="1566" t="str">
        <f>IF(AND(C19="是",E19="否"),"是否提供他项权证或相关说明","")</f>
        <v/>
      </c>
      <c r="G19" s="1567"/>
      <c r="H19" s="2657"/>
      <c r="I19" s="2657"/>
      <c r="J19" s="2434"/>
      <c r="K19" s="2609"/>
      <c r="L19" s="2606"/>
      <c r="M19" s="2606"/>
      <c r="N19" s="2502"/>
      <c r="O19" s="2446"/>
      <c r="P19" s="2502"/>
      <c r="Q19" s="2434"/>
      <c r="R19" s="2434"/>
      <c r="S19" s="2434"/>
      <c r="T19" s="2434"/>
      <c r="U19" s="2434"/>
      <c r="V19" s="2434"/>
    </row>
    <row r="20" spans="1:28">
      <c r="A20" s="2625" t="s">
        <v>2203</v>
      </c>
      <c r="B20" s="3526" t="s">
        <v>2204</v>
      </c>
      <c r="C20" s="3527"/>
      <c r="D20" s="3528" t="s">
        <v>2205</v>
      </c>
      <c r="E20" s="3529"/>
      <c r="F20" s="2640" t="s">
        <v>1056</v>
      </c>
      <c r="G20" s="2657"/>
      <c r="H20" s="2657"/>
      <c r="I20" s="2657"/>
      <c r="J20" s="2434"/>
      <c r="K20" s="3525"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7"/>
      <c r="N20" s="2407"/>
      <c r="O20" s="2406"/>
      <c r="P20" s="2407"/>
      <c r="Q20" s="2368"/>
      <c r="R20" s="2368"/>
      <c r="S20" s="2368"/>
      <c r="T20" s="2368"/>
      <c r="U20" s="2368"/>
      <c r="V20" s="2368"/>
      <c r="W20" s="1744"/>
      <c r="X20" s="1744"/>
      <c r="Y20" s="1744"/>
      <c r="Z20" s="1744"/>
      <c r="AA20" s="1744"/>
      <c r="AB20" s="1744"/>
    </row>
    <row r="21" spans="1:28" ht="26.25" thickBot="1">
      <c r="A21" s="2625"/>
      <c r="B21" s="2626" t="s">
        <v>3374</v>
      </c>
      <c r="C21" s="2627" t="s">
        <v>1057</v>
      </c>
      <c r="D21" s="1568"/>
      <c r="E21" s="2628"/>
      <c r="F21" s="2641"/>
      <c r="G21" s="2657"/>
      <c r="H21" s="2657"/>
      <c r="I21" s="2657"/>
      <c r="J21" s="2434"/>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4"/>
      <c r="X21" s="1744"/>
      <c r="Y21" s="1744"/>
      <c r="Z21" s="1744"/>
      <c r="AA21" s="1744"/>
      <c r="AB21" s="1744"/>
    </row>
    <row r="22" spans="1:28" ht="13.5" thickBot="1">
      <c r="A22" s="2625"/>
      <c r="B22" s="2629"/>
      <c r="C22" s="2627"/>
      <c r="D22" s="2656"/>
      <c r="E22" s="2656"/>
      <c r="F22" s="2656"/>
      <c r="G22" s="2657"/>
      <c r="H22" s="2657"/>
      <c r="I22" s="2657"/>
      <c r="J22" s="2434"/>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4"/>
      <c r="X22" s="1744"/>
      <c r="Y22" s="1744"/>
      <c r="Z22" s="1744"/>
      <c r="AA22" s="1744"/>
      <c r="AB22" s="1744"/>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1058</v>
      </c>
      <c r="C24" s="2634"/>
      <c r="D24" s="2630" t="s">
        <v>1058</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1059</v>
      </c>
      <c r="C25" s="2634"/>
      <c r="D25" s="2630" t="s">
        <v>1059</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1060</v>
      </c>
      <c r="C26" s="2638"/>
      <c r="D26" s="2636" t="s">
        <v>1060</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13" t="s">
        <v>2209</v>
      </c>
      <c r="B27" s="320" t="s">
        <v>2210</v>
      </c>
      <c r="C27" s="2411" t="s">
        <v>3375</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13"/>
      <c r="B28" s="302" t="s">
        <v>2211</v>
      </c>
      <c r="C28" s="2413"/>
      <c r="D28" s="2414"/>
      <c r="E28" s="2657"/>
      <c r="F28" s="2657"/>
      <c r="G28" s="2657"/>
      <c r="H28" s="2657"/>
      <c r="I28" s="2657"/>
      <c r="J28" s="2434"/>
      <c r="K28" s="2609"/>
      <c r="L28" s="2606"/>
      <c r="M28" s="2606"/>
      <c r="N28" s="2434"/>
      <c r="O28" s="2445"/>
      <c r="P28" s="2434"/>
      <c r="Q28" s="2434"/>
      <c r="R28" s="2434"/>
      <c r="S28" s="2434"/>
      <c r="T28" s="2434"/>
      <c r="U28" s="2434"/>
      <c r="V28" s="2434"/>
    </row>
    <row r="29" spans="1:28">
      <c r="A29" s="3513"/>
      <c r="B29" s="302" t="s">
        <v>2212</v>
      </c>
      <c r="C29" s="2415" t="s">
        <v>3376</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14"/>
      <c r="B30" s="302" t="s">
        <v>2213</v>
      </c>
      <c r="C30" s="3515"/>
      <c r="D30" s="3516"/>
      <c r="E30" s="2657"/>
      <c r="F30" s="2657"/>
      <c r="G30" s="2657"/>
      <c r="H30" s="2657"/>
      <c r="I30" s="2657"/>
      <c r="J30" s="2434"/>
      <c r="K30" s="2609"/>
      <c r="L30" s="2606"/>
      <c r="M30" s="2606"/>
      <c r="N30" s="2434"/>
      <c r="O30" s="2445"/>
      <c r="P30" s="2434"/>
      <c r="Q30" s="2434"/>
      <c r="R30" s="2434"/>
      <c r="S30" s="2434"/>
      <c r="T30" s="2434"/>
      <c r="U30" s="2434"/>
      <c r="V30" s="2434"/>
    </row>
    <row r="31" spans="1:28">
      <c r="A31" s="3517" t="s">
        <v>2214</v>
      </c>
      <c r="B31" s="2417" t="s">
        <v>3377</v>
      </c>
      <c r="C31" s="2321" t="str">
        <f>IF(B31="现房","成新及维护状况正常否",IF(B31="在建","工程状态是否正常",IF(B31="土地","是否闲置","-")))</f>
        <v>成新及维护状况正常否</v>
      </c>
      <c r="D31" s="1373"/>
      <c r="E31" s="2418"/>
      <c r="F31" s="2657"/>
      <c r="G31" s="2657"/>
      <c r="H31" s="2657"/>
      <c r="I31" s="2657"/>
      <c r="J31" s="2434"/>
      <c r="K31" s="2608"/>
      <c r="L31" s="2606"/>
      <c r="M31" s="2606"/>
      <c r="N31" s="2434"/>
      <c r="O31" s="2445"/>
      <c r="P31" s="2434"/>
      <c r="Q31" s="2434"/>
      <c r="R31" s="2434"/>
      <c r="S31" s="2434"/>
      <c r="T31" s="2434"/>
      <c r="U31" s="2434"/>
      <c r="V31" s="2434"/>
    </row>
    <row r="32" spans="1:28">
      <c r="A32" s="3518"/>
      <c r="B32" s="2417"/>
      <c r="C32" s="2321" t="str">
        <f>IF(B32="现房","成新及维护状况是否正常",IF(B32="在建","工程状态是否正常",IF(B32="土地","是否闲置","-")))</f>
        <v>-</v>
      </c>
      <c r="D32" s="1373"/>
      <c r="E32" s="2418"/>
      <c r="F32" s="2657"/>
      <c r="G32" s="2657"/>
      <c r="H32" s="2657"/>
      <c r="I32" s="2657"/>
      <c r="J32" s="2434"/>
      <c r="K32" s="2609"/>
      <c r="L32" s="2606"/>
      <c r="M32" s="2606"/>
      <c r="N32" s="2434"/>
      <c r="O32" s="2445"/>
      <c r="P32" s="2434"/>
      <c r="Q32" s="2434"/>
      <c r="R32" s="2434"/>
      <c r="S32" s="2434"/>
      <c r="T32" s="2434"/>
      <c r="U32" s="2434"/>
      <c r="V32" s="2434"/>
    </row>
    <row r="33" spans="1:30">
      <c r="A33" s="3518"/>
      <c r="B33" s="2420"/>
      <c r="C33" s="1590" t="str">
        <f>IF(B33="现房","成新及维护状况是否正常",IF(B33="在建","工程状态是否正常",IF(B33="土地","是否闲置","-")))</f>
        <v>-</v>
      </c>
      <c r="D33" s="1365"/>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5" t="s">
        <v>3378</v>
      </c>
      <c r="C34" s="2025" t="s">
        <v>3379</v>
      </c>
      <c r="D34" s="2025" t="s">
        <v>3380</v>
      </c>
      <c r="E34" s="2025" t="s">
        <v>3381</v>
      </c>
      <c r="F34" s="2025" t="s">
        <v>3382</v>
      </c>
      <c r="G34" s="2025" t="s">
        <v>3423</v>
      </c>
      <c r="H34" s="2025" t="s">
        <v>3408</v>
      </c>
      <c r="I34" s="2657"/>
      <c r="J34" s="2434"/>
      <c r="K34" s="2422">
        <f>COUNTIF(B34:H34,"——")</f>
        <v>0</v>
      </c>
      <c r="L34" s="323" t="s">
        <v>2216</v>
      </c>
      <c r="M34" s="323" t="s">
        <v>2217</v>
      </c>
      <c r="N34" s="323" t="s">
        <v>2218</v>
      </c>
      <c r="O34" s="323" t="s">
        <v>2219</v>
      </c>
      <c r="P34" s="323" t="s">
        <v>2220</v>
      </c>
      <c r="Q34" s="323" t="s">
        <v>2221</v>
      </c>
      <c r="R34" s="323" t="s">
        <v>2222</v>
      </c>
      <c r="S34" s="3512" t="s">
        <v>2223</v>
      </c>
      <c r="T34" s="2423" t="str">
        <f>NUMBERSTRING(7-K34,1)&amp;"通"</f>
        <v>七通</v>
      </c>
      <c r="U34" s="2434"/>
      <c r="V34" s="2434"/>
    </row>
    <row r="35" spans="1:30">
      <c r="A35" s="2424"/>
      <c r="B35" s="3519" t="s">
        <v>2224</v>
      </c>
      <c r="C35" s="3519"/>
      <c r="D35" s="3519"/>
      <c r="E35" s="3519"/>
      <c r="F35" s="664" t="str">
        <f>C10</f>
        <v>大兴区</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2"/>
      <c r="T35" s="329" t="str">
        <f>IF(T34="一通",L35,IF(T34="二通",M35,IF(T34="三通",N35,IF(T34="四通",O35,IF(T34="五通",P35,IF(T34="六通",Q35,R35))))))</f>
        <v>通路、通电、通讯、通上水、通下水、通热、燃气</v>
      </c>
      <c r="U35" s="2434"/>
      <c r="V35" s="2434"/>
    </row>
    <row r="36" spans="1:30">
      <c r="A36" s="2425"/>
      <c r="B36" s="664" t="s">
        <v>2183</v>
      </c>
      <c r="C36" s="664" t="s">
        <v>2184</v>
      </c>
      <c r="D36" s="664" t="s">
        <v>2182</v>
      </c>
      <c r="E36" s="664" t="s">
        <v>2187</v>
      </c>
      <c r="F36" s="3058" t="s">
        <v>2573</v>
      </c>
      <c r="G36" s="2657"/>
      <c r="H36" s="2657"/>
      <c r="I36" s="2657"/>
      <c r="J36" s="2434"/>
      <c r="K36" s="2609"/>
      <c r="L36" s="2606"/>
      <c r="M36" s="2606"/>
      <c r="N36" s="2434"/>
      <c r="O36" s="2445"/>
      <c r="P36" s="2434"/>
      <c r="Q36" s="2434"/>
      <c r="R36" s="2434"/>
      <c r="S36" s="2434"/>
      <c r="T36" s="2434"/>
      <c r="U36" s="2434"/>
      <c r="V36" s="2434"/>
    </row>
    <row r="37" spans="1:30">
      <c r="A37" s="2623" t="s">
        <v>2225</v>
      </c>
      <c r="B37" s="2426" t="s">
        <v>29</v>
      </c>
      <c r="C37" s="2426"/>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t="s">
        <v>3384</v>
      </c>
      <c r="C38" s="2427"/>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8"/>
      <c r="B40" s="2368"/>
      <c r="C40" s="2368"/>
      <c r="D40" s="2368"/>
      <c r="E40" s="2368"/>
      <c r="F40" s="2368"/>
      <c r="G40" s="2368"/>
      <c r="H40" s="2368"/>
      <c r="I40" s="1578"/>
      <c r="J40" s="2502"/>
      <c r="K40" s="2608"/>
      <c r="L40" s="2446"/>
      <c r="M40" s="2446"/>
      <c r="N40" s="2502"/>
      <c r="O40" s="2446"/>
      <c r="P40" s="2434"/>
      <c r="Q40" s="2434"/>
      <c r="R40" s="2434"/>
      <c r="S40" s="2434"/>
      <c r="T40" s="2434"/>
      <c r="U40" s="2434"/>
      <c r="V40" s="2434"/>
    </row>
    <row r="41" spans="1:30">
      <c r="A41" s="2431" t="s">
        <v>2228</v>
      </c>
      <c r="B41" s="1756"/>
      <c r="C41" s="1373"/>
      <c r="D41" s="2368"/>
      <c r="E41" s="2368"/>
      <c r="F41" s="2368"/>
      <c r="G41" s="2368"/>
      <c r="H41" s="2368"/>
      <c r="I41" s="1576"/>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42" customFormat="1">
      <c r="A43" s="1570"/>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70"/>
      <c r="B44" s="1570"/>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70"/>
      <c r="B45" s="1570"/>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70"/>
      <c r="B46" s="1570"/>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70"/>
      <c r="B47" s="1570"/>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70"/>
      <c r="B48" s="1570"/>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70"/>
      <c r="B49" s="1570"/>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70"/>
      <c r="B50" s="1570"/>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70"/>
      <c r="B51" s="1570"/>
      <c r="C51" s="1051"/>
      <c r="D51" s="1051"/>
      <c r="E51" s="1051"/>
      <c r="F51" s="1051"/>
      <c r="G51" s="1051"/>
      <c r="H51" s="1051"/>
      <c r="I51" s="1051"/>
      <c r="J51" s="2432"/>
      <c r="K51" s="2433"/>
      <c r="L51" s="2433"/>
      <c r="M51" s="1051"/>
      <c r="N51" s="1051"/>
      <c r="O51" s="1051"/>
      <c r="P51" s="1051"/>
      <c r="Q51" s="1051"/>
      <c r="R51" s="1051"/>
    </row>
    <row r="52" spans="1:22" s="1742" customFormat="1">
      <c r="A52" s="1570"/>
      <c r="B52" s="1570"/>
      <c r="C52" s="1570"/>
      <c r="D52" s="1570"/>
      <c r="E52" s="1570"/>
      <c r="F52" s="1051"/>
      <c r="G52" s="1570"/>
      <c r="H52" s="1570"/>
      <c r="I52" s="1570"/>
      <c r="J52" s="2435"/>
      <c r="K52" s="2433"/>
      <c r="L52" s="2433"/>
      <c r="M52" s="2433"/>
      <c r="N52" s="1570"/>
      <c r="O52" s="1570"/>
      <c r="P52" s="1570"/>
      <c r="Q52" s="1570"/>
      <c r="R52" s="1570"/>
    </row>
    <row r="53" spans="1:22" s="1742" customFormat="1">
      <c r="A53" s="1570"/>
      <c r="B53" s="1570"/>
      <c r="C53" s="1570"/>
      <c r="D53" s="1570"/>
      <c r="E53" s="1570"/>
      <c r="F53" s="1051"/>
      <c r="G53" s="1570"/>
      <c r="H53" s="1570"/>
      <c r="I53" s="1570"/>
      <c r="J53" s="2435"/>
      <c r="K53" s="2433"/>
      <c r="L53" s="2433"/>
      <c r="M53" s="2433"/>
      <c r="N53" s="1570"/>
      <c r="O53" s="1570"/>
      <c r="P53" s="1570"/>
      <c r="Q53" s="1570"/>
      <c r="R53" s="1570"/>
    </row>
    <row r="54" spans="1:22" s="1742" customFormat="1">
      <c r="A54" s="1570"/>
      <c r="B54" s="1570"/>
      <c r="C54" s="1570"/>
      <c r="D54" s="1570"/>
      <c r="E54" s="1570"/>
      <c r="F54" s="1051"/>
      <c r="G54" s="1570"/>
      <c r="H54" s="1570"/>
      <c r="I54" s="1570"/>
      <c r="J54" s="2435"/>
      <c r="K54" s="2433"/>
      <c r="L54" s="2433"/>
      <c r="M54" s="2433"/>
      <c r="N54" s="1570"/>
      <c r="O54" s="1570"/>
      <c r="P54" s="1570"/>
      <c r="Q54" s="1570"/>
      <c r="R54" s="1570"/>
    </row>
    <row r="55" spans="1:22" s="1742" customFormat="1">
      <c r="A55" s="1570"/>
      <c r="B55" s="1570"/>
      <c r="C55" s="1570"/>
      <c r="D55" s="1570"/>
      <c r="E55" s="1570"/>
      <c r="F55" s="1051"/>
      <c r="G55" s="1570"/>
      <c r="H55" s="1570"/>
      <c r="I55" s="1570"/>
      <c r="J55" s="2435"/>
      <c r="K55" s="2433"/>
      <c r="L55" s="2433"/>
      <c r="M55" s="2433"/>
      <c r="N55" s="1570"/>
      <c r="O55" s="1570"/>
      <c r="P55" s="1570"/>
      <c r="Q55" s="1570"/>
      <c r="R55" s="1570"/>
    </row>
    <row r="56" spans="1:22" s="1742" customFormat="1">
      <c r="A56" s="1570"/>
      <c r="B56" s="1570"/>
      <c r="C56" s="1570"/>
      <c r="D56" s="1570"/>
      <c r="E56" s="1570"/>
      <c r="F56" s="1051"/>
      <c r="G56" s="1570"/>
      <c r="H56" s="1570"/>
      <c r="I56" s="1570"/>
      <c r="J56" s="2435"/>
      <c r="K56" s="2433"/>
      <c r="L56" s="2433"/>
      <c r="M56" s="2433"/>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820.57</v>
      </c>
      <c r="BA5" s="15">
        <f t="shared" si="1"/>
        <v>820.57</v>
      </c>
      <c r="BB5" s="15">
        <f t="shared" si="1"/>
        <v>0</v>
      </c>
      <c r="BC5" s="15">
        <f t="shared" si="1"/>
        <v>820.57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5" t="s">
        <v>3388</v>
      </c>
      <c r="D13" s="3466" t="s">
        <v>3376</v>
      </c>
      <c r="E13" s="13">
        <f>IF($C$3="是",ROUND($A$3*G13/$B$3,2),ROUND($A$3*(G13-AT13)/$B$3,2))</f>
        <v>0</v>
      </c>
      <c r="F13" s="29"/>
      <c r="G13" s="30">
        <f>H13+AC13+AT13</f>
        <v>898.61</v>
      </c>
      <c r="H13" s="17">
        <f>SUMIF(I$12:AB$12,"总值",I13:AB13)</f>
        <v>898.61</v>
      </c>
      <c r="I13" s="3467">
        <v>898.61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5" t="s">
        <v>3511</v>
      </c>
      <c r="D14" s="3466" t="s">
        <v>3376</v>
      </c>
      <c r="E14" s="13">
        <f>IF($C$3="是",ROUND($A$3*G14/$B$3,2),ROUND($A$3*(G14-AT14)/$B$3,2))</f>
        <v>0</v>
      </c>
      <c r="F14" s="29"/>
      <c r="G14" s="30">
        <f>H14+AC14+AT14</f>
        <v>1123.69</v>
      </c>
      <c r="H14" s="17">
        <f>SUMIF(I$12:AB$12,"总值",I14:AB14)</f>
        <v>1123.69</v>
      </c>
      <c r="I14" s="3467">
        <v>1123.69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65" t="s">
        <v>3513</v>
      </c>
      <c r="D15" s="3466" t="s">
        <v>3376</v>
      </c>
      <c r="E15" s="13">
        <f>IF($C$3="是",ROUND($A$3*G15/$B$3,2),ROUND($A$3*(G15-AT15)/$B$3,2))</f>
        <v>0</v>
      </c>
      <c r="F15" s="29"/>
      <c r="G15" s="30">
        <f>H15+AC15+AT15</f>
        <v>1123.97</v>
      </c>
      <c r="H15" s="17">
        <f>SUMIF(I$12:AB$12,"总值",I15:AB15)</f>
        <v>1123.97</v>
      </c>
      <c r="I15" s="3467">
        <v>1123.97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65" t="s">
        <v>3518</v>
      </c>
      <c r="D16" s="3466" t="s">
        <v>3376</v>
      </c>
      <c r="E16" s="13">
        <f>IF($C$3="是",ROUND($A$3*G16/$B$3,2),ROUND($A$3*(G16-AT16)/$B$3,2))</f>
        <v>0</v>
      </c>
      <c r="F16" s="29"/>
      <c r="G16" s="30">
        <f>H16+AC16+AT16</f>
        <v>1040.05</v>
      </c>
      <c r="H16" s="17">
        <f>SUMIF(I$12:AB$12,"总值",I16:AB16)</f>
        <v>1040.05</v>
      </c>
      <c r="I16" s="1625"/>
      <c r="J16" s="1625"/>
      <c r="K16" s="1625">
        <v>1040.05</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3464" t="s">
        <v>3390</v>
      </c>
      <c r="D17" s="3446" t="s">
        <v>3389</v>
      </c>
      <c r="E17" s="13">
        <f>IF($C$3="是",ROUND($A$3*G17/$B$3,2),ROUND($A$3*(G17-AT17)/$B$3,2))</f>
        <v>0</v>
      </c>
      <c r="F17" s="29"/>
      <c r="G17" s="30">
        <f>H17+AC17+AT17</f>
        <v>820.57</v>
      </c>
      <c r="H17" s="17">
        <f>SUMIF(I$12:AB$12,"总值",I17:AB17)</f>
        <v>820.57</v>
      </c>
      <c r="I17" s="1625"/>
      <c r="J17" s="1625"/>
      <c r="K17" s="3445">
        <v>820.57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地下-1层B102</v>
      </c>
      <c r="AY17" s="1349">
        <f>ROUND($AY$6*AZ17/$AZ$5,2)</f>
        <v>0</v>
      </c>
      <c r="AZ17" s="13">
        <f>BA17+BL17</f>
        <v>820.57</v>
      </c>
      <c r="BA17" s="13">
        <f>SUM(BB17:BK17)</f>
        <v>820.57</v>
      </c>
      <c r="BB17" s="13">
        <f>IF($D17="是",I17-J17,0)</f>
        <v>0</v>
      </c>
      <c r="BC17" s="13">
        <f>IF($D17="是",K17-L17,0)</f>
        <v>820.57</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2"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51" t="s">
        <v>1130</v>
      </c>
      <c r="B2" s="3551"/>
      <c r="C2" s="3551"/>
      <c r="D2" s="796" t="s">
        <v>1106</v>
      </c>
      <c r="E2" s="1638" t="s">
        <v>1107</v>
      </c>
      <c r="F2" s="2652"/>
      <c r="G2" s="2643"/>
      <c r="H2" s="2644"/>
      <c r="I2" s="2323" t="s">
        <v>1131</v>
      </c>
      <c r="J2" s="2652"/>
      <c r="K2" s="2652"/>
      <c r="L2" s="2652"/>
      <c r="M2" s="2652"/>
      <c r="N2" s="2654"/>
      <c r="O2" s="2652"/>
      <c r="P2" s="2652"/>
    </row>
    <row r="3" spans="1:16" ht="15.75" thickBot="1">
      <c r="A3" s="3552" t="s">
        <v>1104</v>
      </c>
      <c r="B3" s="3552"/>
      <c r="C3" s="3552"/>
      <c r="D3" s="43">
        <f>'数据-基础表'!AY6</f>
        <v>0</v>
      </c>
      <c r="E3" s="43">
        <f>'数据-基础表'!AZ5</f>
        <v>820.57</v>
      </c>
      <c r="F3" s="2652"/>
      <c r="G3" s="1145"/>
      <c r="H3" s="1026" t="s">
        <v>1105</v>
      </c>
      <c r="I3" s="855" t="e">
        <f>ROUND('数据-基础表'!B3/'数据-基础表'!A3,2)</f>
        <v>#DIV/0!</v>
      </c>
      <c r="J3" s="2652"/>
      <c r="K3" s="2652"/>
      <c r="L3" s="2652"/>
      <c r="M3" s="2652"/>
      <c r="N3" s="2654"/>
      <c r="O3" s="2652"/>
      <c r="P3" s="2652"/>
    </row>
    <row r="4" spans="1:16" ht="15">
      <c r="A4" s="3553"/>
      <c r="B4" s="3554"/>
      <c r="C4" s="3555"/>
      <c r="D4" s="1640" t="s">
        <v>1106</v>
      </c>
      <c r="E4" s="1641" t="s">
        <v>1107</v>
      </c>
      <c r="F4" s="2652"/>
      <c r="G4" s="2645" t="s">
        <v>1132</v>
      </c>
      <c r="H4" s="1026" t="s">
        <v>1112</v>
      </c>
      <c r="I4" s="855" t="e">
        <f>ROUND(SUMIF('数据-基础表'!I9:AS9,"地上",'数据-基础表'!I5:AS5)/'数据-基础表'!A3,2)</f>
        <v>#DIV/0!</v>
      </c>
      <c r="J4" s="2652"/>
      <c r="K4" s="2652"/>
      <c r="L4" s="2652"/>
      <c r="M4" s="2652"/>
      <c r="N4" s="2654"/>
      <c r="O4" s="2652"/>
      <c r="P4" s="2652"/>
    </row>
    <row r="5" spans="1:16">
      <c r="A5" s="44" t="s">
        <v>1108</v>
      </c>
      <c r="B5" s="3556" t="s">
        <v>1109</v>
      </c>
      <c r="C5" s="3556"/>
      <c r="D5" s="45">
        <f>ROUND($D$3*E5/$E$3,2)</f>
        <v>0</v>
      </c>
      <c r="E5" s="46">
        <f>SUMIF('数据-基础表'!$11:$11,"住宅",'数据-基础表'!$5:$5)</f>
        <v>0</v>
      </c>
      <c r="F5" s="2652"/>
      <c r="G5" s="1145"/>
      <c r="H5" s="1026" t="s">
        <v>1105</v>
      </c>
      <c r="I5" s="855" t="e">
        <f>ROUND(E31/D31,2)</f>
        <v>#DIV/0!</v>
      </c>
      <c r="J5" s="2652"/>
      <c r="K5" s="2652"/>
      <c r="L5" s="2652"/>
      <c r="M5" s="2652"/>
      <c r="N5" s="2652"/>
      <c r="O5" s="2652"/>
      <c r="P5" s="2652"/>
    </row>
    <row r="6" spans="1:16" ht="15" thickBot="1">
      <c r="A6" s="1643"/>
      <c r="B6" s="3556" t="s">
        <v>1110</v>
      </c>
      <c r="C6" s="3556"/>
      <c r="D6" s="45">
        <f>ROUND($D$3*E6/$E$3,2)</f>
        <v>0</v>
      </c>
      <c r="E6" s="46">
        <f>E3-E5</f>
        <v>820.57</v>
      </c>
      <c r="F6" s="2652"/>
      <c r="G6" s="2646" t="s">
        <v>1111</v>
      </c>
      <c r="H6" s="1146" t="s">
        <v>1112</v>
      </c>
      <c r="I6" s="2647" t="e">
        <f>ROUND(F31/D31,2)</f>
        <v>#DIV/0!</v>
      </c>
      <c r="J6" s="2652"/>
      <c r="K6" s="2652"/>
      <c r="L6" s="2652"/>
      <c r="M6" s="2652"/>
      <c r="N6" s="2652"/>
      <c r="O6" s="2652"/>
      <c r="P6" s="2652"/>
    </row>
    <row r="7" spans="1:16" ht="15.75" thickBot="1">
      <c r="A7" s="3548"/>
      <c r="B7" s="3549"/>
      <c r="C7" s="3550"/>
      <c r="D7" s="1640" t="s">
        <v>1106</v>
      </c>
      <c r="E7" s="1644" t="s">
        <v>1113</v>
      </c>
      <c r="F7" s="2652"/>
      <c r="G7" s="2648" t="s">
        <v>1114</v>
      </c>
      <c r="H7" s="2649"/>
      <c r="I7" s="2650">
        <f>基准地价修正!C21</f>
        <v>2.5</v>
      </c>
      <c r="J7" s="2652"/>
      <c r="K7" s="2652"/>
      <c r="L7" s="2652"/>
      <c r="M7" s="2652"/>
      <c r="N7" s="2652"/>
      <c r="O7" s="2652"/>
      <c r="P7" s="2652"/>
    </row>
    <row r="8" spans="1:16">
      <c r="A8" s="44" t="s">
        <v>1115</v>
      </c>
      <c r="B8" s="47" t="s">
        <v>1116</v>
      </c>
      <c r="C8" s="45" t="s">
        <v>1117</v>
      </c>
      <c r="D8" s="45">
        <f t="shared" ref="D8:D15" si="0">ROUND($D$3*E8/$E$3,2)</f>
        <v>0</v>
      </c>
      <c r="E8" s="48">
        <f>SUMIF('数据-基础表'!BB10:BK10,"地上",'数据-基础表'!BB5:BK5)</f>
        <v>0</v>
      </c>
      <c r="F8" s="2652"/>
      <c r="G8" s="2653"/>
      <c r="H8" s="2653"/>
      <c r="I8" s="2652"/>
      <c r="J8" s="2652"/>
      <c r="K8" s="2652"/>
      <c r="L8" s="2652"/>
      <c r="M8" s="2652"/>
      <c r="N8" s="2652"/>
      <c r="O8" s="2652"/>
      <c r="P8" s="2652"/>
    </row>
    <row r="9" spans="1:16">
      <c r="A9" s="1645"/>
      <c r="B9" s="1646"/>
      <c r="C9" s="45" t="s">
        <v>1118</v>
      </c>
      <c r="D9" s="45">
        <f t="shared" si="0"/>
        <v>0</v>
      </c>
      <c r="E9" s="49">
        <v>0</v>
      </c>
      <c r="F9" s="2652"/>
      <c r="G9" s="2653"/>
      <c r="H9" s="2653"/>
      <c r="I9" s="2652"/>
      <c r="J9" s="2652"/>
      <c r="K9" s="2652"/>
      <c r="L9" s="2652"/>
      <c r="M9" s="2652"/>
      <c r="N9" s="2652"/>
      <c r="O9" s="2652"/>
      <c r="P9" s="2652"/>
    </row>
    <row r="10" spans="1:16">
      <c r="A10" s="1645"/>
      <c r="B10" s="1646"/>
      <c r="C10" s="45" t="s">
        <v>1127</v>
      </c>
      <c r="D10" s="45">
        <f t="shared" si="0"/>
        <v>0</v>
      </c>
      <c r="E10" s="48">
        <f>SUMPRODUCT(('数据-基础表'!BB10:BK10="地下")*('数据-基础表'!BB11:BK11="商业")*('数据-基础表'!BB5:BK5))</f>
        <v>820.57</v>
      </c>
      <c r="F10" s="2652"/>
      <c r="G10" s="2653"/>
      <c r="H10" s="2653"/>
      <c r="I10" s="2652"/>
      <c r="J10" s="2652"/>
      <c r="K10" s="2652"/>
      <c r="L10" s="2652"/>
      <c r="M10" s="2652"/>
      <c r="N10" s="2652"/>
      <c r="O10" s="2652"/>
      <c r="P10" s="2652"/>
    </row>
    <row r="11" spans="1:16">
      <c r="A11" s="1645"/>
      <c r="B11" s="1646"/>
      <c r="C11" s="45" t="s">
        <v>1119</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5"/>
      <c r="B12" s="1646"/>
      <c r="C12" s="45" t="s">
        <v>1120</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5"/>
      <c r="B13" s="1646"/>
      <c r="C13" s="45" t="s">
        <v>1121</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5"/>
      <c r="B14" s="1646"/>
      <c r="C14" s="45" t="s">
        <v>1133</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5"/>
      <c r="B15" s="1646"/>
      <c r="C15" s="45" t="s">
        <v>1128</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3"/>
      <c r="B16" s="1646"/>
      <c r="C16" s="47" t="s">
        <v>1122</v>
      </c>
      <c r="D16" s="47">
        <f>SUM(D8:D15)</f>
        <v>0</v>
      </c>
      <c r="E16" s="50">
        <f>SUM(E8:E15)</f>
        <v>820.57</v>
      </c>
      <c r="F16" s="2652"/>
      <c r="G16" s="2653"/>
      <c r="H16" s="1647" t="s">
        <v>1134</v>
      </c>
      <c r="I16" s="1648"/>
      <c r="J16" s="1139"/>
      <c r="K16" s="3545" t="s">
        <v>1134</v>
      </c>
      <c r="L16" s="3546"/>
      <c r="M16" s="3546"/>
      <c r="N16" s="3546"/>
      <c r="O16" s="3546"/>
      <c r="P16" s="3547"/>
    </row>
    <row r="17" spans="1:19" ht="15">
      <c r="A17" s="1649" t="s">
        <v>1135</v>
      </c>
      <c r="B17" s="1650" t="s">
        <v>1136</v>
      </c>
      <c r="C17" s="1651" t="s">
        <v>1137</v>
      </c>
      <c r="D17" s="1652" t="s">
        <v>1125</v>
      </c>
      <c r="E17" s="1653" t="s">
        <v>1126</v>
      </c>
      <c r="F17" s="1654"/>
      <c r="G17" s="1655"/>
      <c r="H17" s="1656" t="s">
        <v>1138</v>
      </c>
      <c r="I17" s="1657" t="s">
        <v>1123</v>
      </c>
      <c r="J17" s="1139"/>
      <c r="K17" s="3542" t="s">
        <v>1139</v>
      </c>
      <c r="L17" s="3543"/>
      <c r="M17" s="3544"/>
      <c r="N17" s="3542" t="s">
        <v>1140</v>
      </c>
      <c r="O17" s="3543"/>
      <c r="P17" s="3544"/>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411" t="s">
        <v>3520</v>
      </c>
      <c r="D19" s="45">
        <f>ROUND($D$3*E19/$E$3,2)</f>
        <v>0</v>
      </c>
      <c r="E19" s="53">
        <f t="shared" ref="E19:E26" si="1">SUM(F19:G19)</f>
        <v>820.57</v>
      </c>
      <c r="F19" s="2788">
        <f>'数据-基础表'!BB5</f>
        <v>0</v>
      </c>
      <c r="G19" s="2789">
        <f>'数据-基础表'!BC5</f>
        <v>820.57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820.57</v>
      </c>
    </row>
    <row r="20" spans="1:19">
      <c r="A20" s="1669"/>
      <c r="B20" s="47" t="s">
        <v>1152</v>
      </c>
      <c r="C20" s="3411"/>
      <c r="D20" s="45">
        <f t="shared" ref="D20:D26" si="6">ROUND($D$3*E20/$E$3,2)</f>
        <v>0</v>
      </c>
      <c r="E20" s="53">
        <f t="shared" si="1"/>
        <v>0</v>
      </c>
      <c r="F20" s="2788"/>
      <c r="G20" s="2789"/>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411"/>
      <c r="D21" s="45">
        <f t="shared" si="6"/>
        <v>0</v>
      </c>
      <c r="E21" s="53">
        <f t="shared" si="1"/>
        <v>0</v>
      </c>
      <c r="F21" s="2788"/>
      <c r="G21" s="2789"/>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412"/>
      <c r="D22" s="45">
        <f t="shared" si="6"/>
        <v>0</v>
      </c>
      <c r="E22" s="53">
        <f t="shared" si="1"/>
        <v>0</v>
      </c>
      <c r="F22" s="2790"/>
      <c r="G22" s="2791"/>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412"/>
      <c r="D23" s="45">
        <f>ROUND($D$3*E23/$E$3,2)</f>
        <v>0</v>
      </c>
      <c r="E23" s="53">
        <f>SUM(F23:G23)</f>
        <v>0</v>
      </c>
      <c r="F23" s="2790"/>
      <c r="G23" s="2791"/>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412"/>
      <c r="D24" s="45">
        <f>ROUND($D$3*E24/$E$3,2)</f>
        <v>0</v>
      </c>
      <c r="E24" s="53">
        <f>SUM(F24:G24)</f>
        <v>0</v>
      </c>
      <c r="F24" s="2790"/>
      <c r="G24" s="2791"/>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412"/>
      <c r="D25" s="45">
        <f t="shared" si="6"/>
        <v>0</v>
      </c>
      <c r="E25" s="53">
        <f t="shared" si="1"/>
        <v>0</v>
      </c>
      <c r="F25" s="2790"/>
      <c r="G25" s="2791"/>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90"/>
      <c r="G26" s="2791"/>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0</v>
      </c>
      <c r="E27" s="1141">
        <f>IF(SUM(E19:E26)='数据-基础表'!BA5,SUM(E19:E26),IF(F27="地上面积有误","面积有误","地下面积有误"))</f>
        <v>820.57</v>
      </c>
      <c r="F27" s="1140">
        <f>IF(SUM(F19:F26)=E8,SUM(F19:F26),"地上面积有误")</f>
        <v>0</v>
      </c>
      <c r="G27" s="1142">
        <f>SUM(G19:G26)</f>
        <v>820.57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820.57</v>
      </c>
    </row>
    <row r="28" spans="1:19">
      <c r="A28" s="1669"/>
      <c r="B28" s="47" t="s">
        <v>1154</v>
      </c>
      <c r="C28" s="1038" t="s">
        <v>1155</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9"/>
      <c r="B29" s="47" t="s">
        <v>1154</v>
      </c>
      <c r="C29" s="1673" t="s">
        <v>1156</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9"/>
      <c r="B30" s="47"/>
      <c r="C30" s="1674" t="s">
        <v>1153</v>
      </c>
      <c r="D30" s="1140">
        <f>SUM(D28:D29)</f>
        <v>0</v>
      </c>
      <c r="E30" s="1140">
        <f>SUM(E28:E29)</f>
        <v>0</v>
      </c>
      <c r="F30" s="1140">
        <f>SUM(F28:F29)</f>
        <v>0</v>
      </c>
      <c r="G30" s="1142">
        <f>SUM(G28:G29)</f>
        <v>0</v>
      </c>
      <c r="H30" s="2652"/>
      <c r="I30" s="2652"/>
      <c r="J30" s="2652"/>
      <c r="K30" s="2652"/>
      <c r="L30" s="2652"/>
      <c r="M30" s="2652"/>
      <c r="N30" s="2652"/>
      <c r="O30" s="2652"/>
      <c r="P30" s="2652"/>
    </row>
    <row r="31" spans="1:19" ht="15.75" thickBot="1">
      <c r="A31" s="1675"/>
      <c r="B31" s="1676"/>
      <c r="C31" s="835" t="s">
        <v>1157</v>
      </c>
      <c r="D31" s="676">
        <f>D27+D30</f>
        <v>0</v>
      </c>
      <c r="E31" s="676">
        <f>E27+E30</f>
        <v>820.57</v>
      </c>
      <c r="F31" s="677">
        <f>F27+F30</f>
        <v>0</v>
      </c>
      <c r="G31" s="678">
        <f>G27+G30</f>
        <v>820.57</v>
      </c>
      <c r="H31" s="2652"/>
      <c r="I31" s="2652"/>
      <c r="J31" s="2652"/>
      <c r="K31" s="2652"/>
      <c r="L31" s="2652"/>
      <c r="M31" s="2652"/>
      <c r="N31" s="2652"/>
      <c r="O31" s="2652"/>
      <c r="P31" s="2652"/>
    </row>
    <row r="32" spans="1:19">
      <c r="A32" s="1642"/>
      <c r="B32" s="1642" t="s">
        <v>1158</v>
      </c>
      <c r="C32" s="1642"/>
      <c r="D32" s="1642"/>
      <c r="E32" s="1053">
        <f>SUMIF(C19:C26,"*住宅*",E19:E26)</f>
        <v>0</v>
      </c>
      <c r="F32" s="1642"/>
      <c r="G32" s="1642"/>
      <c r="H32" s="2652"/>
      <c r="I32" s="2652"/>
      <c r="J32" s="2652"/>
      <c r="K32" s="2652"/>
      <c r="L32" s="2652"/>
      <c r="M32" s="2652"/>
      <c r="N32" s="2652"/>
      <c r="O32" s="2652"/>
      <c r="P32" s="2652"/>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W459" sqref="W459"/>
      <selection pane="topRight" activeCell="W459" sqref="W459"/>
      <selection pane="bottomLeft" activeCell="W459" sqref="W459"/>
      <selection pane="bottomRight" activeCell="M8" sqref="M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4"/>
      <c r="AO1" s="2664"/>
      <c r="AP1" s="2664"/>
      <c r="AQ1" s="2664"/>
      <c r="AR1" s="2664"/>
    </row>
    <row r="2" spans="1:67" s="1559" customFormat="1" ht="15.75" thickBot="1">
      <c r="A2" s="1682" t="s">
        <v>1160</v>
      </c>
      <c r="B2" s="1045">
        <f>项目基本情况!D3</f>
        <v>44931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6"/>
      <c r="AO2" s="2666"/>
      <c r="AP2" s="2666"/>
      <c r="AQ2" s="2666"/>
      <c r="AR2" s="2666"/>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6"/>
      <c r="AO3" s="2666"/>
      <c r="AP3" s="2666"/>
      <c r="AQ3" s="2666"/>
      <c r="AR3" s="2666"/>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1"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6"/>
      <c r="AO4" s="2666"/>
      <c r="AP4" s="2666"/>
      <c r="AQ4" s="2666"/>
      <c r="AR4" s="2666"/>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3393</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商业B102</v>
      </c>
      <c r="B6" s="1712" t="str">
        <f>IF(A6=0,"","经营性")</f>
        <v>经营性</v>
      </c>
      <c r="C6" s="1713"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820.57</v>
      </c>
      <c r="L6" s="733">
        <v>3200</v>
      </c>
      <c r="M6" s="67">
        <f t="shared" ref="M6:M14" si="0">ROUND(K6*L6/10000,0)</f>
        <v>263</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4"/>
      <c r="AO14" s="2666"/>
      <c r="AP14" s="2666"/>
      <c r="AQ14" s="2666"/>
      <c r="AR14" s="2666"/>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4"/>
      <c r="AO15" s="2666"/>
      <c r="AP15" s="2666"/>
      <c r="AQ15" s="2666"/>
      <c r="AR15" s="2666"/>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820.57</v>
      </c>
      <c r="L16" s="93">
        <f>ROUND(M16*10000/SUM(K6:K14),0)</f>
        <v>3205</v>
      </c>
      <c r="M16" s="93">
        <f>SUM(M6:M14)</f>
        <v>263</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1209</v>
      </c>
      <c r="B18" s="2678"/>
      <c r="C18" s="2666"/>
      <c r="D18" s="2669"/>
      <c r="E18" s="2666"/>
      <c r="F18" s="2666"/>
      <c r="G18" s="2666"/>
      <c r="H18" s="2666"/>
      <c r="I18" s="2666"/>
      <c r="J18" s="2666"/>
      <c r="K18" s="2665"/>
      <c r="L18" s="3469" t="s">
        <v>3514</v>
      </c>
      <c r="M18" s="3447" t="s">
        <v>3391</v>
      </c>
      <c r="N18" s="2664">
        <v>2020</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1" t="s">
        <v>1210</v>
      </c>
      <c r="B19" s="103">
        <v>0</v>
      </c>
      <c r="C19" s="2792" t="s">
        <v>2296</v>
      </c>
      <c r="D19" s="2669"/>
      <c r="E19" s="2666"/>
      <c r="F19" s="2666"/>
      <c r="G19" s="2666"/>
      <c r="H19" s="2666"/>
      <c r="I19" s="2666"/>
      <c r="J19" s="2666"/>
      <c r="K19" s="2665"/>
      <c r="L19" s="2665"/>
      <c r="M19" s="3447" t="s">
        <v>3392</v>
      </c>
      <c r="N19" s="2664">
        <f>ROUND(1-(1-0%)*(2023-N18)/60,2)</f>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2" t="s">
        <v>1211</v>
      </c>
      <c r="B20" s="104">
        <v>1</v>
      </c>
      <c r="C20" s="2793" t="s">
        <v>2294</v>
      </c>
      <c r="D20" s="2669"/>
      <c r="E20" s="2666"/>
      <c r="F20" s="2666"/>
      <c r="G20" s="2666"/>
      <c r="H20" s="2666"/>
      <c r="I20" s="2666"/>
      <c r="J20" s="2666"/>
      <c r="K20" s="2665"/>
      <c r="L20" s="3469"/>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3" t="s">
        <v>1212</v>
      </c>
      <c r="B21" s="104">
        <v>1</v>
      </c>
      <c r="C21" s="2666"/>
      <c r="D21" s="2669"/>
      <c r="E21" s="2666"/>
      <c r="F21" s="2666"/>
      <c r="G21" s="2666"/>
      <c r="H21" s="2666"/>
      <c r="I21" s="2666"/>
      <c r="J21" s="2666"/>
      <c r="K21" s="2665"/>
      <c r="L21" s="3469"/>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2" t="s">
        <v>1213</v>
      </c>
      <c r="B22" s="105">
        <f>B19+B20</f>
        <v>1</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3" t="s">
        <v>1214</v>
      </c>
      <c r="B23" s="105">
        <f>B19+B21</f>
        <v>1</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4" t="s">
        <v>1215</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7"/>
      <c r="B25" s="1686"/>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2" t="s">
        <v>1216</v>
      </c>
      <c r="B26" s="1725" t="s">
        <v>1217</v>
      </c>
      <c r="C26" s="2670" t="s">
        <v>1218</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7" customFormat="1" ht="27.75">
      <c r="A27" s="1726" t="s">
        <v>1219</v>
      </c>
      <c r="B27" s="107">
        <v>150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190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16</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0" t="s">
        <v>1229</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8" t="s">
        <v>1230</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1" t="s">
        <v>1231</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3394</v>
      </c>
      <c r="B40" s="1078">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6" t="s">
        <v>1232</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2" t="s">
        <v>1233</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2" t="s">
        <v>1234</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3" t="s">
        <v>1235</v>
      </c>
      <c r="B44" s="119">
        <v>0.05</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3" t="s">
        <v>1236</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3" t="s">
        <v>1237</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4" t="s">
        <v>1238</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5" t="s">
        <v>1239</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1" t="s">
        <v>1240</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6" t="s">
        <v>1241</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9" t="s">
        <v>1242</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6" t="s">
        <v>1243</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8" t="s">
        <v>1244</v>
      </c>
      <c r="B53" s="1737" t="s">
        <v>29</v>
      </c>
      <c r="C53" s="2654" t="s">
        <v>1245</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8" t="s">
        <v>1246</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8" t="s">
        <v>1247</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8" t="s">
        <v>1248</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8" t="s">
        <v>1249</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8" t="s">
        <v>1250</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8" t="s">
        <v>1251</v>
      </c>
      <c r="B59" s="75">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8" t="s">
        <v>1252</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8" t="s">
        <v>1253</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8" t="s">
        <v>1254</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9" t="s">
        <v>1255</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3"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3"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3"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3"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3"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5"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57" t="s">
        <v>2277</v>
      </c>
      <c r="B1" s="3558"/>
      <c r="C1" s="3558"/>
      <c r="D1" s="3558"/>
      <c r="E1" s="3558"/>
      <c r="F1" s="3558"/>
      <c r="G1" s="3558"/>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9"/>
      <c r="I2" s="799"/>
      <c r="J2" s="799"/>
      <c r="K2" s="799"/>
      <c r="L2" s="799"/>
      <c r="M2" s="799"/>
      <c r="N2" s="799"/>
      <c r="O2" s="799"/>
      <c r="P2" s="799"/>
      <c r="Q2" s="799"/>
      <c r="R2" s="799"/>
    </row>
    <row r="3" spans="1:29" ht="25.5">
      <c r="A3" s="2436" t="s">
        <v>2275</v>
      </c>
      <c r="B3" s="2458" t="s">
        <v>2247</v>
      </c>
      <c r="C3" s="3448" t="s">
        <v>3395</v>
      </c>
      <c r="D3" s="2459"/>
      <c r="E3" s="2437" t="s">
        <v>2275</v>
      </c>
      <c r="F3" s="2460" t="s">
        <v>2248</v>
      </c>
      <c r="G3" s="2461" t="s">
        <v>2276</v>
      </c>
      <c r="H3" s="799"/>
      <c r="I3" s="799"/>
      <c r="J3" s="799"/>
      <c r="K3" s="799"/>
      <c r="L3" s="799"/>
      <c r="M3" s="799"/>
      <c r="N3" s="799"/>
      <c r="O3" s="799"/>
      <c r="P3" s="799"/>
      <c r="Q3" s="799"/>
      <c r="R3" s="799"/>
    </row>
    <row r="4" spans="1:29" ht="36">
      <c r="A4" s="2437"/>
      <c r="B4" s="323" t="s">
        <v>2249</v>
      </c>
      <c r="C4" s="3449" t="s">
        <v>3397</v>
      </c>
      <c r="D4" s="2459"/>
      <c r="E4" s="2462"/>
      <c r="F4" s="1373" t="s">
        <v>2250</v>
      </c>
      <c r="G4" s="2463" t="s">
        <v>2251</v>
      </c>
      <c r="H4" s="799"/>
      <c r="I4" s="799"/>
      <c r="J4" s="799"/>
      <c r="K4" s="799"/>
      <c r="L4" s="799"/>
      <c r="M4" s="799"/>
      <c r="N4" s="799"/>
      <c r="O4" s="799"/>
      <c r="P4" s="799"/>
      <c r="Q4" s="799"/>
      <c r="R4" s="799"/>
    </row>
    <row r="5" spans="1:29" ht="24">
      <c r="A5" s="2437"/>
      <c r="B5" s="323" t="s">
        <v>2252</v>
      </c>
      <c r="C5" s="3449" t="s">
        <v>3398</v>
      </c>
      <c r="D5" s="2459"/>
      <c r="E5" s="2462"/>
      <c r="F5" s="323" t="s">
        <v>2253</v>
      </c>
      <c r="G5" s="2463" t="s">
        <v>2254</v>
      </c>
      <c r="H5" s="799"/>
      <c r="I5" s="799"/>
      <c r="J5" s="799"/>
      <c r="K5" s="799"/>
      <c r="L5" s="799"/>
      <c r="M5" s="799"/>
      <c r="N5" s="799"/>
      <c r="O5" s="799"/>
      <c r="P5" s="799"/>
      <c r="Q5" s="799"/>
      <c r="R5" s="799"/>
    </row>
    <row r="6" spans="1:29">
      <c r="A6" s="2437"/>
      <c r="B6" s="323" t="s">
        <v>2255</v>
      </c>
      <c r="C6" s="3450" t="s">
        <v>3399</v>
      </c>
      <c r="D6" s="2459"/>
      <c r="E6" s="2462"/>
      <c r="F6" s="323" t="s">
        <v>2256</v>
      </c>
      <c r="G6" s="2463" t="s">
        <v>2257</v>
      </c>
      <c r="H6" s="799"/>
      <c r="I6" s="799"/>
      <c r="J6" s="799"/>
      <c r="K6" s="799"/>
      <c r="L6" s="799"/>
      <c r="M6" s="799"/>
      <c r="N6" s="799"/>
      <c r="O6" s="799"/>
      <c r="P6" s="799"/>
      <c r="Q6" s="799"/>
      <c r="R6" s="799"/>
    </row>
    <row r="7" spans="1:29" ht="24.75" thickBot="1">
      <c r="A7" s="2437"/>
      <c r="B7" s="323" t="s">
        <v>2253</v>
      </c>
      <c r="C7" s="3450" t="s">
        <v>3399</v>
      </c>
      <c r="D7" s="2464"/>
      <c r="E7" s="2465"/>
      <c r="F7" s="2466" t="s">
        <v>2258</v>
      </c>
      <c r="G7" s="2467" t="s">
        <v>2259</v>
      </c>
      <c r="H7" s="799"/>
      <c r="I7" s="799"/>
      <c r="J7" s="799"/>
      <c r="K7" s="799"/>
      <c r="L7" s="799"/>
      <c r="M7" s="799"/>
      <c r="N7" s="799"/>
      <c r="O7" s="799"/>
      <c r="P7" s="799"/>
      <c r="Q7" s="799"/>
      <c r="R7" s="799"/>
    </row>
    <row r="8" spans="1:29">
      <c r="A8" s="2437"/>
      <c r="B8" s="323" t="s">
        <v>2256</v>
      </c>
      <c r="C8" s="3450" t="s">
        <v>3400</v>
      </c>
      <c r="D8" s="2464"/>
      <c r="E8" s="2464"/>
      <c r="F8" s="2468"/>
      <c r="G8" s="2468"/>
      <c r="H8" s="799"/>
      <c r="I8" s="799"/>
      <c r="J8" s="799"/>
      <c r="K8" s="799"/>
      <c r="L8" s="799"/>
      <c r="M8" s="799"/>
      <c r="N8" s="799"/>
      <c r="O8" s="799"/>
      <c r="P8" s="799"/>
      <c r="Q8" s="799"/>
      <c r="R8" s="799"/>
    </row>
    <row r="9" spans="1:29">
      <c r="A9" s="2437"/>
      <c r="B9" s="323" t="s">
        <v>2260</v>
      </c>
      <c r="C9" s="3449" t="s">
        <v>3402</v>
      </c>
      <c r="D9" s="2459"/>
      <c r="E9" s="2464"/>
      <c r="F9" s="2468"/>
      <c r="G9" s="2468"/>
      <c r="H9" s="799"/>
      <c r="I9" s="799"/>
      <c r="J9" s="799"/>
      <c r="K9" s="799"/>
      <c r="L9" s="799"/>
      <c r="M9" s="799"/>
      <c r="N9" s="799"/>
      <c r="O9" s="799"/>
      <c r="P9" s="799"/>
      <c r="Q9" s="799"/>
      <c r="R9" s="799"/>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 xml:space="preserve"> </v>
      </c>
      <c r="D15" s="2459"/>
      <c r="E15" s="2440" t="s">
        <v>2265</v>
      </c>
      <c r="F15" s="2490" t="s">
        <v>2266</v>
      </c>
      <c r="G15" s="2492" t="str">
        <f>G3</f>
        <v>估价对象位于XX开发区，园区建设成熟度XX，产业集聚程度XX</v>
      </c>
    </row>
    <row r="16" spans="1:29" ht="38.25">
      <c r="A16" s="2441"/>
      <c r="B16" s="2493" t="s">
        <v>2249</v>
      </c>
      <c r="C16" s="2494" t="str">
        <f>C4</f>
        <v>一般</v>
      </c>
      <c r="D16" s="2459"/>
      <c r="E16" s="2442"/>
      <c r="F16" s="2495" t="s">
        <v>2250</v>
      </c>
      <c r="G16" s="2496" t="str">
        <f>G4</f>
        <v>估价对象周边道路状况、公共交通通达情况、停车便捷程度，综合评价交通便捷度较好</v>
      </c>
    </row>
    <row r="17" spans="1:18">
      <c r="A17" s="2441"/>
      <c r="B17" s="2493" t="s">
        <v>2252</v>
      </c>
      <c r="C17" s="2494" t="str">
        <f>C5</f>
        <v xml:space="preserve"> </v>
      </c>
      <c r="D17" s="2464"/>
      <c r="E17" s="2442"/>
      <c r="F17" s="2495" t="s">
        <v>2267</v>
      </c>
      <c r="G17" s="2497"/>
    </row>
    <row r="18" spans="1:18" ht="25.5">
      <c r="A18" s="2441"/>
      <c r="B18" s="2495" t="s">
        <v>2255</v>
      </c>
      <c r="C18" s="2496" t="str">
        <f>C6</f>
        <v>一般</v>
      </c>
      <c r="D18" s="2464"/>
      <c r="E18" s="2442"/>
      <c r="F18" s="2495" t="s">
        <v>2258</v>
      </c>
      <c r="G18" s="2496" t="str">
        <f>G7</f>
        <v>该园区内是否有污染型企业，绿化情况，卫生条件，整体环境状况判断</v>
      </c>
    </row>
    <row r="19" spans="1:18" ht="25.5">
      <c r="A19" s="2441"/>
      <c r="B19" s="2495" t="s">
        <v>2268</v>
      </c>
      <c r="C19" s="3455" t="s">
        <v>3421</v>
      </c>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一般</v>
      </c>
      <c r="D21" s="2459"/>
      <c r="E21" s="2442"/>
      <c r="F21" s="2495" t="s">
        <v>2270</v>
      </c>
      <c r="G21" s="2498"/>
    </row>
    <row r="22" spans="1:18" ht="13.5" customHeight="1">
      <c r="A22" s="2441"/>
      <c r="B22" s="323" t="s">
        <v>2256</v>
      </c>
      <c r="C22" s="2496" t="str">
        <f>C8</f>
        <v>七通</v>
      </c>
      <c r="D22" s="2459"/>
      <c r="E22" s="2442"/>
      <c r="F22" s="2495" t="s">
        <v>2261</v>
      </c>
      <c r="G22" s="2497"/>
    </row>
    <row r="23" spans="1:18" s="799" customFormat="1" ht="15" thickBot="1">
      <c r="A23" s="2441"/>
      <c r="B23" s="2495" t="s">
        <v>2270</v>
      </c>
      <c r="C23" s="2498" t="s">
        <v>3422</v>
      </c>
      <c r="D23" s="1740"/>
      <c r="E23" s="2443"/>
      <c r="F23" s="2499" t="s">
        <v>2271</v>
      </c>
      <c r="G23" s="2500"/>
      <c r="H23" s="2484"/>
      <c r="I23" s="2485"/>
      <c r="J23" s="2484"/>
      <c r="K23" s="2484"/>
      <c r="L23" s="2485"/>
      <c r="M23" s="2484"/>
      <c r="N23" s="2484"/>
      <c r="O23" s="2485"/>
      <c r="P23" s="2484"/>
      <c r="Q23" s="2484"/>
      <c r="R23" s="2486"/>
    </row>
    <row r="24" spans="1:18" s="799" customFormat="1" ht="15" thickBot="1">
      <c r="A24" s="2444"/>
      <c r="B24" s="2499" t="s">
        <v>2272</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14" sqref="B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820.57</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44931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1603</v>
      </c>
      <c r="C5" s="2505">
        <f ca="1">IF(B5=D14,结果表!H102,ROUND(B5*10000/$B$1,0))</f>
        <v>19535</v>
      </c>
      <c r="D5" s="2505" t="e">
        <f ca="1">ROUND(B5*10000/$B$2,0)</f>
        <v>#DIV/0!</v>
      </c>
      <c r="E5" s="2679"/>
      <c r="F5" s="2680"/>
      <c r="G5" s="2680"/>
      <c r="H5" s="2681"/>
      <c r="I5" s="2681"/>
      <c r="J5" s="2681"/>
      <c r="K5" s="2681"/>
    </row>
    <row r="6" spans="1:11" ht="16.5">
      <c r="A6" s="2505" t="s">
        <v>656</v>
      </c>
      <c r="B6" s="2505">
        <f ca="1">SUM(G14:G23)</f>
        <v>1603</v>
      </c>
      <c r="C6" s="2505">
        <f ca="1">IF(B6=G14,结果表!H108,ROUND(B6*10000/$B$1,0))</f>
        <v>19535</v>
      </c>
      <c r="D6" s="2505" t="e">
        <f ca="1">ROUND(B6*10000/$B$2,0)</f>
        <v>#DIV/0!</v>
      </c>
      <c r="E6" s="2679"/>
      <c r="F6" s="2680"/>
      <c r="G6" s="2680"/>
      <c r="H6" s="2681"/>
      <c r="I6" s="2681"/>
      <c r="J6" s="2681"/>
      <c r="K6" s="2681"/>
    </row>
    <row r="7" spans="1:11" ht="16.5">
      <c r="A7" s="2505" t="s">
        <v>664</v>
      </c>
      <c r="B7" s="2505">
        <f>SUM(H14:H23)</f>
        <v>0</v>
      </c>
      <c r="C7" s="2505">
        <f>IF(B7=H14,结果表!H110,ROUND(B7*10000/$B$1,0))</f>
        <v>0</v>
      </c>
      <c r="D7" s="2505" t="e">
        <f>ROUND(B7*10000/$B$2,0)</f>
        <v>#DIV/0!</v>
      </c>
      <c r="E7" s="2679"/>
      <c r="F7" s="2680"/>
      <c r="G7" s="2680"/>
      <c r="H7" s="2681"/>
      <c r="I7" s="2681"/>
      <c r="J7" s="2681"/>
      <c r="K7" s="2681"/>
    </row>
    <row r="8" spans="1:11" ht="16.5">
      <c r="A8" s="2505" t="s">
        <v>587</v>
      </c>
      <c r="B8" s="2505">
        <f ca="1">SUM(I14:I23)</f>
        <v>1602</v>
      </c>
      <c r="C8" s="2505">
        <f ca="1">IF(B8=I14,结果表!H112,ROUND(B8*10000/$B$1,0))</f>
        <v>19523</v>
      </c>
      <c r="D8" s="2505" t="e">
        <f ca="1">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3356</v>
      </c>
      <c r="D10" s="2505" t="s">
        <v>3357</v>
      </c>
      <c r="E10" s="3435"/>
      <c r="F10" s="3439" t="s">
        <v>3358</v>
      </c>
      <c r="G10" s="3436"/>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820.57</v>
      </c>
      <c r="C14" s="2511">
        <f>结果表!C118</f>
        <v>0</v>
      </c>
      <c r="D14" s="2511">
        <f ca="1">结果表!H118</f>
        <v>1603</v>
      </c>
      <c r="E14" s="2511">
        <f ca="1">ROUND(D14*10000/B14,0)</f>
        <v>19535</v>
      </c>
      <c r="F14" s="2511" t="e">
        <f ca="1">ROUND(D14*10000/C14,0)</f>
        <v>#DIV/0!</v>
      </c>
      <c r="G14" s="2511">
        <f ca="1">结果表!D122</f>
        <v>1603</v>
      </c>
      <c r="H14" s="2511" t="str">
        <f>结果表!D124</f>
        <v>——</v>
      </c>
      <c r="I14" s="2511">
        <f ca="1">结果表!D126</f>
        <v>1602</v>
      </c>
      <c r="J14" s="2680"/>
      <c r="K14" s="2681"/>
    </row>
    <row r="15" spans="1:11" ht="16.5">
      <c r="A15" s="2510" t="s">
        <v>649</v>
      </c>
      <c r="B15" s="2512"/>
      <c r="C15" s="2512"/>
      <c r="D15" s="2512"/>
      <c r="E15" s="2511" t="e">
        <f t="shared" ref="E15:E23" si="0">ROUND(D15*10000/B15,0)</f>
        <v>#DIV/0!</v>
      </c>
      <c r="F15" s="2511" t="e">
        <f t="shared" ref="F15:F23" si="1">ROUND(D15*10000/C15,0)</f>
        <v>#DIV/0!</v>
      </c>
      <c r="G15" s="1331"/>
      <c r="H15" s="1331"/>
      <c r="I15" s="2512"/>
      <c r="J15" s="2680"/>
      <c r="K15" s="2681"/>
    </row>
    <row r="16" spans="1:11" ht="16.5">
      <c r="A16" s="2510" t="s">
        <v>648</v>
      </c>
      <c r="B16" s="2512"/>
      <c r="C16" s="2512"/>
      <c r="D16" s="2512"/>
      <c r="E16" s="2511" t="e">
        <f t="shared" si="0"/>
        <v>#DIV/0!</v>
      </c>
      <c r="F16" s="2511" t="e">
        <f t="shared" si="1"/>
        <v>#DIV/0!</v>
      </c>
      <c r="G16" s="1331"/>
      <c r="H16" s="1331"/>
      <c r="I16" s="2512"/>
      <c r="J16" s="2681"/>
      <c r="K16" s="2681"/>
    </row>
    <row r="17" spans="1:11" ht="16.5">
      <c r="A17" s="2510" t="s">
        <v>647</v>
      </c>
      <c r="B17" s="2512"/>
      <c r="C17" s="2512"/>
      <c r="D17" s="2512"/>
      <c r="E17" s="2511" t="e">
        <f t="shared" si="0"/>
        <v>#DIV/0!</v>
      </c>
      <c r="F17" s="2511" t="e">
        <f t="shared" si="1"/>
        <v>#DIV/0!</v>
      </c>
      <c r="G17" s="1331"/>
      <c r="H17" s="1331"/>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C1" sqref="C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t="s">
        <v>3519</v>
      </c>
      <c r="D1" s="1746"/>
      <c r="E1" s="1746"/>
      <c r="F1" s="1748" t="s">
        <v>1262</v>
      </c>
      <c r="G1" s="1561" t="s">
        <v>3377</v>
      </c>
      <c r="H1" s="1749" t="str">
        <f>IF(G1="现房","——","估价对象范围")</f>
        <v>——</v>
      </c>
      <c r="I1" s="1750" t="s">
        <v>3512</v>
      </c>
    </row>
    <row r="2" spans="1:12" ht="21.75" customHeight="1" thickBot="1">
      <c r="A2" s="3593" t="str">
        <f>项目基本情况!S2</f>
        <v>北京市陈庄子路3号院4号楼-1层B102房地产</v>
      </c>
      <c r="B2" s="3594"/>
      <c r="C2" s="3594"/>
      <c r="D2" s="3594"/>
      <c r="E2" s="3594"/>
      <c r="F2" s="3594"/>
      <c r="G2" s="3594"/>
      <c r="H2" s="3594"/>
      <c r="I2" s="3595"/>
    </row>
    <row r="3" spans="1:12" ht="12.75">
      <c r="A3" s="3597" t="s">
        <v>1263</v>
      </c>
      <c r="B3" s="3598"/>
      <c r="C3" s="3598"/>
      <c r="D3" s="3598"/>
      <c r="E3" s="3598"/>
      <c r="F3" s="3598"/>
      <c r="G3" s="3598"/>
      <c r="H3" s="3598"/>
      <c r="I3" s="3598"/>
    </row>
    <row r="4" spans="1:12" ht="14.25">
      <c r="A4" s="1753" t="s">
        <v>1264</v>
      </c>
      <c r="B4" s="1754" t="s">
        <v>1265</v>
      </c>
      <c r="C4" s="1755" t="s">
        <v>3510</v>
      </c>
      <c r="D4" s="1755" t="s">
        <v>3498</v>
      </c>
      <c r="E4" s="3599" t="s">
        <v>1266</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3" t="s">
        <v>1267</v>
      </c>
      <c r="B5" s="3560">
        <v>25</v>
      </c>
      <c r="C5" s="3576"/>
      <c r="D5" s="3596"/>
      <c r="E5" s="131" t="s">
        <v>1268</v>
      </c>
      <c r="F5" s="1756"/>
      <c r="G5" s="1756"/>
      <c r="H5" s="1756"/>
      <c r="I5" s="1373"/>
    </row>
    <row r="6" spans="1:12" ht="12.75">
      <c r="A6" s="3573"/>
      <c r="B6" s="3560"/>
      <c r="C6" s="3577"/>
      <c r="D6" s="3596"/>
      <c r="E6" s="131" t="s">
        <v>1269</v>
      </c>
      <c r="F6" s="1756"/>
      <c r="G6" s="1756"/>
      <c r="H6" s="1756"/>
      <c r="I6" s="1373"/>
    </row>
    <row r="7" spans="1:12" ht="12.75">
      <c r="A7" s="3573"/>
      <c r="B7" s="3560"/>
      <c r="C7" s="3578"/>
      <c r="D7" s="3596"/>
      <c r="E7" s="131" t="s">
        <v>1270</v>
      </c>
      <c r="F7" s="1756"/>
      <c r="G7" s="1756"/>
      <c r="H7" s="1756"/>
      <c r="I7" s="1373"/>
    </row>
    <row r="8" spans="1:12" ht="12.75">
      <c r="A8" s="3573" t="s">
        <v>1271</v>
      </c>
      <c r="B8" s="3560">
        <v>15</v>
      </c>
      <c r="C8" s="3576"/>
      <c r="D8" s="3596"/>
      <c r="E8" s="131" t="s">
        <v>1272</v>
      </c>
      <c r="F8" s="1756"/>
      <c r="G8" s="1756"/>
      <c r="H8" s="1756"/>
      <c r="I8" s="1373"/>
    </row>
    <row r="9" spans="1:12" ht="12.75">
      <c r="A9" s="3573"/>
      <c r="B9" s="3560"/>
      <c r="C9" s="3578"/>
      <c r="D9" s="3596"/>
      <c r="E9" s="131" t="s">
        <v>1273</v>
      </c>
      <c r="F9" s="1756"/>
      <c r="G9" s="1756"/>
      <c r="H9" s="1756"/>
      <c r="I9" s="1373"/>
    </row>
    <row r="10" spans="1:12" ht="12.75">
      <c r="A10" s="3573" t="s">
        <v>1274</v>
      </c>
      <c r="B10" s="3560">
        <v>15</v>
      </c>
      <c r="C10" s="3576"/>
      <c r="D10" s="3596"/>
      <c r="E10" s="131" t="s">
        <v>1275</v>
      </c>
      <c r="F10" s="1756"/>
      <c r="G10" s="1756"/>
      <c r="H10" s="1756"/>
      <c r="I10" s="1373"/>
    </row>
    <row r="11" spans="1:12" ht="12.75">
      <c r="A11" s="3573"/>
      <c r="B11" s="3560"/>
      <c r="C11" s="3578"/>
      <c r="D11" s="3596"/>
      <c r="E11" s="131" t="s">
        <v>1276</v>
      </c>
      <c r="F11" s="1756"/>
      <c r="G11" s="1756"/>
      <c r="H11" s="1756"/>
      <c r="I11" s="1373"/>
    </row>
    <row r="12" spans="1:12" ht="12.75">
      <c r="A12" s="3573" t="s">
        <v>1277</v>
      </c>
      <c r="B12" s="3560">
        <v>15</v>
      </c>
      <c r="C12" s="3576"/>
      <c r="D12" s="3596"/>
      <c r="E12" s="131" t="s">
        <v>1278</v>
      </c>
      <c r="F12" s="1756"/>
      <c r="G12" s="1756"/>
      <c r="H12" s="1756"/>
      <c r="I12" s="1373"/>
    </row>
    <row r="13" spans="1:12" ht="12.75">
      <c r="A13" s="3573"/>
      <c r="B13" s="3560"/>
      <c r="C13" s="3578"/>
      <c r="D13" s="3596"/>
      <c r="E13" s="131" t="s">
        <v>1279</v>
      </c>
      <c r="F13" s="1756"/>
      <c r="G13" s="1756"/>
      <c r="H13" s="1756"/>
      <c r="I13" s="1373"/>
    </row>
    <row r="14" spans="1:12" ht="12.75">
      <c r="A14" s="3573" t="s">
        <v>1280</v>
      </c>
      <c r="B14" s="3560">
        <v>30</v>
      </c>
      <c r="C14" s="3576">
        <v>6</v>
      </c>
      <c r="D14" s="3596">
        <v>4</v>
      </c>
      <c r="E14" s="131" t="s">
        <v>1281</v>
      </c>
      <c r="F14" s="1756"/>
      <c r="G14" s="1756"/>
      <c r="H14" s="1756"/>
      <c r="I14" s="1373"/>
    </row>
    <row r="15" spans="1:12" ht="12.75">
      <c r="A15" s="3573"/>
      <c r="B15" s="3560"/>
      <c r="C15" s="3577"/>
      <c r="D15" s="3596"/>
      <c r="E15" s="131" t="s">
        <v>1282</v>
      </c>
      <c r="F15" s="1756"/>
      <c r="G15" s="1756"/>
      <c r="H15" s="1756"/>
      <c r="I15" s="1373"/>
    </row>
    <row r="16" spans="1:12" ht="12.75">
      <c r="A16" s="3573"/>
      <c r="B16" s="3560"/>
      <c r="C16" s="3578"/>
      <c r="D16" s="3596"/>
      <c r="E16" s="131" t="s">
        <v>1283</v>
      </c>
      <c r="F16" s="1756"/>
      <c r="G16" s="1756"/>
      <c r="H16" s="1756"/>
      <c r="I16" s="1373"/>
    </row>
    <row r="17" spans="1:36" ht="15">
      <c r="A17" s="1757" t="s">
        <v>1284</v>
      </c>
      <c r="B17" s="56"/>
      <c r="C17" s="132">
        <f>SUM(C5:C16)</f>
        <v>6</v>
      </c>
      <c r="D17" s="132">
        <f>SUM(D5:D16)</f>
        <v>4</v>
      </c>
      <c r="E17" s="129"/>
      <c r="F17" s="129"/>
      <c r="G17" s="129"/>
      <c r="H17" s="129"/>
      <c r="I17" s="129"/>
      <c r="K17" s="302"/>
      <c r="L17" s="302" t="s">
        <v>1285</v>
      </c>
      <c r="M17" s="302" t="s">
        <v>1286</v>
      </c>
    </row>
    <row r="18" spans="1:36" ht="31.9" customHeight="1" thickBot="1">
      <c r="A18" s="1758" t="s">
        <v>1287</v>
      </c>
      <c r="B18" s="1759"/>
      <c r="C18" s="133">
        <f>ROUND(C17/SUM(C17:D17),2)</f>
        <v>0.6</v>
      </c>
      <c r="D18" s="133">
        <f>1-C18</f>
        <v>0.4</v>
      </c>
      <c r="E18" s="3583" t="s">
        <v>2129</v>
      </c>
      <c r="F18" s="3584"/>
      <c r="G18" s="3584"/>
      <c r="H18" s="3584"/>
      <c r="I18" s="3584"/>
      <c r="K18" s="302" t="s">
        <v>1288</v>
      </c>
      <c r="L18" s="302">
        <f>IF(C1="",'数据-汇总表'!E3,SUMIF(项目类型,C1,'数据-汇总表'!E17:E26)+SUMIF(项目类型,C1,'数据-汇总表'!I17:I26))</f>
        <v>820.57</v>
      </c>
      <c r="M18" s="302">
        <f>IF(C1="",'数据-汇总表'!E3,SUMIF(项目类型,C1,'数据-汇总表'!E17:E26))</f>
        <v>820.57</v>
      </c>
    </row>
    <row r="19" spans="1:36" ht="15">
      <c r="A19" s="1760" t="s">
        <v>1289</v>
      </c>
      <c r="B19" s="1761" t="s">
        <v>1290</v>
      </c>
      <c r="C19" s="134">
        <f ca="1">SUMIF(INDIRECT("'"&amp;C4&amp;"'"&amp;"!A:A"),结果表!B19,INDIRECT("'"&amp;C4&amp;"'"&amp;"!B:B"))</f>
        <v>1923</v>
      </c>
      <c r="D19" s="135">
        <f ca="1">SUMIF(INDIRECT("'"&amp;D4&amp;"'"&amp;"!A:A"),结果表!B19,INDIRECT("'"&amp;D4&amp;"'"&amp;"!B:B"))</f>
        <v>1122</v>
      </c>
      <c r="E19" s="1760" t="s">
        <v>1291</v>
      </c>
      <c r="F19" s="1761" t="s">
        <v>1290</v>
      </c>
      <c r="G19" s="136">
        <f ca="1">ROUND(C19*$C$18+D19*$D$18,0)</f>
        <v>1603</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6" t="s">
        <v>1294</v>
      </c>
      <c r="C20" s="137">
        <f ca="1">SUMIF(INDIRECT("'"&amp;C4&amp;"'"&amp;"!A:A"),结果表!B20,INDIRECT("'"&amp;C4&amp;"'"&amp;"!B:B"))</f>
        <v>23435</v>
      </c>
      <c r="D20" s="138">
        <f ca="1">SUMIF(INDIRECT("'"&amp;D4&amp;"'"&amp;"!A:A"),结果表!B20,INDIRECT("'"&amp;D4&amp;"'"&amp;"!B:B"))</f>
        <v>13673</v>
      </c>
      <c r="E20" s="1763"/>
      <c r="F20" s="1026" t="s">
        <v>1294</v>
      </c>
      <c r="G20" s="139">
        <f ca="1">ROUND(C20*$C$18+D20*$D$18,0)</f>
        <v>19530</v>
      </c>
      <c r="H20" s="808" t="s">
        <v>1295</v>
      </c>
      <c r="I20" s="129"/>
    </row>
    <row r="21" spans="1:36" ht="15" customHeight="1" thickBot="1">
      <c r="A21" s="828"/>
      <c r="B21" s="1764" t="s">
        <v>1296</v>
      </c>
      <c r="C21" s="719" t="e">
        <f ca="1">ROUND(C19*10000/L19,0)</f>
        <v>#DIV/0!</v>
      </c>
      <c r="D21" s="720" t="e">
        <f ca="1">ROUND(D19*10000/L19,0)</f>
        <v>#DIV/0!</v>
      </c>
      <c r="E21" s="828"/>
      <c r="F21" s="1764" t="s">
        <v>1296</v>
      </c>
      <c r="G21" s="140" t="e">
        <f ca="1">ROUND(G19*10000/L19,0)</f>
        <v>#DIV/0!</v>
      </c>
      <c r="H21" s="1765" t="s">
        <v>1295</v>
      </c>
      <c r="I21" s="129"/>
    </row>
    <row r="22" spans="1:36" ht="15" thickBot="1">
      <c r="A22" s="1687" t="s">
        <v>1297</v>
      </c>
      <c r="B22" s="1766"/>
      <c r="C22" s="1767"/>
      <c r="D22" s="721">
        <f ca="1">IF(C19&lt;D19,D19/C19-1,C19/D19-1)</f>
        <v>0.71390374331550799</v>
      </c>
      <c r="E22" s="129"/>
      <c r="F22" s="129"/>
      <c r="G22" s="129"/>
      <c r="H22" s="129"/>
      <c r="I22" s="129"/>
    </row>
    <row r="23" spans="1:36" ht="13.5" thickBot="1">
      <c r="A23" s="1746"/>
      <c r="B23" s="1746"/>
      <c r="C23" s="1746"/>
      <c r="D23" s="1746"/>
      <c r="E23" s="129"/>
      <c r="F23" s="129"/>
      <c r="G23" s="129"/>
      <c r="H23" s="129"/>
      <c r="I23" s="129"/>
    </row>
    <row r="24" spans="1:36" ht="14.25" hidden="1">
      <c r="A24" s="3567" t="s">
        <v>1298</v>
      </c>
      <c r="B24" s="1761" t="s">
        <v>1290</v>
      </c>
      <c r="C24" s="136">
        <f>IF(B30=0,0,D30)</f>
        <v>0</v>
      </c>
      <c r="D24" s="1768"/>
      <c r="E24" s="129"/>
      <c r="F24" s="129"/>
      <c r="G24" s="129"/>
      <c r="H24" s="129"/>
      <c r="I24" s="129"/>
    </row>
    <row r="25" spans="1:36" ht="14.25" hidden="1">
      <c r="A25" s="3568"/>
      <c r="B25" s="1026" t="s">
        <v>1294</v>
      </c>
      <c r="C25" s="141">
        <f>IF(B30=0,0,C30)</f>
        <v>0</v>
      </c>
      <c r="D25" s="1769"/>
      <c r="E25" s="129"/>
      <c r="F25" s="129"/>
      <c r="G25" s="129"/>
      <c r="H25" s="129"/>
      <c r="I25" s="129"/>
    </row>
    <row r="26" spans="1:36" ht="13.5" hidden="1" customHeight="1">
      <c r="A26" s="1770" t="s">
        <v>1299</v>
      </c>
      <c r="B26" s="142" t="s">
        <v>1300</v>
      </c>
      <c r="C26" s="142" t="s">
        <v>1301</v>
      </c>
      <c r="D26" s="143" t="s">
        <v>1302</v>
      </c>
      <c r="E26" s="129"/>
      <c r="F26" s="129"/>
      <c r="G26" s="129"/>
      <c r="H26" s="129"/>
      <c r="I26" s="129"/>
    </row>
    <row r="27" spans="1:36" ht="14.25" hidden="1">
      <c r="A27" s="1770"/>
      <c r="B27" s="142">
        <v>0</v>
      </c>
      <c r="C27" s="142">
        <v>0</v>
      </c>
      <c r="D27" s="143">
        <f>ROUND(C27*B27/10000,0)</f>
        <v>0</v>
      </c>
      <c r="E27" s="129"/>
      <c r="F27" s="129"/>
      <c r="G27" s="129"/>
      <c r="H27" s="129"/>
      <c r="I27" s="129"/>
    </row>
    <row r="28" spans="1:36" ht="14.25" hidden="1">
      <c r="A28" s="1770"/>
      <c r="B28" s="142"/>
      <c r="C28" s="142"/>
      <c r="D28" s="143"/>
      <c r="E28" s="129"/>
      <c r="F28" s="129"/>
      <c r="G28" s="129"/>
      <c r="H28" s="129"/>
      <c r="I28" s="129"/>
    </row>
    <row r="29" spans="1:36" ht="14.25" hidden="1">
      <c r="A29" s="1770"/>
      <c r="B29" s="142"/>
      <c r="C29" s="142"/>
      <c r="D29" s="143"/>
      <c r="E29" s="129"/>
      <c r="F29" s="129"/>
      <c r="G29" s="129"/>
      <c r="H29" s="129"/>
      <c r="I29" s="129"/>
    </row>
    <row r="30" spans="1:36" ht="15" hidden="1" thickBot="1">
      <c r="A30" s="142" t="s">
        <v>1303</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1603</v>
      </c>
      <c r="D32" s="1774" t="s">
        <v>3429</v>
      </c>
      <c r="E32" s="129"/>
      <c r="F32" s="129"/>
      <c r="G32" s="129"/>
      <c r="H32" s="129"/>
      <c r="I32" s="129"/>
    </row>
    <row r="33" spans="1:15" ht="15">
      <c r="A33" s="786" t="s">
        <v>1305</v>
      </c>
      <c r="B33" s="1775"/>
      <c r="C33" s="1776" t="s">
        <v>3500</v>
      </c>
      <c r="D33" s="1777" t="s">
        <v>3498</v>
      </c>
      <c r="E33" s="1778" t="s">
        <v>1306</v>
      </c>
      <c r="F33" s="1779" t="str">
        <f>IF(D32="楼面单价","取值（单价）","取值（总价）")</f>
        <v>取值（总价）</v>
      </c>
      <c r="G33" s="129"/>
      <c r="H33" s="129"/>
      <c r="I33" s="129"/>
    </row>
    <row r="34" spans="1:15" ht="15">
      <c r="A34" s="1780"/>
      <c r="B34" s="1781" t="s">
        <v>1307</v>
      </c>
      <c r="C34" s="148">
        <f ca="1">IF(C33="自定义",F34,C32-C35)</f>
        <v>1092</v>
      </c>
      <c r="D34" s="861">
        <f ca="1">IF(C33="自定义",ROUND(C34/C32,3),IF(C33="收益比率",SUMIF(INDIRECT("'"&amp;D33&amp;"'"&amp;"!b:b"),"土地收益比率",INDIRECT("'"&amp;D33&amp;"'"&amp;"!c:c")),SUMIF(INDIRECT("'"&amp;D33&amp;"'"&amp;"!b:b"),"土地成本比率",INDIRECT("'"&amp;D33&amp;"'"&amp;"!c:c"))))</f>
        <v>0.68100000000000005</v>
      </c>
      <c r="E34" s="1782" t="s">
        <v>1308</v>
      </c>
      <c r="F34" s="1330"/>
      <c r="G34" s="129"/>
      <c r="H34" s="129"/>
      <c r="I34" s="129"/>
    </row>
    <row r="35" spans="1:15" ht="15.75" thickBot="1">
      <c r="A35" s="1783"/>
      <c r="B35" s="1784" t="s">
        <v>1309</v>
      </c>
      <c r="C35" s="1170">
        <f ca="1">IF(C33="自定义",F35,ROUND(C32*D35,0))</f>
        <v>511</v>
      </c>
      <c r="D35" s="1171">
        <f ca="1">IF(C33="自定义",ROUND(C35/C32,3),IF(C33="收益比率",SUMIF(INDIRECT("'"&amp;D33&amp;"'"&amp;"!b:b"),"建筑物收益比率",INDIRECT("'"&amp;D33&amp;"'"&amp;"!c:c")),SUMIF(INDIRECT("'"&amp;D33&amp;"'"&amp;"!b:b"),"建筑物成本比率",INDIRECT("'"&amp;D33&amp;"'"&amp;"!c:c"))))</f>
        <v>0.31900000000000001</v>
      </c>
      <c r="E35" s="1785" t="s">
        <v>1310</v>
      </c>
      <c r="F35" s="154"/>
      <c r="G35" s="129"/>
      <c r="H35" s="129"/>
      <c r="I35" s="129"/>
    </row>
    <row r="36" spans="1:15" ht="15.75" thickBot="1">
      <c r="A36" s="3587" t="s">
        <v>1311</v>
      </c>
      <c r="B36" s="1786" t="s">
        <v>1312</v>
      </c>
      <c r="C36" s="145"/>
      <c r="D36" s="1787"/>
      <c r="E36" s="1788"/>
      <c r="F36" s="1789"/>
      <c r="G36" s="129"/>
      <c r="H36" s="129"/>
      <c r="I36" s="129"/>
    </row>
    <row r="37" spans="1:15" ht="15.75" thickBot="1">
      <c r="A37" s="3588"/>
      <c r="B37" s="1673" t="s">
        <v>1313</v>
      </c>
      <c r="C37" s="147"/>
      <c r="D37" s="1139"/>
      <c r="E37" s="1139"/>
      <c r="F37" s="1789"/>
      <c r="G37" s="129"/>
      <c r="H37" s="129"/>
      <c r="I37" s="129"/>
    </row>
    <row r="38" spans="1:15" ht="15.75" thickBot="1">
      <c r="A38" s="3589"/>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64" t="s">
        <v>1325</v>
      </c>
      <c r="B45" s="3565"/>
      <c r="C45" s="3566"/>
      <c r="D45" s="155">
        <f ca="1">ROUND(H101*F45,0)</f>
        <v>1603</v>
      </c>
      <c r="E45" s="156" t="s">
        <v>1326</v>
      </c>
      <c r="F45" s="157">
        <v>1</v>
      </c>
      <c r="G45" s="158" t="s">
        <v>1327</v>
      </c>
      <c r="H45" s="129"/>
      <c r="I45" s="129"/>
      <c r="J45" s="3642" t="s">
        <v>1328</v>
      </c>
      <c r="K45" s="3642"/>
      <c r="L45" s="3642"/>
      <c r="M45" s="3642"/>
      <c r="N45" s="3642"/>
      <c r="O45" s="3642"/>
    </row>
    <row r="46" spans="1:15" ht="14.25" customHeight="1">
      <c r="A46" s="3561" t="s">
        <v>1329</v>
      </c>
      <c r="B46" s="3562"/>
      <c r="C46" s="3562"/>
      <c r="D46" s="3562"/>
      <c r="E46" s="3562"/>
      <c r="F46" s="3562"/>
      <c r="G46" s="3563"/>
      <c r="H46" s="1805"/>
      <c r="I46" s="159"/>
      <c r="J46" s="2516">
        <v>1</v>
      </c>
      <c r="K46" s="3623" t="s">
        <v>1330</v>
      </c>
      <c r="L46" s="3623"/>
      <c r="M46" s="3643"/>
      <c r="N46" s="3643"/>
      <c r="O46" s="3643"/>
    </row>
    <row r="47" spans="1:15" ht="12" customHeight="1">
      <c r="A47" s="160" t="s">
        <v>1331</v>
      </c>
      <c r="B47" s="161"/>
      <c r="C47" s="162"/>
      <c r="D47" s="1087" t="s">
        <v>1332</v>
      </c>
      <c r="E47" s="302" t="s">
        <v>1333</v>
      </c>
      <c r="F47" s="163" t="s">
        <v>1334</v>
      </c>
      <c r="G47" s="2539" t="s">
        <v>1335</v>
      </c>
      <c r="H47" s="2540"/>
      <c r="I47" s="159"/>
      <c r="J47" s="2516">
        <v>2</v>
      </c>
      <c r="K47" s="3623" t="s">
        <v>1336</v>
      </c>
      <c r="L47" s="3623"/>
      <c r="M47" s="3644">
        <f>'数据-取费表'!B2</f>
        <v>44931</v>
      </c>
      <c r="N47" s="3644"/>
      <c r="O47" s="3644"/>
    </row>
    <row r="48" spans="1:15" ht="25.5">
      <c r="A48" s="3592" t="s">
        <v>1337</v>
      </c>
      <c r="B48" s="3575"/>
      <c r="C48" s="3575"/>
      <c r="D48" s="2322">
        <f ca="1">IF(H48="情况1",0,IF(H48="情况2",D52,IF(H48="情况3",D53,IF(H48="情况4",D54))))</f>
        <v>0</v>
      </c>
      <c r="E48" s="2332" t="str">
        <f>IF(H48="情况4","(销售额-原购置价)×税（费）率","销售额×税（费）率")</f>
        <v>(销售额-原购置价)×税（费）率</v>
      </c>
      <c r="F48" s="2541">
        <f>IF(H48="情况1","免征",'数据-取费表'!B41)</f>
        <v>5.5000000000000007E-2</v>
      </c>
      <c r="G48" s="2542" t="s">
        <v>1338</v>
      </c>
      <c r="H48" s="2543" t="s">
        <v>3501</v>
      </c>
      <c r="I48" s="1805"/>
      <c r="J48" s="2516">
        <v>3</v>
      </c>
      <c r="K48" s="3623" t="s">
        <v>1339</v>
      </c>
      <c r="L48" s="3623"/>
      <c r="M48" s="3645">
        <f ca="1">H101</f>
        <v>1603</v>
      </c>
      <c r="N48" s="3645"/>
      <c r="O48" s="3645"/>
    </row>
    <row r="49" spans="1:35" ht="25.5" customHeight="1">
      <c r="A49" s="2331" t="s">
        <v>1340</v>
      </c>
      <c r="B49" s="3559" t="s">
        <v>1341</v>
      </c>
      <c r="C49" s="3559"/>
      <c r="D49" s="1590">
        <v>0</v>
      </c>
      <c r="E49" s="324" t="s">
        <v>1342</v>
      </c>
      <c r="F49" s="2419" t="s">
        <v>28</v>
      </c>
      <c r="G49" s="3629"/>
      <c r="H49" s="2308" t="s">
        <v>2132</v>
      </c>
      <c r="I49" s="2309"/>
      <c r="J49" s="2516">
        <v>4</v>
      </c>
      <c r="K49" s="3623" t="str">
        <f>IF(项目基本情况!E8="房地产抵押价值","房地产抵押价值","抵押担保权已注销时的房地产抵押价值")</f>
        <v>房地产抵押价值</v>
      </c>
      <c r="L49" s="3623"/>
      <c r="M49" s="3645">
        <f ca="1">IF(项目基本情况!E8="房地产抵押价值",H107,H109)</f>
        <v>1603</v>
      </c>
      <c r="N49" s="3645"/>
      <c r="O49" s="3645"/>
    </row>
    <row r="50" spans="1:35" ht="25.5" customHeight="1">
      <c r="A50" s="2544"/>
      <c r="B50" s="3559" t="s">
        <v>1343</v>
      </c>
      <c r="C50" s="3559"/>
      <c r="D50" s="2545"/>
      <c r="E50" s="332"/>
      <c r="F50" s="2419"/>
      <c r="G50" s="3630"/>
      <c r="H50" s="2310" t="s">
        <v>2133</v>
      </c>
      <c r="I50" s="2309"/>
      <c r="J50" s="3642" t="s">
        <v>1344</v>
      </c>
      <c r="K50" s="3642"/>
      <c r="L50" s="3642"/>
      <c r="M50" s="3642"/>
      <c r="N50" s="3642"/>
      <c r="O50" s="3642"/>
    </row>
    <row r="51" spans="1:35" ht="20.45" customHeight="1">
      <c r="A51" s="2546"/>
      <c r="B51" s="3559" t="s">
        <v>1345</v>
      </c>
      <c r="C51" s="3559"/>
      <c r="D51" s="1087"/>
      <c r="E51" s="327"/>
      <c r="F51" s="2419"/>
      <c r="G51" s="3631"/>
      <c r="H51" s="2310" t="s">
        <v>2134</v>
      </c>
      <c r="I51" s="2309"/>
      <c r="J51" s="2517" t="s">
        <v>1346</v>
      </c>
      <c r="K51" s="3623" t="s">
        <v>1347</v>
      </c>
      <c r="L51" s="3623"/>
      <c r="M51" s="2517" t="s">
        <v>1348</v>
      </c>
      <c r="N51" s="2517" t="s">
        <v>1349</v>
      </c>
      <c r="O51" s="2517" t="s">
        <v>1350</v>
      </c>
    </row>
    <row r="52" spans="1:35" ht="24" customHeight="1">
      <c r="A52" s="2333" t="s">
        <v>1351</v>
      </c>
      <c r="B52" s="3559" t="s">
        <v>1352</v>
      </c>
      <c r="C52" s="3559"/>
      <c r="D52" s="1087">
        <f ca="1">ROUND(D45*'数据-取费表'!B41/(1+'数据-取费表'!C42),0)</f>
        <v>84</v>
      </c>
      <c r="E52" s="2332" t="s">
        <v>1353</v>
      </c>
      <c r="F52" s="2547">
        <f>'数据-取费表'!B41</f>
        <v>5.5000000000000007E-2</v>
      </c>
      <c r="G52" s="2548"/>
      <c r="H52" s="2537"/>
      <c r="I52" s="1806"/>
      <c r="J52" s="2516">
        <v>1</v>
      </c>
      <c r="K52" s="3624" t="s">
        <v>1354</v>
      </c>
      <c r="L52" s="3624"/>
      <c r="M52" s="2518">
        <f ca="1">D48</f>
        <v>0</v>
      </c>
      <c r="N52" s="2516" t="str">
        <f>E48</f>
        <v>(销售额-原购置价)×税（费）率</v>
      </c>
      <c r="O52" s="2519">
        <f>F48</f>
        <v>5.5000000000000007E-2</v>
      </c>
    </row>
    <row r="53" spans="1:35" ht="12" customHeight="1">
      <c r="A53" s="2333" t="s">
        <v>1355</v>
      </c>
      <c r="B53" s="3585" t="s">
        <v>2282</v>
      </c>
      <c r="C53" s="3586"/>
      <c r="D53" s="1087">
        <f ca="1">ROUND(D45*'数据-取费表'!B41/(1+'数据-取费表'!C42),0)</f>
        <v>84</v>
      </c>
      <c r="E53" s="2332" t="s">
        <v>1353</v>
      </c>
      <c r="F53" s="2547">
        <f>'数据-取费表'!B41</f>
        <v>5.5000000000000007E-2</v>
      </c>
      <c r="G53" s="2548"/>
      <c r="H53" s="2537"/>
      <c r="I53" s="1806"/>
      <c r="J53" s="2516">
        <v>2</v>
      </c>
      <c r="K53" s="3624" t="s">
        <v>1356</v>
      </c>
      <c r="L53" s="3624"/>
      <c r="M53" s="2518">
        <f t="shared" ref="M53:O54" ca="1" si="0">D55</f>
        <v>1</v>
      </c>
      <c r="N53" s="2516" t="str">
        <f t="shared" si="0"/>
        <v>销售额×税（费）率</v>
      </c>
      <c r="O53" s="2519">
        <f t="shared" si="0"/>
        <v>5.0000000000000001E-4</v>
      </c>
    </row>
    <row r="54" spans="1:35" ht="12" customHeight="1">
      <c r="A54" s="2333" t="s">
        <v>1357</v>
      </c>
      <c r="B54" s="3585" t="s">
        <v>2283</v>
      </c>
      <c r="C54" s="3586"/>
      <c r="D54" s="1087">
        <f ca="1">C68</f>
        <v>0</v>
      </c>
      <c r="E54" s="327" t="s">
        <v>1358</v>
      </c>
      <c r="F54" s="2547">
        <f>'数据-取费表'!B41</f>
        <v>5.5000000000000007E-2</v>
      </c>
      <c r="G54" s="2548"/>
      <c r="H54" s="2549"/>
      <c r="I54" s="1806"/>
      <c r="J54" s="2516">
        <v>3</v>
      </c>
      <c r="K54" s="3624" t="s">
        <v>1359</v>
      </c>
      <c r="L54" s="3624"/>
      <c r="M54" s="2518">
        <f t="shared" ca="1" si="0"/>
        <v>0</v>
      </c>
      <c r="N54" s="2516" t="str">
        <f t="shared" si="0"/>
        <v>增值额×税（费）率</v>
      </c>
      <c r="O54" s="2520" t="str">
        <f t="shared" si="0"/>
        <v>——</v>
      </c>
    </row>
    <row r="55" spans="1:35" ht="24" customHeight="1">
      <c r="A55" s="3574" t="s">
        <v>1360</v>
      </c>
      <c r="B55" s="3575"/>
      <c r="C55" s="3575"/>
      <c r="D55" s="2322">
        <f ca="1">IF(H55="个人住宅",0,ROUND(D45*I55,0))</f>
        <v>1</v>
      </c>
      <c r="E55" s="2332" t="s">
        <v>1361</v>
      </c>
      <c r="F55" s="2547">
        <f>IF(H55="正常",I55,"免征")</f>
        <v>5.0000000000000001E-4</v>
      </c>
      <c r="G55" s="2548"/>
      <c r="H55" s="2543" t="s">
        <v>3437</v>
      </c>
      <c r="I55" s="165">
        <f>'数据-取费表'!B49</f>
        <v>5.0000000000000001E-4</v>
      </c>
      <c r="J55" s="2516" t="str">
        <f>IF(H59="非个人房产","",4)</f>
        <v/>
      </c>
      <c r="K55" s="3624" t="str">
        <f>IF(H59="非个人房产","——","个人所得税")</f>
        <v>——</v>
      </c>
      <c r="L55" s="3624"/>
      <c r="M55" s="2521" t="str">
        <f>D59</f>
        <v>——</v>
      </c>
      <c r="N55" s="2039" t="str">
        <f>E59</f>
        <v>——</v>
      </c>
      <c r="O55" s="2522" t="str">
        <f>F59</f>
        <v>——</v>
      </c>
    </row>
    <row r="56" spans="1:35" ht="24.75">
      <c r="A56" s="3574" t="s">
        <v>1362</v>
      </c>
      <c r="B56" s="3575"/>
      <c r="C56" s="3575"/>
      <c r="D56" s="2322">
        <f ca="1">IF(H56="个人住宅",D57,D58)</f>
        <v>0</v>
      </c>
      <c r="E56" s="2332" t="s">
        <v>1363</v>
      </c>
      <c r="F56" s="2547" t="str">
        <f>IF(H56="正常",F58,"免征")</f>
        <v>——</v>
      </c>
      <c r="G56" s="2550" t="s">
        <v>1364</v>
      </c>
      <c r="H56" s="2551" t="s">
        <v>3437</v>
      </c>
      <c r="I56" s="1807"/>
      <c r="J56" s="2516" t="str">
        <f>IF(项目基本情况!K6="上海银行",IF(J55="",4,J55+1),"")</f>
        <v/>
      </c>
      <c r="K56" s="3647" t="str">
        <f>IF(项目基本情况!K6="上海银行","其他处置费用","")</f>
        <v/>
      </c>
      <c r="L56" s="3648"/>
      <c r="M56" s="2518" t="str">
        <f>IF(项目基本情况!K6="上海银行",M69,"")</f>
        <v/>
      </c>
      <c r="N56" s="3647" t="str">
        <f>IF(项目基本情况!K6="上海银行","包含处置中涉及的律师、诉讼、拍卖、评估等费用","")</f>
        <v/>
      </c>
      <c r="O56" s="3650"/>
    </row>
    <row r="57" spans="1:35" ht="12.75">
      <c r="A57" s="2333" t="s">
        <v>1340</v>
      </c>
      <c r="B57" s="3585" t="s">
        <v>1365</v>
      </c>
      <c r="C57" s="3586"/>
      <c r="D57" s="1590">
        <v>0</v>
      </c>
      <c r="E57" s="324" t="s">
        <v>1342</v>
      </c>
      <c r="F57" s="302"/>
      <c r="G57" s="2548"/>
      <c r="H57" s="2552"/>
      <c r="I57" s="1807"/>
      <c r="J57" s="3624">
        <f>IF(AND(J55="",J56=""),4,IF(项目基本情况!K6="上海银行",结果表!J56+1,结果表!J55+1))</f>
        <v>4</v>
      </c>
      <c r="K57" s="3624" t="s">
        <v>1366</v>
      </c>
      <c r="L57" s="2523" t="s">
        <v>1367</v>
      </c>
      <c r="M57" s="2524"/>
      <c r="N57" s="2525">
        <f ca="1">SUMIF(M52:M56,"&lt;9e307")</f>
        <v>1</v>
      </c>
      <c r="O57" s="2526"/>
      <c r="P57" s="2683">
        <f ca="1">N57/M49</f>
        <v>6.2383031815346226E-4</v>
      </c>
    </row>
    <row r="58" spans="1:35" ht="24.75">
      <c r="A58" s="2333" t="s">
        <v>1351</v>
      </c>
      <c r="B58" s="3585" t="s">
        <v>1368</v>
      </c>
      <c r="C58" s="3559"/>
      <c r="D58" s="2322">
        <f ca="1">IF(H58="转让取得",C81,C97)</f>
        <v>0</v>
      </c>
      <c r="E58" s="2332" t="s">
        <v>1363</v>
      </c>
      <c r="F58" s="302" t="s">
        <v>28</v>
      </c>
      <c r="G58" s="2548"/>
      <c r="H58" s="2551" t="s">
        <v>3502</v>
      </c>
      <c r="I58" s="1807"/>
      <c r="J58" s="3624"/>
      <c r="K58" s="3624"/>
      <c r="L58" s="2523" t="s">
        <v>1369</v>
      </c>
      <c r="M58" s="2527"/>
      <c r="N58" s="2528" t="str">
        <f ca="1">NUMBERSTRING(INT(N57*10000),2)&amp;"元整"</f>
        <v>壹万元整</v>
      </c>
      <c r="O58" s="2529"/>
    </row>
    <row r="59" spans="1:35" ht="24.75" thickBot="1">
      <c r="A59" s="3627" t="s">
        <v>1370</v>
      </c>
      <c r="B59" s="3628"/>
      <c r="C59" s="3628"/>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1364</v>
      </c>
      <c r="H59" s="2312" t="s">
        <v>3503</v>
      </c>
      <c r="I59" s="2311" t="s">
        <v>2135</v>
      </c>
      <c r="J59" s="3625">
        <f>J57+1</f>
        <v>5</v>
      </c>
      <c r="K59" s="3624" t="s">
        <v>1371</v>
      </c>
      <c r="L59" s="2516" t="s">
        <v>1367</v>
      </c>
      <c r="M59" s="2530"/>
      <c r="N59" s="2531">
        <f ca="1">M49-N57</f>
        <v>1602</v>
      </c>
      <c r="O59" s="2532"/>
    </row>
    <row r="60" spans="1:35" ht="12" customHeight="1">
      <c r="A60" s="1808"/>
      <c r="B60" s="1746"/>
      <c r="C60" s="1746"/>
      <c r="D60" s="1746"/>
      <c r="E60" s="1578"/>
      <c r="F60" s="1807"/>
      <c r="G60" s="1807"/>
      <c r="H60" s="1809"/>
      <c r="I60" s="129"/>
      <c r="J60" s="3626"/>
      <c r="K60" s="3624"/>
      <c r="L60" s="2523" t="s">
        <v>1369</v>
      </c>
      <c r="M60" s="2527"/>
      <c r="N60" s="2528" t="str">
        <f ca="1">NUMBERSTRING(INT(N59*10000),2)&amp;"元整"</f>
        <v>壹仟陆佰零贰万元整</v>
      </c>
      <c r="O60" s="2529"/>
    </row>
    <row r="61" spans="1:35" ht="13.5" thickBot="1">
      <c r="A61" s="3572" t="s">
        <v>1372</v>
      </c>
      <c r="B61" s="3572"/>
      <c r="C61" s="3572"/>
      <c r="D61" s="3572"/>
      <c r="E61" s="3572"/>
      <c r="F61" s="1807"/>
      <c r="G61" s="1807"/>
      <c r="H61" s="1809"/>
      <c r="I61" s="129"/>
      <c r="J61" s="2516">
        <f>J59+1</f>
        <v>6</v>
      </c>
      <c r="K61" s="3624" t="s">
        <v>1373</v>
      </c>
      <c r="L61" s="3624"/>
      <c r="M61" s="2533"/>
      <c r="N61" s="2534">
        <f ca="1">ROUND(N59*10000/'数据-汇总表'!E3,0)</f>
        <v>19523</v>
      </c>
      <c r="O61" s="2535"/>
    </row>
    <row r="62" spans="1:35" ht="12.75">
      <c r="A62" s="3590" t="s">
        <v>1374</v>
      </c>
      <c r="B62" s="3591"/>
      <c r="C62" s="2020"/>
      <c r="D62" s="2020" t="s">
        <v>1375</v>
      </c>
      <c r="E62" s="166" t="s">
        <v>1376</v>
      </c>
      <c r="F62" s="1807"/>
      <c r="G62" s="1807"/>
      <c r="H62" s="1809"/>
      <c r="I62" s="129"/>
    </row>
    <row r="63" spans="1:35" ht="12.75">
      <c r="A63" s="173" t="s">
        <v>330</v>
      </c>
      <c r="B63" s="167" t="s">
        <v>1377</v>
      </c>
      <c r="C63" s="2557">
        <f ca="1">ROUND((C64+C65)/(1+'数据-取费表'!C42),0)</f>
        <v>1527</v>
      </c>
      <c r="D63" s="167"/>
      <c r="E63" s="168"/>
      <c r="F63" s="1807"/>
      <c r="G63" s="1807"/>
      <c r="H63" s="1809"/>
      <c r="I63" s="129"/>
      <c r="J63" s="3649" t="s">
        <v>1378</v>
      </c>
      <c r="K63" s="1332" t="s">
        <v>1379</v>
      </c>
      <c r="L63" s="1332">
        <f ca="1">IF(M49&gt;10000,M49*0.5%,IF(AND(M49&gt;1000,M49&lt;=10000),M49*1%,IF(AND(M49&gt;100,M49&lt;=1000),M49*3%,IF(AND(M49&gt;10,M49&lt;=100),M49*5%,M49*8%))))</f>
        <v>16.03</v>
      </c>
      <c r="M63" s="302">
        <f ca="1">ROUND(L63,1)</f>
        <v>16</v>
      </c>
      <c r="N63" s="2536"/>
      <c r="Z63" s="1751"/>
      <c r="AI63" s="1752"/>
    </row>
    <row r="64" spans="1:35" ht="14.25" customHeight="1">
      <c r="A64" s="169" t="s">
        <v>325</v>
      </c>
      <c r="B64" s="170" t="s">
        <v>1380</v>
      </c>
      <c r="C64" s="2558">
        <f ca="1">D45</f>
        <v>1603</v>
      </c>
      <c r="D64" s="170" t="s">
        <v>26</v>
      </c>
      <c r="E64" s="172"/>
      <c r="F64" s="1807"/>
      <c r="G64" s="1807"/>
      <c r="H64" s="1809"/>
      <c r="I64" s="129"/>
      <c r="J64" s="3649"/>
      <c r="K64" s="1332" t="s">
        <v>1381</v>
      </c>
      <c r="L64" s="1332">
        <f ca="1">IF(M49&gt;2000,M49*0.5%,IF(AND(M49&gt;1000,M49&lt;=2000),M49*0.6%,IF(AND(M49&gt;500,M49&lt;=1000),M49*0.7%,IF(AND(M49&gt;200,M49&lt;=500),M49*0.8%,IF(AND(M49&gt;100,M49&lt;=200),M49*0.9%,IF(AND(M49&gt;50,M49&lt;=100),M49*1%,IF(AND(M49&gt;20,M49&lt;=50),M49*1.5%,IF(AND(M49&gt;10,M49&lt;=20),M49*2%,IF(AND(M49&gt;1,M49&lt;=10),M49*2.5%)))))))))</f>
        <v>9.6180000000000003</v>
      </c>
      <c r="M64" s="302">
        <f t="shared" ref="M64:M65" ca="1" si="1">ROUND(L64,1)</f>
        <v>9.6</v>
      </c>
      <c r="N64" s="2537" t="s">
        <v>1382</v>
      </c>
      <c r="Z64" s="1751"/>
      <c r="AI64" s="1752"/>
    </row>
    <row r="65" spans="1:35" ht="14.25" customHeight="1">
      <c r="A65" s="169" t="s">
        <v>326</v>
      </c>
      <c r="B65" s="170" t="s">
        <v>1383</v>
      </c>
      <c r="C65" s="2559"/>
      <c r="D65" s="170"/>
      <c r="E65" s="172"/>
      <c r="F65" s="1807"/>
      <c r="G65" s="1807"/>
      <c r="H65" s="1809"/>
      <c r="I65" s="129"/>
      <c r="J65" s="3649"/>
      <c r="K65" s="1332" t="s">
        <v>1384</v>
      </c>
      <c r="L65" s="1332">
        <f ca="1">IF(M49&gt;1000,M49*0.1%,IF(AND(M49&gt;500,M49&lt;=1000),M49*0.5%,IF(AND(M49&gt;50,M49&lt;=500),M49*1%,IF(AND(M49&gt;1,M49&lt;=50),M49*1.5%))))</f>
        <v>1.603</v>
      </c>
      <c r="M65" s="302">
        <f t="shared" ca="1" si="1"/>
        <v>1.6</v>
      </c>
      <c r="N65" s="2537" t="s">
        <v>1382</v>
      </c>
      <c r="Z65" s="1751"/>
      <c r="AI65" s="1752"/>
    </row>
    <row r="66" spans="1:35" ht="14.25" customHeight="1">
      <c r="A66" s="173" t="s">
        <v>327</v>
      </c>
      <c r="B66" s="174" t="s">
        <v>1385</v>
      </c>
      <c r="C66" s="2560">
        <f>ROUND(资料!N21/1.05,0)</f>
        <v>1557</v>
      </c>
      <c r="D66" s="174" t="s">
        <v>26</v>
      </c>
      <c r="E66" s="1338" t="s">
        <v>671</v>
      </c>
      <c r="F66" s="1807"/>
      <c r="G66" s="1807"/>
      <c r="H66" s="1809"/>
      <c r="I66" s="129"/>
      <c r="J66" s="3649"/>
      <c r="K66" s="1332" t="s">
        <v>1386</v>
      </c>
      <c r="L66" s="1332">
        <f ca="1">M49*0.5%</f>
        <v>8.0150000000000006</v>
      </c>
      <c r="M66" s="302">
        <f ca="1">IF(L66&gt;0.5,0.5,ROUND(L66,0))</f>
        <v>0.5</v>
      </c>
      <c r="N66" s="2537" t="s">
        <v>1387</v>
      </c>
      <c r="Z66" s="1751"/>
      <c r="AI66" s="1752"/>
    </row>
    <row r="67" spans="1:35" ht="14.25" customHeight="1">
      <c r="A67" s="173" t="s">
        <v>328</v>
      </c>
      <c r="B67" s="174" t="s">
        <v>1388</v>
      </c>
      <c r="C67" s="2561">
        <f ca="1">C63-C66</f>
        <v>-30</v>
      </c>
      <c r="D67" s="170" t="s">
        <v>26</v>
      </c>
      <c r="E67" s="172"/>
      <c r="F67" s="1807"/>
      <c r="G67" s="1807"/>
      <c r="H67" s="1809"/>
      <c r="I67" s="129"/>
      <c r="J67" s="3649"/>
      <c r="K67" s="1332" t="s">
        <v>1389</v>
      </c>
      <c r="L67" s="1332">
        <f ca="1">IF(M49&gt;=10000,(8.25+(M49-10000)*0.01%),IF(AND(M49&gt;=8000,M49&lt;10000),(7.85+(M49-8000)*0.02%),IF(AND(M49&gt;=5000,M49&lt;8000),(6.65+(M49-5000)*0.04%),IF(AND(M49&gt;=2000,M49&lt;5000),(4.25+(PM49-2000)*0.08%),IF(AND(M49&gt;=1000,M49&lt;2000),(2.75+(M49-1000)*0.15%),IF(AND(M49&gt;=100,M49&lt;1000),(0.5+(M49-100)*0.25%),IF(AND(M49&gt;0,M49&lt;100),M49*0.5%)))))))</f>
        <v>3.6545000000000001</v>
      </c>
      <c r="M67" s="302">
        <f ca="1">ROUND(L67*0.9,1)</f>
        <v>3.3</v>
      </c>
      <c r="N67" s="2536"/>
      <c r="Z67" s="1751"/>
      <c r="AI67" s="1752"/>
    </row>
    <row r="68" spans="1:35" ht="14.25" customHeight="1" thickBot="1">
      <c r="A68" s="176" t="s">
        <v>329</v>
      </c>
      <c r="B68" s="177" t="s">
        <v>1390</v>
      </c>
      <c r="C68" s="2562">
        <f ca="1">IF(C67&lt;=0,0,ROUND(C67*D68,0))</f>
        <v>0</v>
      </c>
      <c r="D68" s="2563">
        <f>'数据-取费表'!B41</f>
        <v>5.5000000000000007E-2</v>
      </c>
      <c r="E68" s="178"/>
      <c r="F68" s="1807"/>
      <c r="G68" s="1807"/>
      <c r="H68" s="1809"/>
      <c r="I68" s="129"/>
      <c r="J68" s="3649"/>
      <c r="K68" s="1332" t="s">
        <v>1391</v>
      </c>
      <c r="L68" s="1332">
        <f ca="1">IF(M49&gt;10000,M49*0.5%,IF(AND(M49&gt;5000,M49&lt;=10000),M49*1%,IF(AND(M49&gt;1000,M49&lt;=5000),M49*2%,IF(AND(M49&gt;200,M49&lt;=1000),M49*3%,M49*5%))))</f>
        <v>32.06</v>
      </c>
      <c r="M68" s="302">
        <f ca="1">ROUND(L68,1)</f>
        <v>32.1</v>
      </c>
      <c r="N68" s="2536"/>
      <c r="Z68" s="1751"/>
      <c r="AI68" s="1752"/>
    </row>
    <row r="69" spans="1:35" s="1771" customFormat="1" ht="16.5" customHeight="1">
      <c r="A69" s="1810"/>
      <c r="B69" s="1811"/>
      <c r="C69" s="1812"/>
      <c r="D69" s="1813"/>
      <c r="E69" s="1814"/>
      <c r="F69" s="1578"/>
      <c r="G69" s="1578"/>
      <c r="H69" s="1577"/>
      <c r="I69" s="1746"/>
      <c r="J69" s="3649"/>
      <c r="K69" s="1332" t="s">
        <v>1392</v>
      </c>
      <c r="L69" s="1332"/>
      <c r="M69" s="302">
        <f ca="1">ROUND(SUM(M63:M68),0)</f>
        <v>63</v>
      </c>
      <c r="N69" s="2538">
        <f ca="1">M69/M49</f>
        <v>3.9301310043668124E-2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1" t="s">
        <v>1393</v>
      </c>
      <c r="B70" s="3612"/>
      <c r="C70" s="3612"/>
      <c r="D70" s="3612"/>
      <c r="E70" s="3612"/>
      <c r="F70" s="3612"/>
      <c r="G70" s="3612"/>
      <c r="H70" s="3612"/>
      <c r="I70" s="1815"/>
      <c r="J70" s="2684"/>
      <c r="K70" s="2684"/>
      <c r="L70" s="2684"/>
      <c r="M70" s="2684"/>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0" t="s">
        <v>1374</v>
      </c>
      <c r="B71" s="3591"/>
      <c r="C71" s="2020"/>
      <c r="D71" s="2020" t="s">
        <v>1375</v>
      </c>
      <c r="E71" s="179" t="s">
        <v>1376</v>
      </c>
      <c r="F71" s="180"/>
      <c r="G71" s="180"/>
      <c r="H71" s="181"/>
      <c r="I71" s="1819"/>
      <c r="J71" s="2684"/>
      <c r="K71" s="2684"/>
      <c r="L71" s="2684"/>
      <c r="M71" s="2684"/>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1">
        <f ca="1">ROUND(D45/(1+'数据-取费表'!C42),0)</f>
        <v>1527</v>
      </c>
      <c r="D72" s="170" t="s">
        <v>26</v>
      </c>
      <c r="E72" s="2329"/>
      <c r="F72" s="2328"/>
      <c r="G72" s="2328"/>
      <c r="H72" s="182"/>
      <c r="I72" s="1819"/>
      <c r="J72" s="2684"/>
      <c r="K72" s="2684"/>
      <c r="L72" s="2684"/>
      <c r="M72" s="2684"/>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1">
        <f ca="1">C74+C78</f>
        <v>1612</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1604</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4">
        <f>资料!N21</f>
        <v>1635.19</v>
      </c>
      <c r="D75" s="170" t="s">
        <v>26</v>
      </c>
      <c r="E75" s="184" t="s">
        <v>1398</v>
      </c>
      <c r="F75" s="2565" t="s">
        <v>3505</v>
      </c>
      <c r="G75" s="184" t="s">
        <v>1399</v>
      </c>
      <c r="H75" s="2566">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67">
        <v>0.05</v>
      </c>
      <c r="E76" s="3585" t="s">
        <v>1401</v>
      </c>
      <c r="F76" s="3559"/>
      <c r="G76" s="3559"/>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47</v>
      </c>
      <c r="D77" s="2568">
        <f>'数据-取费表'!B48+'数据-取费表'!B49</f>
        <v>3.0499999999999999E-2</v>
      </c>
      <c r="E77" s="2322" t="s">
        <v>1403</v>
      </c>
      <c r="F77" s="186"/>
      <c r="G77" s="1821" t="s">
        <v>3506</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69">
        <f ca="1">ROUND(D45*D78/(1+'数据-取费表'!C42),0)</f>
        <v>8</v>
      </c>
      <c r="D78" s="2570">
        <f>'数据-取费表'!B43</f>
        <v>5.000000000000001E-3</v>
      </c>
      <c r="E78" s="3569" t="s">
        <v>1405</v>
      </c>
      <c r="F78" s="3570"/>
      <c r="G78" s="3570"/>
      <c r="H78" s="3579"/>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1">
        <f ca="1">C72-C73</f>
        <v>-85</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1">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2">
        <f ca="1">ROUND(IF(C79&lt;=0,0,IF(C80&gt;=200%,C79*60%-C73*35%,IF(C80&gt;=100%,C79*50%-C73*15%,IF(C80&gt;=50%,C79*40%-C73*5%,IF(C80&lt;50%,C79*30%,0))))),0)</f>
        <v>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1" t="s">
        <v>1409</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90" t="s">
        <v>1374</v>
      </c>
      <c r="B84" s="3591"/>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1394</v>
      </c>
      <c r="C85" s="2561">
        <f ca="1">ROUND(D45/(1+'数据-取费表'!C42),0)</f>
        <v>1527</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1395</v>
      </c>
      <c r="C86" s="2561">
        <f ca="1">IF(H88="仅含出让金",C87+C90+C91+C92+C93+C94,C87+C91+C92+C93+C94)</f>
        <v>8</v>
      </c>
      <c r="D86" s="2574"/>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1410</v>
      </c>
      <c r="C87" s="2569">
        <f>C88+C89</f>
        <v>0</v>
      </c>
      <c r="D87" s="2570"/>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1411</v>
      </c>
      <c r="C88" s="2575"/>
      <c r="D88" s="2570"/>
      <c r="E88" s="193" t="s">
        <v>1412</v>
      </c>
      <c r="F88" s="2325"/>
      <c r="G88" s="194" t="s">
        <v>1413</v>
      </c>
      <c r="H88" s="1823"/>
      <c r="I88" s="1820"/>
      <c r="J88" s="2514"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1402</v>
      </c>
      <c r="C89" s="2569">
        <f>ROUND(C88*D89,0)</f>
        <v>0</v>
      </c>
      <c r="D89" s="2570">
        <f>'数据-取费表'!B48+'数据-取费表'!B49</f>
        <v>3.0499999999999999E-2</v>
      </c>
      <c r="E89" s="193" t="s">
        <v>1414</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1415</v>
      </c>
      <c r="C90" s="2575"/>
      <c r="D90" s="2570"/>
      <c r="E90" s="193" t="str">
        <f>IF(H88="-","土地取得成本中已包含该笔费用"," ")</f>
        <v xml:space="preserve"> </v>
      </c>
      <c r="F90" s="2325"/>
      <c r="G90" s="3651" t="s">
        <v>2127</v>
      </c>
      <c r="H90" s="3652"/>
      <c r="I90" s="1820"/>
      <c r="J90" s="2514"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1416</v>
      </c>
      <c r="B91" s="170" t="s">
        <v>1417</v>
      </c>
      <c r="C91" s="2569">
        <f>IF(H91="——",成本法!C33,I91)</f>
        <v>0</v>
      </c>
      <c r="D91" s="2570"/>
      <c r="E91" s="3569" t="s">
        <v>1418</v>
      </c>
      <c r="F91" s="3570"/>
      <c r="G91" s="357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1419</v>
      </c>
      <c r="B92" s="170" t="s">
        <v>1420</v>
      </c>
      <c r="C92" s="2569">
        <f>ROUND((C87+C90+C91)*D92,0)</f>
        <v>0</v>
      </c>
      <c r="D92" s="2576"/>
      <c r="E92" s="3569" t="s">
        <v>1421</v>
      </c>
      <c r="F92" s="3570"/>
      <c r="G92" s="3570"/>
      <c r="H92" s="3579"/>
      <c r="I92" s="1820"/>
      <c r="J92" s="2515"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1422</v>
      </c>
      <c r="B93" s="170" t="s">
        <v>1404</v>
      </c>
      <c r="C93" s="2569">
        <f ca="1">ROUND(D45*D93/(1+'数据-取费表'!C42),0)</f>
        <v>8</v>
      </c>
      <c r="D93" s="2570">
        <f>'数据-取费表'!B43</f>
        <v>5.000000000000001E-3</v>
      </c>
      <c r="E93" s="3569" t="s">
        <v>1405</v>
      </c>
      <c r="F93" s="3570"/>
      <c r="G93" s="3570"/>
      <c r="H93" s="3579"/>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1423</v>
      </c>
      <c r="B94" s="170" t="s">
        <v>1424</v>
      </c>
      <c r="C94" s="2575">
        <f>ROUND((C87+C90+C91)*D94,0)</f>
        <v>0</v>
      </c>
      <c r="D94" s="2570">
        <v>0.2</v>
      </c>
      <c r="E94" s="3580" t="s">
        <v>1425</v>
      </c>
      <c r="F94" s="3581"/>
      <c r="G94" s="3581"/>
      <c r="H94" s="358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1406</v>
      </c>
      <c r="C95" s="2561">
        <f ca="1">ROUND(C85-C86,0)</f>
        <v>1519</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1407</v>
      </c>
      <c r="C96" s="2571">
        <f ca="1">IF(C95&lt;=0,0,C95/C86)</f>
        <v>189.875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1408</v>
      </c>
      <c r="C97" s="2572">
        <f ca="1">ROUND(IF(C95&lt;=0,0,IF(C96&gt;=200%,C95*60%-C86*35%,IF(C96&gt;=100%,C95*50%-C86*15%,IF(C96&gt;=50%,C95*40%-C86*5%,IF(C96&lt;50%,C95*30%,0))))),0)</f>
        <v>909</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1426</v>
      </c>
      <c r="B99" s="1746"/>
      <c r="C99" s="1746"/>
      <c r="D99" s="1746"/>
      <c r="E99" s="1578"/>
      <c r="F99" s="1578"/>
      <c r="G99" s="1578"/>
      <c r="H99" s="1577"/>
      <c r="I99" s="129"/>
    </row>
    <row r="100" spans="1:35" ht="18.75" customHeight="1">
      <c r="A100" s="3553" t="s">
        <v>1427</v>
      </c>
      <c r="B100" s="3554"/>
      <c r="C100" s="3554"/>
      <c r="D100" s="3571"/>
      <c r="E100" s="3554" t="s">
        <v>1428</v>
      </c>
      <c r="F100" s="3554"/>
      <c r="G100" s="3554"/>
      <c r="H100" s="3571"/>
      <c r="I100" s="129"/>
    </row>
    <row r="101" spans="1:35" ht="18.75" customHeight="1">
      <c r="A101" s="3632" t="s">
        <v>1429</v>
      </c>
      <c r="B101" s="3633"/>
      <c r="C101" s="2578" t="str">
        <f>C4</f>
        <v>典型户型修正</v>
      </c>
      <c r="D101" s="2579" t="str">
        <f>D4</f>
        <v>成本法</v>
      </c>
      <c r="E101" s="3646" t="s">
        <v>1430</v>
      </c>
      <c r="F101" s="3603"/>
      <c r="G101" s="1826" t="s">
        <v>1431</v>
      </c>
      <c r="H101" s="2588">
        <f ca="1">H118</f>
        <v>1603</v>
      </c>
      <c r="I101" s="129"/>
    </row>
    <row r="102" spans="1:35" ht="18.75" customHeight="1">
      <c r="A102" s="3605" t="s">
        <v>1432</v>
      </c>
      <c r="B102" s="2577" t="s">
        <v>1431</v>
      </c>
      <c r="C102" s="2578">
        <f ca="1">IF(D32="楼面单价",ROUND(C19,0),C19)</f>
        <v>1923</v>
      </c>
      <c r="D102" s="2579">
        <f ca="1">IF(D32="楼面单价",ROUND(D19,0),D19)</f>
        <v>1122</v>
      </c>
      <c r="E102" s="3646"/>
      <c r="F102" s="3603"/>
      <c r="G102" s="1826" t="s">
        <v>1433</v>
      </c>
      <c r="H102" s="2548">
        <f ca="1">I118</f>
        <v>19535</v>
      </c>
      <c r="I102" s="129"/>
    </row>
    <row r="103" spans="1:35" ht="42.75" customHeight="1">
      <c r="A103" s="3605"/>
      <c r="B103" s="2577" t="s">
        <v>1433</v>
      </c>
      <c r="C103" s="2580">
        <f ca="1">C20</f>
        <v>23435</v>
      </c>
      <c r="D103" s="2581">
        <f ca="1">D20</f>
        <v>13673</v>
      </c>
      <c r="E103" s="3640" t="s">
        <v>1434</v>
      </c>
      <c r="F103" s="3641"/>
      <c r="G103" s="1827" t="s">
        <v>1435</v>
      </c>
      <c r="H103" s="2588">
        <f>IF(D36="正常操作",H104+H105+H106,H105+H106)</f>
        <v>0</v>
      </c>
      <c r="I103" s="129"/>
    </row>
    <row r="104" spans="1:35" ht="18.75" customHeight="1">
      <c r="A104" s="3605" t="s">
        <v>1436</v>
      </c>
      <c r="B104" s="2582" t="s">
        <v>1431</v>
      </c>
      <c r="C104" s="2583">
        <f ca="1">H118</f>
        <v>1603</v>
      </c>
      <c r="D104" s="2584"/>
      <c r="E104" s="1673" t="s">
        <v>1437</v>
      </c>
      <c r="F104" s="1665"/>
      <c r="G104" s="1827" t="s">
        <v>1435</v>
      </c>
      <c r="H104" s="2589">
        <f>IF(D36="同一抵押权人同一抵押物续贷",C36&amp;"（续贷，未扣减，详见特别提示）",C36)</f>
        <v>0</v>
      </c>
      <c r="I104" s="129"/>
    </row>
    <row r="105" spans="1:35" ht="18.75" customHeight="1" thickBot="1">
      <c r="A105" s="3606"/>
      <c r="B105" s="2585" t="s">
        <v>1433</v>
      </c>
      <c r="C105" s="2586">
        <f ca="1">I118</f>
        <v>19535</v>
      </c>
      <c r="D105" s="2587"/>
      <c r="E105" s="1673" t="s">
        <v>1438</v>
      </c>
      <c r="F105" s="1665"/>
      <c r="G105" s="1827" t="s">
        <v>1435</v>
      </c>
      <c r="H105" s="2590">
        <f>C37</f>
        <v>0</v>
      </c>
      <c r="I105" s="129"/>
    </row>
    <row r="106" spans="1:35" ht="18.75" customHeight="1">
      <c r="A106" s="1746" t="s">
        <v>1439</v>
      </c>
      <c r="B106" s="1746"/>
      <c r="C106" s="1746"/>
      <c r="D106" s="1746"/>
      <c r="E106" s="1828" t="s">
        <v>1440</v>
      </c>
      <c r="F106" s="1665"/>
      <c r="G106" s="1827" t="s">
        <v>1435</v>
      </c>
      <c r="H106" s="2590">
        <f>C38</f>
        <v>0</v>
      </c>
      <c r="I106" s="129"/>
    </row>
    <row r="107" spans="1:35" ht="18.75" customHeight="1">
      <c r="A107" s="129"/>
      <c r="B107" s="129"/>
      <c r="C107" s="129"/>
      <c r="D107" s="129"/>
      <c r="E107" s="3602" t="str">
        <f>IF(项目基本情况!E8="已注销","——","3.房地产抵押价值")</f>
        <v>3.房地产抵押价值</v>
      </c>
      <c r="F107" s="3603"/>
      <c r="G107" s="1826" t="s">
        <v>1431</v>
      </c>
      <c r="H107" s="2588">
        <f ca="1">IF(E107="——","——",H101-H103)</f>
        <v>1603</v>
      </c>
      <c r="I107" s="129"/>
    </row>
    <row r="108" spans="1:35" ht="18.75" customHeight="1">
      <c r="A108" s="129"/>
      <c r="B108" s="129"/>
      <c r="C108" s="129"/>
      <c r="D108" s="129"/>
      <c r="E108" s="3602"/>
      <c r="F108" s="3603"/>
      <c r="G108" s="1826" t="s">
        <v>1433</v>
      </c>
      <c r="H108" s="2548">
        <f ca="1">IF(H107=H101,H102,ROUND(H107*10000/'数据-汇总表'!E3,0))</f>
        <v>19535</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6" t="s">
        <v>1431</v>
      </c>
      <c r="H109" s="2591" t="str">
        <f>IF(E109="——","——",H101-H105-H106)</f>
        <v>——</v>
      </c>
      <c r="I109" s="129"/>
    </row>
    <row r="110" spans="1:35" ht="18.75" customHeight="1">
      <c r="A110" s="129"/>
      <c r="B110" s="129"/>
      <c r="C110" s="129"/>
      <c r="D110" s="129"/>
      <c r="E110" s="3602"/>
      <c r="F110" s="3603"/>
      <c r="G110" s="1826" t="s">
        <v>1433</v>
      </c>
      <c r="H110" s="2548"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4.抵押净值</v>
      </c>
      <c r="F111" s="3604"/>
      <c r="G111" s="1826" t="s">
        <v>1431</v>
      </c>
      <c r="H111" s="2588">
        <f ca="1">IF(E111="——","——",N59)</f>
        <v>1602</v>
      </c>
      <c r="I111" s="129"/>
    </row>
    <row r="112" spans="1:35" ht="18.75" customHeight="1" thickBot="1">
      <c r="A112" s="129"/>
      <c r="B112" s="129"/>
      <c r="C112" s="129"/>
      <c r="D112" s="129"/>
      <c r="E112" s="3635"/>
      <c r="F112" s="3636"/>
      <c r="G112" s="1829" t="s">
        <v>1433</v>
      </c>
      <c r="H112" s="2592">
        <f ca="1">IF(E111="——","——",N61)</f>
        <v>19523</v>
      </c>
      <c r="I112" s="129"/>
    </row>
    <row r="113" spans="1:27" ht="18.75" customHeight="1">
      <c r="A113" s="129"/>
      <c r="B113" s="129"/>
      <c r="C113" s="129"/>
      <c r="D113" s="129"/>
      <c r="E113" s="3607" t="s">
        <v>1439</v>
      </c>
      <c r="F113" s="3607"/>
      <c r="G113" s="3607"/>
      <c r="H113" s="3607"/>
      <c r="I113" s="129"/>
    </row>
    <row r="114" spans="1:27" ht="3.75" customHeight="1">
      <c r="A114" s="1746"/>
      <c r="B114" s="1746"/>
      <c r="C114" s="1746"/>
      <c r="D114" s="1746"/>
      <c r="E114" s="1808"/>
      <c r="F114" s="1808"/>
      <c r="G114" s="1808"/>
      <c r="H114" s="1808"/>
      <c r="I114" s="1746"/>
    </row>
    <row r="115" spans="1:27" ht="18.75" customHeight="1">
      <c r="A115" s="3617" t="s">
        <v>1441</v>
      </c>
      <c r="B115" s="3618"/>
      <c r="C115" s="3618"/>
      <c r="D115" s="3618"/>
      <c r="E115" s="3618"/>
      <c r="F115" s="3618"/>
      <c r="G115" s="3618"/>
      <c r="H115" s="3618"/>
      <c r="I115" s="3619"/>
    </row>
    <row r="116" spans="1:27" ht="27" customHeight="1">
      <c r="A116" s="3573" t="s">
        <v>1442</v>
      </c>
      <c r="B116" s="3608" t="s">
        <v>1443</v>
      </c>
      <c r="C116" s="3608" t="s">
        <v>1444</v>
      </c>
      <c r="D116" s="3621" t="s">
        <v>1445</v>
      </c>
      <c r="E116" s="3622"/>
      <c r="F116" s="3616" t="s">
        <v>1446</v>
      </c>
      <c r="G116" s="3616"/>
      <c r="H116" s="3573" t="s">
        <v>1447</v>
      </c>
      <c r="I116" s="3573"/>
    </row>
    <row r="117" spans="1:27" ht="18.75" customHeight="1">
      <c r="A117" s="3573"/>
      <c r="B117" s="3609"/>
      <c r="C117" s="3609"/>
      <c r="D117" s="2327" t="s">
        <v>1448</v>
      </c>
      <c r="E117" s="2327" t="s">
        <v>1449</v>
      </c>
      <c r="F117" s="2327" t="s">
        <v>1448</v>
      </c>
      <c r="G117" s="2327" t="s">
        <v>1450</v>
      </c>
      <c r="H117" s="2327" t="s">
        <v>1448</v>
      </c>
      <c r="I117" s="2327" t="s">
        <v>1450</v>
      </c>
    </row>
    <row r="118" spans="1:27" ht="24.75" customHeight="1">
      <c r="A118" s="2593" t="str">
        <f>项目基本情况!S2</f>
        <v>北京市陈庄子路3号院4号楼-1层B102房地产</v>
      </c>
      <c r="B118" s="2327">
        <f>M18</f>
        <v>820.57</v>
      </c>
      <c r="C118" s="2327">
        <f>M19</f>
        <v>0</v>
      </c>
      <c r="D118" s="2327">
        <f ca="1">ROUND(IF(D32="总价",C34,E118*B118/10000),0)</f>
        <v>1092</v>
      </c>
      <c r="E118" s="2327">
        <f ca="1">ROUND(IF(C33="自定义",IF(D32="楼面单价",C34,D118*10000/B118),I118-G118),0)</f>
        <v>13308</v>
      </c>
      <c r="F118" s="2327">
        <f ca="1">ROUND(IF(D32="总价",C35,G118*B118/10000),0)</f>
        <v>511</v>
      </c>
      <c r="G118" s="2327">
        <f ca="1">ROUND(IF(D32="楼面单价",C35,F118*10000/B118),0)</f>
        <v>6227</v>
      </c>
      <c r="H118" s="2327">
        <f ca="1">ROUND(IF(D32="总价",C32,I118*B118/10000),0)</f>
        <v>1603</v>
      </c>
      <c r="I118" s="2327">
        <f ca="1">ROUND(IF(D32="楼面单价",C32,H118*10000/B118),0)</f>
        <v>19535</v>
      </c>
    </row>
    <row r="119" spans="1:27" ht="18.75" customHeight="1">
      <c r="A119" s="3573" t="s">
        <v>1451</v>
      </c>
      <c r="B119" s="3573"/>
      <c r="C119" s="3573"/>
      <c r="D119" s="3613" t="str">
        <f ca="1">NUMBERSTRING(INT(D118*10000),2)&amp;"元整"</f>
        <v>壹仟零玖拾贰万元整</v>
      </c>
      <c r="E119" s="3615"/>
      <c r="F119" s="3613" t="str">
        <f ca="1">NUMBERSTRING(INT(F118*10000),2)&amp;"元整"</f>
        <v>伍佰壹拾壹万元整</v>
      </c>
      <c r="G119" s="3615"/>
      <c r="H119" s="3613" t="str">
        <f ca="1">NUMBERSTRING(INT(H118*10000),2)&amp;"元整"</f>
        <v>壹仟陆佰零叁万元整</v>
      </c>
      <c r="I119" s="3615"/>
    </row>
    <row r="120" spans="1:27" ht="18.75" customHeight="1">
      <c r="A120" s="3637" t="str">
        <f>IF(项目基本情况!B9="房地产市场价值","",MID(E103,3,LEN(E103)-2))</f>
        <v/>
      </c>
      <c r="B120" s="3638"/>
      <c r="C120" s="3639"/>
      <c r="D120" s="3637">
        <f>H103</f>
        <v>0</v>
      </c>
      <c r="E120" s="3638"/>
      <c r="F120" s="3638"/>
      <c r="G120" s="3638"/>
      <c r="H120" s="3638"/>
      <c r="I120" s="3639"/>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3" t="s">
        <v>1451</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
      </c>
      <c r="B122" s="3604"/>
      <c r="C122" s="3604"/>
      <c r="D122" s="3637">
        <f ca="1">H107</f>
        <v>1603</v>
      </c>
      <c r="E122" s="3638"/>
      <c r="F122" s="3638"/>
      <c r="G122" s="3638"/>
      <c r="H122" s="3638"/>
      <c r="I122" s="3639"/>
      <c r="AA122" s="725"/>
    </row>
    <row r="123" spans="1:27" ht="18.75" customHeight="1">
      <c r="A123" s="3573" t="s">
        <v>1451</v>
      </c>
      <c r="B123" s="3573"/>
      <c r="C123" s="3573"/>
      <c r="D123" s="3613" t="str">
        <f ca="1">NUMBERSTRING(INT(D122*10000),2)&amp;"元整"</f>
        <v>壹仟陆佰零叁万元整</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1451</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f ca="1">H111</f>
        <v>1602</v>
      </c>
      <c r="E126" s="3638"/>
      <c r="F126" s="3638"/>
      <c r="G126" s="3638"/>
      <c r="H126" s="3638"/>
      <c r="I126" s="3639"/>
      <c r="AA126" s="725"/>
    </row>
    <row r="127" spans="1:27" ht="18.75" customHeight="1">
      <c r="A127" s="3573" t="s">
        <v>1451</v>
      </c>
      <c r="B127" s="3573"/>
      <c r="C127" s="3573"/>
      <c r="D127" s="3613" t="str">
        <f ca="1">NUMBERSTRING(INT(D126*10000),2)&amp;"元整"</f>
        <v>壹仟陆佰零贰万元整</v>
      </c>
      <c r="E127" s="3614"/>
      <c r="F127" s="3614"/>
      <c r="G127" s="3614"/>
      <c r="H127" s="3614"/>
      <c r="I127" s="3615"/>
      <c r="AA127" s="725"/>
    </row>
    <row r="128" spans="1:27" ht="21.75" customHeight="1">
      <c r="A128" s="3620" t="s">
        <v>1452</v>
      </c>
      <c r="B128" s="3620"/>
      <c r="C128" s="3620"/>
      <c r="D128" s="3620"/>
      <c r="E128" s="3620"/>
      <c r="F128" s="3620"/>
      <c r="G128" s="3620"/>
      <c r="H128" s="3620"/>
      <c r="I128" s="3620"/>
      <c r="AA128" s="725"/>
    </row>
    <row r="129" spans="1:35" ht="21.75" customHeight="1">
      <c r="A129" s="1830" t="s">
        <v>1453</v>
      </c>
      <c r="B129" s="1831"/>
      <c r="C129" s="1832" t="s">
        <v>1454</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1455</v>
      </c>
      <c r="G135" s="1847"/>
      <c r="H135" s="1847"/>
      <c r="I135" s="1848" t="s">
        <v>1456</v>
      </c>
    </row>
    <row r="136" spans="1:35" ht="21.75" customHeight="1">
      <c r="A136" s="725"/>
      <c r="B136" s="1849"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1458</v>
      </c>
    </row>
    <row r="139" spans="1:35" ht="21.75" customHeight="1">
      <c r="A139" s="725"/>
      <c r="B139" s="1849" t="s">
        <v>1459</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1458</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6" t="s">
        <v>2083</v>
      </c>
      <c r="D1" s="3657"/>
      <c r="E1" s="3657"/>
      <c r="F1" s="3657"/>
      <c r="G1" s="3657"/>
      <c r="H1" s="3657"/>
      <c r="I1" s="3657"/>
      <c r="J1" s="3657"/>
      <c r="K1" s="3657"/>
      <c r="L1" s="3657"/>
      <c r="M1" s="3657"/>
      <c r="N1" s="3657"/>
      <c r="O1" s="3657"/>
      <c r="P1" s="3657"/>
      <c r="Q1" s="3657"/>
      <c r="R1" s="3657"/>
      <c r="S1" s="3658"/>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2092</v>
      </c>
      <c r="B17" s="2147" t="s">
        <v>2093</v>
      </c>
      <c r="C17" s="1010">
        <v>1</v>
      </c>
      <c r="D17" s="1011">
        <v>2</v>
      </c>
      <c r="E17" s="1011">
        <v>3</v>
      </c>
      <c r="F17" s="1011" t="s">
        <v>3509</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1923</v>
      </c>
      <c r="C20" s="159"/>
      <c r="D20" s="2149" t="s">
        <v>43</v>
      </c>
      <c r="E20" s="1341"/>
      <c r="F20" s="983" t="e">
        <f ca="1">SUMIF(INDIRECT("'"&amp;H20&amp;"'"&amp;"!A:A"),"承租人权益价值",INDIRECT("'"&amp;H20&amp;"'"&amp;"!c:c"))</f>
        <v>#REF!</v>
      </c>
      <c r="G20" s="983" t="s">
        <v>2096</v>
      </c>
      <c r="H20" s="2150"/>
      <c r="I20" s="159"/>
      <c r="J20" s="159"/>
      <c r="K20" s="159"/>
      <c r="L20" s="159"/>
      <c r="M20" s="159"/>
      <c r="N20" s="159"/>
      <c r="O20" s="159"/>
      <c r="P20" s="159"/>
      <c r="Q20" s="159"/>
      <c r="R20" s="718"/>
      <c r="S20" s="129"/>
    </row>
    <row r="21" spans="1:45" ht="15.75">
      <c r="A21" s="662" t="s">
        <v>2097</v>
      </c>
      <c r="B21" s="294">
        <f>ROUND(B20*10000/B22,0)</f>
        <v>23435</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820.57</v>
      </c>
      <c r="C22" s="3653" t="s">
        <v>27</v>
      </c>
      <c r="D22" s="3654"/>
      <c r="E22" s="3654"/>
      <c r="F22" s="3654"/>
      <c r="G22" s="3654"/>
      <c r="H22" s="3654"/>
      <c r="I22" s="3654"/>
      <c r="J22" s="3654"/>
      <c r="K22" s="3654"/>
      <c r="L22" s="3654"/>
      <c r="M22" s="3654"/>
      <c r="N22" s="3654"/>
      <c r="O22" s="3654"/>
      <c r="P22" s="3654"/>
      <c r="Q22" s="3655"/>
      <c r="R22" s="663">
        <f>ROUND(S22*10000/B22,0)</f>
        <v>23435</v>
      </c>
      <c r="S22" s="21">
        <f>SUM(S24:S10000)</f>
        <v>1923</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8" t="s">
        <v>3508</v>
      </c>
      <c r="B24" s="665"/>
      <c r="C24" s="2803">
        <v>1</v>
      </c>
      <c r="D24" s="2804"/>
      <c r="E24" s="2803">
        <v>1</v>
      </c>
      <c r="F24" s="2804"/>
      <c r="G24" s="2803">
        <v>1</v>
      </c>
      <c r="H24" s="2804"/>
      <c r="I24" s="2803">
        <v>1</v>
      </c>
      <c r="J24" s="2804"/>
      <c r="K24" s="2803">
        <v>1</v>
      </c>
      <c r="L24" s="2804"/>
      <c r="M24" s="2803">
        <v>1</v>
      </c>
      <c r="N24" s="2804"/>
      <c r="O24" s="2803">
        <v>1</v>
      </c>
      <c r="P24" s="2804">
        <v>1</v>
      </c>
      <c r="Q24" s="2803">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3515</v>
      </c>
      <c r="B25" s="54">
        <f>'数据-汇总表'!G27</f>
        <v>820.57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3516</v>
      </c>
      <c r="Q25" s="21">
        <f>(SUMIF($17:$17,P25,$18:$18)-SUMIF($17:$17,$P$24,$18:$18)+100)/100</f>
        <v>0.5</v>
      </c>
      <c r="R25" s="663">
        <f>IF(B25="",0,ROUND($R$24*C25*E25*G25*I25*K25*M25*O25*Q25,0))</f>
        <v>23429</v>
      </c>
      <c r="S25" s="316">
        <f t="shared" si="11"/>
        <v>1923</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北京市陈庄子路3号院4号楼-1层B102房地产市场价值预评估</v>
      </c>
      <c r="C37" s="3470"/>
      <c r="D37" s="3470"/>
      <c r="E37" s="3470"/>
      <c r="F37" s="3470"/>
      <c r="G37" s="3470"/>
      <c r="H37" s="3470"/>
      <c r="I37" s="3470"/>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1765</v>
      </c>
      <c r="C1" s="1238" t="s">
        <v>1661</v>
      </c>
      <c r="D1" s="1225" t="s">
        <v>3519</v>
      </c>
      <c r="E1" s="3420" t="s">
        <v>3499</v>
      </c>
      <c r="F1" s="1878" t="s">
        <v>3497</v>
      </c>
      <c r="G1" s="1235" t="s">
        <v>1766</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1461</v>
      </c>
      <c r="B2" s="1164">
        <f>IF(E1="项目模式",IF(C2="——",ROUND(C49*D3/10000,0),ROUND(C49*D3/10000,0)-D2),IF(E1="单套模式",IF(C2="——",ROUND(C49*D3/10000,4),ROUND(C49*D3/10000,4)-D2)))</f>
        <v>3845</v>
      </c>
      <c r="C2" s="1880" t="s">
        <v>43</v>
      </c>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7"/>
      <c r="M2" s="2728"/>
      <c r="N2" s="2728"/>
      <c r="O2" s="2728"/>
      <c r="P2" s="1951"/>
      <c r="Q2" s="912"/>
      <c r="R2" s="912"/>
      <c r="S2" s="912"/>
      <c r="T2" s="912"/>
      <c r="U2" s="912"/>
      <c r="V2" s="912"/>
      <c r="W2" s="912"/>
      <c r="X2" s="912"/>
      <c r="Y2" s="912"/>
      <c r="Z2" s="912"/>
      <c r="AA2" s="912"/>
      <c r="AB2" s="912"/>
      <c r="AC2" s="1952"/>
    </row>
    <row r="3" spans="1:29" s="352" customFormat="1" ht="28.5" customHeight="1" thickBot="1">
      <c r="A3" s="203" t="s">
        <v>1463</v>
      </c>
      <c r="B3" s="558">
        <f>IF(C2="——",C49,ROUND(B2*10000/D3,0))</f>
        <v>46858</v>
      </c>
      <c r="C3" s="354" t="s">
        <v>1767</v>
      </c>
      <c r="D3" s="353">
        <f>IF(D1="",'数据-汇总表'!E3,SUMIF('数据-汇总表'!$C19:$C33,D1,'数据-汇总表'!$E19:$E33))</f>
        <v>820.57</v>
      </c>
      <c r="E3" s="1953"/>
      <c r="F3" s="909"/>
      <c r="G3" s="908"/>
      <c r="H3" s="908"/>
      <c r="I3" s="908"/>
      <c r="J3" s="908"/>
      <c r="K3" s="910"/>
      <c r="L3" s="2727"/>
      <c r="M3" s="2728"/>
      <c r="N3" s="2728"/>
      <c r="O3" s="2728"/>
      <c r="P3" s="1951"/>
      <c r="Q3" s="912"/>
      <c r="R3" s="912"/>
      <c r="S3" s="912"/>
      <c r="T3" s="912"/>
      <c r="U3" s="912"/>
      <c r="V3" s="912"/>
      <c r="W3" s="912"/>
      <c r="X3" s="912"/>
      <c r="Y3" s="912"/>
      <c r="Z3" s="912"/>
      <c r="AA3" s="912"/>
      <c r="AB3" s="912"/>
      <c r="AC3" s="1953"/>
    </row>
    <row r="4" spans="1:29" ht="15">
      <c r="A4" s="355" t="s">
        <v>1768</v>
      </c>
      <c r="B4" s="356"/>
      <c r="C4" s="3678" t="s">
        <v>1769</v>
      </c>
      <c r="D4" s="3679"/>
      <c r="E4" s="3680" t="s">
        <v>1770</v>
      </c>
      <c r="F4" s="3681"/>
      <c r="G4" s="3678" t="s">
        <v>1771</v>
      </c>
      <c r="H4" s="3679"/>
      <c r="I4" s="3678" t="s">
        <v>1772</v>
      </c>
      <c r="J4" s="3679"/>
      <c r="K4" s="559" t="s">
        <v>1773</v>
      </c>
      <c r="L4" s="2708"/>
      <c r="M4" s="2709"/>
      <c r="N4" s="2709"/>
      <c r="O4" s="2709"/>
      <c r="P4" s="3682" t="s">
        <v>1774</v>
      </c>
      <c r="Q4" s="3683"/>
      <c r="R4" s="3688" t="s">
        <v>1770</v>
      </c>
      <c r="S4" s="3689"/>
      <c r="T4" s="3688" t="s">
        <v>1771</v>
      </c>
      <c r="U4" s="3689"/>
      <c r="V4" s="3673" t="s">
        <v>1772</v>
      </c>
      <c r="W4" s="3673"/>
      <c r="X4" s="1355"/>
      <c r="Y4" s="3688" t="s">
        <v>1774</v>
      </c>
      <c r="Z4" s="3689"/>
      <c r="AA4" s="3675" t="s">
        <v>1770</v>
      </c>
      <c r="AB4" s="3673" t="s">
        <v>1771</v>
      </c>
      <c r="AC4" s="3675" t="s">
        <v>1772</v>
      </c>
    </row>
    <row r="5" spans="1:29" ht="15">
      <c r="A5" s="358"/>
      <c r="B5" s="359"/>
      <c r="C5" s="3701" t="s">
        <v>3433</v>
      </c>
      <c r="D5" s="3697"/>
      <c r="E5" s="3704" t="str">
        <f>案例!K2</f>
        <v>波普公社</v>
      </c>
      <c r="F5" s="3705"/>
      <c r="G5" s="3696" t="str">
        <f>案例!K3</f>
        <v>彩虹新城</v>
      </c>
      <c r="H5" s="3697"/>
      <c r="I5" s="3696" t="str">
        <f>案例!K4</f>
        <v>天健广场</v>
      </c>
      <c r="J5" s="3697"/>
      <c r="K5" s="559"/>
      <c r="L5" s="2708"/>
      <c r="M5" s="2709"/>
      <c r="N5" s="2709"/>
      <c r="O5" s="2709"/>
      <c r="P5" s="3684"/>
      <c r="Q5" s="3685"/>
      <c r="R5" s="3690"/>
      <c r="S5" s="3691"/>
      <c r="T5" s="3690"/>
      <c r="U5" s="3691"/>
      <c r="V5" s="3673"/>
      <c r="W5" s="3673"/>
      <c r="X5" s="1355"/>
      <c r="Y5" s="3690"/>
      <c r="Z5" s="3691"/>
      <c r="AA5" s="3676"/>
      <c r="AB5" s="3673"/>
      <c r="AC5" s="3676"/>
    </row>
    <row r="6" spans="1:29" ht="15.75" thickBot="1">
      <c r="A6" s="360"/>
      <c r="B6" s="361"/>
      <c r="C6" s="3694" t="s">
        <v>3434</v>
      </c>
      <c r="D6" s="3695"/>
      <c r="E6" s="3702" t="s">
        <v>3435</v>
      </c>
      <c r="F6" s="3703"/>
      <c r="G6" s="3694" t="s">
        <v>3436</v>
      </c>
      <c r="H6" s="3695"/>
      <c r="I6" s="3694" t="s">
        <v>3436</v>
      </c>
      <c r="J6" s="3695"/>
      <c r="K6" s="559" t="s">
        <v>1677</v>
      </c>
      <c r="L6" s="2708"/>
      <c r="M6" s="2709"/>
      <c r="N6" s="2709"/>
      <c r="O6" s="2709"/>
      <c r="P6" s="3686"/>
      <c r="Q6" s="3687"/>
      <c r="R6" s="3690"/>
      <c r="S6" s="3691"/>
      <c r="T6" s="3692"/>
      <c r="U6" s="3693"/>
      <c r="V6" s="3673"/>
      <c r="W6" s="3673"/>
      <c r="X6" s="1355"/>
      <c r="Y6" s="3692"/>
      <c r="Z6" s="3693"/>
      <c r="AA6" s="3677"/>
      <c r="AB6" s="3673"/>
      <c r="AC6" s="3677"/>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0"/>
      <c r="M7" s="2711"/>
      <c r="N7" s="2711"/>
      <c r="O7" s="2711"/>
      <c r="P7" s="3698" t="s">
        <v>1679</v>
      </c>
      <c r="Q7" s="3700"/>
      <c r="R7" s="701" t="s">
        <v>14</v>
      </c>
      <c r="S7" s="702">
        <f t="shared" ref="S7:S15" si="0">F7</f>
        <v>100</v>
      </c>
      <c r="T7" s="701" t="s">
        <v>14</v>
      </c>
      <c r="U7" s="702">
        <f t="shared" ref="U7:U15" si="1">H7</f>
        <v>100</v>
      </c>
      <c r="V7" s="701" t="s">
        <v>14</v>
      </c>
      <c r="W7" s="702">
        <f t="shared" ref="W7:W15" si="2">J7</f>
        <v>100</v>
      </c>
      <c r="X7" s="703"/>
      <c r="Y7" s="3698" t="s">
        <v>1679</v>
      </c>
      <c r="Z7" s="3699"/>
      <c r="AA7" s="704">
        <f>D7/F7</f>
        <v>1</v>
      </c>
      <c r="AB7" s="704">
        <f>D7/H7</f>
        <v>1</v>
      </c>
      <c r="AC7" s="704">
        <f>D7/J7</f>
        <v>1</v>
      </c>
    </row>
    <row r="8" spans="1:29" s="108" customFormat="1" ht="15.75" thickBot="1">
      <c r="A8" s="362" t="s">
        <v>1680</v>
      </c>
      <c r="B8" s="363"/>
      <c r="C8" s="368" t="s">
        <v>3437</v>
      </c>
      <c r="D8" s="365">
        <v>100</v>
      </c>
      <c r="E8" s="368" t="s">
        <v>3437</v>
      </c>
      <c r="F8" s="367">
        <f>SUMIF(61:61,E8,62:62)-SUMIF(61:61,C8,62:62)+100</f>
        <v>100</v>
      </c>
      <c r="G8" s="368" t="s">
        <v>3437</v>
      </c>
      <c r="H8" s="365">
        <f>SUMIF(61:61,G8,62:62)-SUMIF(61:61,C8,62:62)+100</f>
        <v>100</v>
      </c>
      <c r="I8" s="368" t="s">
        <v>3437</v>
      </c>
      <c r="J8" s="365">
        <f>SUMIF(61:61,I8,62:62)-SUMIF(61:61,C8,62:62)+100</f>
        <v>100</v>
      </c>
      <c r="K8" s="560"/>
      <c r="L8" s="2710"/>
      <c r="M8" s="2711"/>
      <c r="N8" s="2711"/>
      <c r="O8" s="2711"/>
      <c r="P8" s="3698" t="s">
        <v>1682</v>
      </c>
      <c r="Q8" s="3699"/>
      <c r="R8" s="701" t="s">
        <v>14</v>
      </c>
      <c r="S8" s="702">
        <f t="shared" si="0"/>
        <v>100</v>
      </c>
      <c r="T8" s="701" t="s">
        <v>14</v>
      </c>
      <c r="U8" s="702">
        <f t="shared" si="1"/>
        <v>100</v>
      </c>
      <c r="V8" s="701" t="s">
        <v>14</v>
      </c>
      <c r="W8" s="702">
        <f t="shared" si="2"/>
        <v>100</v>
      </c>
      <c r="X8" s="703"/>
      <c r="Y8" s="3698" t="s">
        <v>1682</v>
      </c>
      <c r="Z8" s="3699"/>
      <c r="AA8" s="704">
        <f t="shared" ref="AA8:AA46" si="3">D8/F8</f>
        <v>1</v>
      </c>
      <c r="AB8" s="704">
        <f t="shared" ref="AB8:AB46" si="4">D8/H8</f>
        <v>1</v>
      </c>
      <c r="AC8" s="704">
        <f t="shared" ref="AC8:AC46" si="5">D8/J8</f>
        <v>1</v>
      </c>
    </row>
    <row r="9" spans="1:29" s="108" customFormat="1">
      <c r="A9" s="369" t="s">
        <v>1683</v>
      </c>
      <c r="B9" s="63" t="s">
        <v>1684</v>
      </c>
      <c r="C9" s="3456"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674"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428" t="s">
        <v>3492</v>
      </c>
      <c r="D10" s="127">
        <v>100</v>
      </c>
      <c r="E10" s="3429" t="s">
        <v>3490</v>
      </c>
      <c r="F10" s="376">
        <f>SUMIF(65:65,E10,66:66)-SUMIF(65:65,C10,66:66)+100</f>
        <v>95</v>
      </c>
      <c r="G10" s="3428" t="s">
        <v>3489</v>
      </c>
      <c r="H10" s="127">
        <f>SUMIF(65:65,G10,66:66)-SUMIF(65:65,C10,66:66)+100</f>
        <v>95</v>
      </c>
      <c r="I10" s="3428" t="s">
        <v>3491</v>
      </c>
      <c r="J10" s="127">
        <f>SUMIF(65:65,I10,66:66)-SUMIF(65:65,C10,66:66)+100</f>
        <v>100</v>
      </c>
      <c r="K10" s="560"/>
      <c r="L10" s="2712"/>
      <c r="M10" s="2713"/>
      <c r="N10" s="2713"/>
      <c r="O10" s="2713"/>
      <c r="P10" s="3674"/>
      <c r="Q10" s="1343" t="str">
        <f t="shared" si="6"/>
        <v>土地使用年限（年）</v>
      </c>
      <c r="R10" s="701" t="s">
        <v>14</v>
      </c>
      <c r="S10" s="702">
        <f t="shared" si="0"/>
        <v>95</v>
      </c>
      <c r="T10" s="701" t="s">
        <v>14</v>
      </c>
      <c r="U10" s="702">
        <f t="shared" si="1"/>
        <v>95</v>
      </c>
      <c r="V10" s="701" t="s">
        <v>14</v>
      </c>
      <c r="W10" s="702">
        <f t="shared" si="2"/>
        <v>100</v>
      </c>
      <c r="X10" s="703"/>
      <c r="Y10" s="3560"/>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15">
      <c r="A15" s="391" t="s">
        <v>1689</v>
      </c>
      <c r="B15" s="61" t="s">
        <v>1776</v>
      </c>
      <c r="C15" s="1895" t="str">
        <f>估价对象房地状况!C4</f>
        <v>一般</v>
      </c>
      <c r="D15" s="392">
        <v>100</v>
      </c>
      <c r="E15" s="393" t="s">
        <v>3396</v>
      </c>
      <c r="F15" s="394">
        <f>SUMIF(76:76,E16,77:77)-SUMIF(76:76,C16,77:77)+100</f>
        <v>100</v>
      </c>
      <c r="G15" s="393" t="s">
        <v>3396</v>
      </c>
      <c r="H15" s="392">
        <f>SUMIF(76:76,G16,77:77)-SUMIF(76:76,C16,77:77)+100</f>
        <v>100</v>
      </c>
      <c r="I15" s="393" t="s">
        <v>3396</v>
      </c>
      <c r="J15" s="392">
        <f>SUMIF(76:76,I16,77:77)-SUMIF(76:76,C16,77:77)+100</f>
        <v>100</v>
      </c>
      <c r="K15" s="563">
        <v>2</v>
      </c>
      <c r="L15" s="2715"/>
      <c r="M15" s="2709"/>
      <c r="N15" s="2709"/>
      <c r="O15" s="2709"/>
      <c r="P15" s="3664" t="s">
        <v>1690</v>
      </c>
      <c r="Q15" s="1352" t="str">
        <f t="shared" si="6"/>
        <v>商业繁华度</v>
      </c>
      <c r="R15" s="705" t="s">
        <v>14</v>
      </c>
      <c r="S15" s="706">
        <f t="shared" si="0"/>
        <v>100</v>
      </c>
      <c r="T15" s="705" t="s">
        <v>14</v>
      </c>
      <c r="U15" s="706">
        <f t="shared" si="1"/>
        <v>100</v>
      </c>
      <c r="V15" s="705" t="s">
        <v>14</v>
      </c>
      <c r="W15" s="706">
        <f t="shared" si="2"/>
        <v>100</v>
      </c>
      <c r="X15" s="1355"/>
      <c r="Y15" s="3666" t="s">
        <v>1690</v>
      </c>
      <c r="Z15" s="1356" t="str">
        <f t="shared" si="7"/>
        <v>商业繁华度</v>
      </c>
      <c r="AA15" s="1353">
        <f t="shared" si="3"/>
        <v>1</v>
      </c>
      <c r="AB15" s="1353">
        <f t="shared" si="4"/>
        <v>1</v>
      </c>
      <c r="AC15" s="1353">
        <f t="shared" si="5"/>
        <v>1</v>
      </c>
    </row>
    <row r="16" spans="1:29" ht="15">
      <c r="A16" s="379"/>
      <c r="B16" s="397"/>
      <c r="C16" s="398" t="s">
        <v>3396</v>
      </c>
      <c r="D16" s="399"/>
      <c r="E16" s="398" t="s">
        <v>3396</v>
      </c>
      <c r="F16" s="400"/>
      <c r="G16" s="398" t="s">
        <v>3396</v>
      </c>
      <c r="H16" s="401"/>
      <c r="I16" s="398" t="s">
        <v>3396</v>
      </c>
      <c r="J16" s="399"/>
      <c r="K16" s="564"/>
      <c r="L16" s="2715"/>
      <c r="M16" s="2709"/>
      <c r="N16" s="2709"/>
      <c r="O16" s="2709"/>
      <c r="P16" s="3665"/>
      <c r="Q16" s="1352"/>
      <c r="R16" s="705"/>
      <c r="S16" s="706"/>
      <c r="T16" s="705"/>
      <c r="U16" s="706"/>
      <c r="V16" s="705"/>
      <c r="W16" s="706"/>
      <c r="X16" s="1355"/>
      <c r="Y16" s="3667"/>
      <c r="Z16" s="1356"/>
      <c r="AA16" s="1353">
        <v>1</v>
      </c>
      <c r="AB16" s="1353">
        <v>1</v>
      </c>
      <c r="AC16" s="1353">
        <v>1</v>
      </c>
    </row>
    <row r="17" spans="1:29" ht="15">
      <c r="A17" s="379"/>
      <c r="B17" s="402" t="s">
        <v>1258</v>
      </c>
      <c r="C17" s="1899" t="str">
        <f>估价对象房地状况!C6</f>
        <v>一般</v>
      </c>
      <c r="D17" s="401">
        <v>100</v>
      </c>
      <c r="E17" s="403" t="s">
        <v>3396</v>
      </c>
      <c r="F17" s="404">
        <f>SUMIF(78:78,E18,79:79)-SUMIF(78:78,C18,79:79)+100</f>
        <v>100</v>
      </c>
      <c r="G17" s="403" t="s">
        <v>3396</v>
      </c>
      <c r="H17" s="406">
        <f>SUMIF(78:78,G18,79:79)-SUMIF(78:78,C18,79:79)+100</f>
        <v>100</v>
      </c>
      <c r="I17" s="403" t="s">
        <v>3396</v>
      </c>
      <c r="J17" s="406">
        <f>SUMIF(78:78,I18,79:79)-SUMIF(78:78,C18,79:79)+100</f>
        <v>100</v>
      </c>
      <c r="K17" s="563">
        <v>2</v>
      </c>
      <c r="L17" s="2715"/>
      <c r="M17" s="2709"/>
      <c r="N17" s="2709"/>
      <c r="O17" s="2709"/>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0" t="s">
        <v>3396</v>
      </c>
      <c r="D18" s="401"/>
      <c r="E18" s="1902" t="s">
        <v>3396</v>
      </c>
      <c r="F18" s="404"/>
      <c r="G18" s="1902" t="s">
        <v>3396</v>
      </c>
      <c r="H18" s="399"/>
      <c r="I18" s="1902" t="s">
        <v>3396</v>
      </c>
      <c r="J18" s="399"/>
      <c r="K18" s="564"/>
      <c r="L18" s="2715"/>
      <c r="M18" s="2709"/>
      <c r="N18" s="2709"/>
      <c r="O18" s="2709"/>
      <c r="P18" s="3665"/>
      <c r="Q18" s="1352"/>
      <c r="R18" s="705"/>
      <c r="S18" s="706"/>
      <c r="T18" s="705"/>
      <c r="U18" s="706"/>
      <c r="V18" s="705"/>
      <c r="W18" s="706"/>
      <c r="X18" s="1355"/>
      <c r="Y18" s="3667"/>
      <c r="Z18" s="1356"/>
      <c r="AA18" s="1353">
        <v>1</v>
      </c>
      <c r="AB18" s="1353">
        <v>1</v>
      </c>
      <c r="AC18" s="1353">
        <v>1</v>
      </c>
    </row>
    <row r="19" spans="1:29" ht="15">
      <c r="A19" s="379"/>
      <c r="B19" s="402" t="s">
        <v>1777</v>
      </c>
      <c r="C19" s="1899" t="str">
        <f>估价对象房地状况!C7</f>
        <v>一般</v>
      </c>
      <c r="D19" s="406">
        <v>100</v>
      </c>
      <c r="E19" s="408" t="s">
        <v>3396</v>
      </c>
      <c r="F19" s="409">
        <f>SUMIF(80:80,E20,81:81)-SUMIF(80:80,C20,81:81)+100</f>
        <v>100</v>
      </c>
      <c r="G19" s="408" t="s">
        <v>3396</v>
      </c>
      <c r="H19" s="401">
        <f>SUMIF(80:80,G20,81:81)-SUMIF(80:80,C20,81:81)+100</f>
        <v>100</v>
      </c>
      <c r="I19" s="408" t="s">
        <v>3396</v>
      </c>
      <c r="J19" s="401">
        <f>SUMIF(80:80,I20,81:81)-SUMIF(80:80,C20,81:81)+100</f>
        <v>100</v>
      </c>
      <c r="K19" s="563">
        <v>2</v>
      </c>
      <c r="L19" s="2715"/>
      <c r="M19" s="2709"/>
      <c r="N19" s="2709"/>
      <c r="O19" s="2709"/>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t="s">
        <v>3396</v>
      </c>
      <c r="D20" s="399"/>
      <c r="E20" s="1897" t="s">
        <v>3396</v>
      </c>
      <c r="F20" s="400"/>
      <c r="G20" s="1897" t="s">
        <v>3396</v>
      </c>
      <c r="H20" s="399"/>
      <c r="I20" s="1897" t="s">
        <v>3396</v>
      </c>
      <c r="J20" s="399"/>
      <c r="K20" s="564"/>
      <c r="L20" s="2715"/>
      <c r="M20" s="2709"/>
      <c r="N20" s="2709"/>
      <c r="O20" s="2709"/>
      <c r="P20" s="3665"/>
      <c r="Q20" s="1352"/>
      <c r="R20" s="705"/>
      <c r="S20" s="706"/>
      <c r="T20" s="705"/>
      <c r="U20" s="706"/>
      <c r="V20" s="705"/>
      <c r="W20" s="706"/>
      <c r="X20" s="1355"/>
      <c r="Y20" s="3667"/>
      <c r="Z20" s="1356"/>
      <c r="AA20" s="1353">
        <v>1</v>
      </c>
      <c r="AB20" s="1353">
        <v>1</v>
      </c>
      <c r="AC20" s="1353">
        <v>1</v>
      </c>
    </row>
    <row r="21" spans="1:29" ht="15">
      <c r="A21" s="379"/>
      <c r="B21" s="1131" t="s">
        <v>1778</v>
      </c>
      <c r="C21" s="1899" t="str">
        <f>估价对象房地状况!C8</f>
        <v>七通</v>
      </c>
      <c r="D21" s="406">
        <v>100</v>
      </c>
      <c r="E21" s="408" t="s">
        <v>3493</v>
      </c>
      <c r="F21" s="409">
        <f>SUMIF(82:82,E22,83:83)-SUMIF(82:82,C22,83:83)+100</f>
        <v>100</v>
      </c>
      <c r="G21" s="408" t="s">
        <v>3493</v>
      </c>
      <c r="H21" s="401">
        <f>SUMIF(82:82,G22,83:83)-SUMIF(82:82,C22,83:83)+100</f>
        <v>100</v>
      </c>
      <c r="I21" s="408" t="s">
        <v>3493</v>
      </c>
      <c r="J21" s="401">
        <f>SUMIF(82:82,I22,83:83)-SUMIF(82:82,C22,83:83)+100</f>
        <v>100</v>
      </c>
      <c r="K21" s="563">
        <v>1</v>
      </c>
      <c r="L21" s="2715"/>
      <c r="M21" s="2709"/>
      <c r="N21" s="2709"/>
      <c r="O21" s="2709"/>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0" t="s">
        <v>3493</v>
      </c>
      <c r="D22" s="399"/>
      <c r="E22" s="398" t="s">
        <v>3493</v>
      </c>
      <c r="F22" s="400"/>
      <c r="G22" s="398" t="s">
        <v>3493</v>
      </c>
      <c r="H22" s="399"/>
      <c r="I22" s="398" t="s">
        <v>3493</v>
      </c>
      <c r="J22" s="399"/>
      <c r="K22" s="1130"/>
      <c r="L22" s="2715"/>
      <c r="M22" s="2709"/>
      <c r="N22" s="2709"/>
      <c r="O22" s="2709"/>
      <c r="P22" s="3665"/>
      <c r="Q22" s="1352"/>
      <c r="R22" s="705"/>
      <c r="S22" s="706"/>
      <c r="T22" s="705"/>
      <c r="U22" s="706"/>
      <c r="V22" s="705"/>
      <c r="W22" s="706"/>
      <c r="X22" s="1355"/>
      <c r="Y22" s="3667"/>
      <c r="Z22" s="1356"/>
      <c r="AA22" s="1353">
        <v>1</v>
      </c>
      <c r="AB22" s="1353">
        <v>1</v>
      </c>
      <c r="AC22" s="1353">
        <v>1</v>
      </c>
    </row>
    <row r="23" spans="1:29" ht="15">
      <c r="A23" s="379"/>
      <c r="B23" s="402" t="s">
        <v>1260</v>
      </c>
      <c r="C23" s="1954" t="str">
        <f>估价对象房地状况!C9</f>
        <v>较好</v>
      </c>
      <c r="D23" s="401">
        <v>100</v>
      </c>
      <c r="E23" s="403" t="s">
        <v>3401</v>
      </c>
      <c r="F23" s="404">
        <f>SUMIF(84:84,E24,85:85)-SUMIF(84:84,C24,85:85)+100</f>
        <v>100</v>
      </c>
      <c r="G23" s="403" t="s">
        <v>3401</v>
      </c>
      <c r="H23" s="401">
        <f>SUMIF(84:84,G24,85:85)-SUMIF(84:84,C24,85:85)+100</f>
        <v>100</v>
      </c>
      <c r="I23" s="403" t="s">
        <v>3401</v>
      </c>
      <c r="J23" s="401">
        <f>SUMIF(84:84,I24,85:85)-SUMIF(84:84,C24,85:85)+100</f>
        <v>100</v>
      </c>
      <c r="K23" s="563">
        <v>2</v>
      </c>
      <c r="L23" s="2715"/>
      <c r="M23" s="2709"/>
      <c r="N23" s="2709"/>
      <c r="O23" s="2709"/>
      <c r="P23" s="3665"/>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t="s">
        <v>3401</v>
      </c>
      <c r="D24" s="399"/>
      <c r="E24" s="1897" t="s">
        <v>3401</v>
      </c>
      <c r="F24" s="400"/>
      <c r="G24" s="1897" t="s">
        <v>3401</v>
      </c>
      <c r="H24" s="399"/>
      <c r="I24" s="1897" t="s">
        <v>3401</v>
      </c>
      <c r="J24" s="399"/>
      <c r="K24" s="564"/>
      <c r="L24" s="2715"/>
      <c r="M24" s="2709"/>
      <c r="N24" s="2709"/>
      <c r="O24" s="2709"/>
      <c r="P24" s="3665"/>
      <c r="Q24" s="1352"/>
      <c r="R24" s="705"/>
      <c r="S24" s="706"/>
      <c r="T24" s="705"/>
      <c r="U24" s="706"/>
      <c r="V24" s="705"/>
      <c r="W24" s="706"/>
      <c r="X24" s="1355"/>
      <c r="Y24" s="3667"/>
      <c r="Z24" s="1356"/>
      <c r="AA24" s="1353">
        <v>1</v>
      </c>
      <c r="AB24" s="1353">
        <v>1</v>
      </c>
      <c r="AC24" s="1353">
        <v>1</v>
      </c>
    </row>
    <row r="25" spans="1:29" ht="15">
      <c r="A25" s="379"/>
      <c r="B25" s="375" t="s">
        <v>1779</v>
      </c>
      <c r="C25" s="565" t="s">
        <v>3422</v>
      </c>
      <c r="D25" s="386">
        <v>100</v>
      </c>
      <c r="E25" s="565" t="s">
        <v>3442</v>
      </c>
      <c r="F25" s="412">
        <f>SUMIF(86:86,E25,87:87)-SUMIF(86:86,C25,87:87)+100</f>
        <v>98</v>
      </c>
      <c r="G25" s="565" t="s">
        <v>3442</v>
      </c>
      <c r="H25" s="386">
        <f>SUMIF(86:86,G25,87:87)-SUMIF(86:86,C25,87:87)+100</f>
        <v>98</v>
      </c>
      <c r="I25" s="565" t="s">
        <v>3442</v>
      </c>
      <c r="J25" s="386">
        <f>SUMIF(86:86,I25,87:87)-SUMIF(86:86,C25,87:87)+100</f>
        <v>98</v>
      </c>
      <c r="K25" s="561">
        <v>2</v>
      </c>
      <c r="L25" s="2715"/>
      <c r="M25" s="2709"/>
      <c r="N25" s="2709"/>
      <c r="O25" s="2709"/>
      <c r="P25" s="3665"/>
      <c r="Q25" s="1352" t="str">
        <f t="shared" ref="Q25:Q46" si="11">B25</f>
        <v>临街状况</v>
      </c>
      <c r="R25" s="705" t="s">
        <v>14</v>
      </c>
      <c r="S25" s="706">
        <f>F25</f>
        <v>98</v>
      </c>
      <c r="T25" s="705" t="s">
        <v>14</v>
      </c>
      <c r="U25" s="706">
        <f>H25</f>
        <v>98</v>
      </c>
      <c r="V25" s="705" t="s">
        <v>14</v>
      </c>
      <c r="W25" s="706">
        <f>J25</f>
        <v>98</v>
      </c>
      <c r="X25" s="1355"/>
      <c r="Y25" s="3667"/>
      <c r="Z25" s="1356" t="str">
        <f>Q25</f>
        <v>临街状况</v>
      </c>
      <c r="AA25" s="1353">
        <f t="shared" si="3"/>
        <v>1.0204081632653061</v>
      </c>
      <c r="AB25" s="1353">
        <f t="shared" si="4"/>
        <v>1.0204081632653061</v>
      </c>
      <c r="AC25" s="1353">
        <f t="shared" si="5"/>
        <v>1.0204081632653061</v>
      </c>
    </row>
    <row r="26" spans="1:29" ht="15">
      <c r="A26" s="379"/>
      <c r="B26" s="1133" t="s">
        <v>1780</v>
      </c>
      <c r="C26" s="3463" t="s">
        <v>3494</v>
      </c>
      <c r="D26" s="386">
        <v>100</v>
      </c>
      <c r="E26" s="3463" t="s">
        <v>3494</v>
      </c>
      <c r="F26" s="412">
        <f>SUMIF(88:88,E26,89:89)-SUMIF(88:88,C26,89:89)+100</f>
        <v>100</v>
      </c>
      <c r="G26" s="3463" t="s">
        <v>3494</v>
      </c>
      <c r="H26" s="386">
        <f>SUMIF(88:88,G26,89:89)-SUMIF(88:88,C26,89:89)+100</f>
        <v>100</v>
      </c>
      <c r="I26" s="3463" t="s">
        <v>3494</v>
      </c>
      <c r="J26" s="386">
        <f>SUMIF(88:88,I26,89:89)-SUMIF(88:88,C26,89:89)+100</f>
        <v>100</v>
      </c>
      <c r="K26" s="562"/>
      <c r="L26" s="2715"/>
      <c r="M26" s="2709"/>
      <c r="N26" s="2709"/>
      <c r="O26" s="2709"/>
      <c r="P26" s="3665"/>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1781</v>
      </c>
      <c r="C27" s="1955" t="s">
        <v>3396</v>
      </c>
      <c r="D27" s="413">
        <v>100</v>
      </c>
      <c r="E27" s="1955" t="s">
        <v>3451</v>
      </c>
      <c r="F27" s="415">
        <f>SUMIF(90:90,E27,91:91)-SUMIF(90:90,C27,91:91)+100</f>
        <v>105</v>
      </c>
      <c r="G27" s="1955" t="s">
        <v>3451</v>
      </c>
      <c r="H27" s="413">
        <f>SUMIF(90:90,G27,91:91)-SUMIF(90:90,C27,91:91)+100</f>
        <v>105</v>
      </c>
      <c r="I27" s="1955" t="s">
        <v>3451</v>
      </c>
      <c r="J27" s="413">
        <f>SUMIF(90:90,I27,91:91)-SUMIF(90:90,C27,91:91)+100</f>
        <v>105</v>
      </c>
      <c r="K27" s="561">
        <v>5</v>
      </c>
      <c r="L27" s="2710"/>
      <c r="M27" s="2711"/>
      <c r="N27" s="2711"/>
      <c r="O27" s="2711"/>
      <c r="P27" s="3665"/>
      <c r="Q27" s="1343" t="str">
        <f t="shared" si="11"/>
        <v>人流量</v>
      </c>
      <c r="R27" s="701" t="s">
        <v>14</v>
      </c>
      <c r="S27" s="702">
        <f>F27</f>
        <v>105</v>
      </c>
      <c r="T27" s="701" t="s">
        <v>14</v>
      </c>
      <c r="U27" s="702">
        <f>H27</f>
        <v>105</v>
      </c>
      <c r="V27" s="701" t="s">
        <v>14</v>
      </c>
      <c r="W27" s="702">
        <f>J27</f>
        <v>105</v>
      </c>
      <c r="X27" s="703"/>
      <c r="Y27" s="3667"/>
      <c r="Z27" s="52" t="str">
        <f>Q27</f>
        <v>人流量</v>
      </c>
      <c r="AA27" s="1353">
        <f>D27/F27</f>
        <v>0.95238095238095233</v>
      </c>
      <c r="AB27" s="1353">
        <f>D27/H27</f>
        <v>0.95238095238095233</v>
      </c>
      <c r="AC27" s="1353">
        <f>D27/J27</f>
        <v>0.95238095238095233</v>
      </c>
    </row>
    <row r="28" spans="1:29" ht="15">
      <c r="A28" s="379"/>
      <c r="B28" s="375" t="s">
        <v>1782</v>
      </c>
      <c r="C28" s="565" t="s">
        <v>3495</v>
      </c>
      <c r="D28" s="386">
        <v>100</v>
      </c>
      <c r="E28" s="565" t="s">
        <v>3495</v>
      </c>
      <c r="F28" s="412">
        <f>SUMIF(92:92,E28,93:93)-SUMIF(92:92,C28,93:93)+100</f>
        <v>100</v>
      </c>
      <c r="G28" s="565" t="s">
        <v>3495</v>
      </c>
      <c r="H28" s="386">
        <f>SUMIF(92:92,G28,93:93)-SUMIF(92:92,C28,93:93)+100</f>
        <v>100</v>
      </c>
      <c r="I28" s="565" t="s">
        <v>3495</v>
      </c>
      <c r="J28" s="386">
        <f>SUMIF(92:92,I28,93:93)-SUMIF(92:92,C28,93:93)+100</f>
        <v>100</v>
      </c>
      <c r="K28" s="562"/>
      <c r="L28" s="2715"/>
      <c r="M28" s="2709"/>
      <c r="N28" s="2709"/>
      <c r="O28" s="2709"/>
      <c r="P28" s="366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65"/>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t="s">
        <v>3420</v>
      </c>
      <c r="N31" s="2709"/>
      <c r="O31" s="2709"/>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1693</v>
      </c>
      <c r="B32" s="63" t="s">
        <v>1783</v>
      </c>
      <c r="C32" s="1909" t="s">
        <v>3387</v>
      </c>
      <c r="D32" s="418">
        <v>100</v>
      </c>
      <c r="E32" s="1909" t="s">
        <v>3460</v>
      </c>
      <c r="F32" s="412">
        <f>SUMIF(100:100,E32,101:101)-SUMIF(100:100,C32,101:101)+100</f>
        <v>115</v>
      </c>
      <c r="G32" s="1909" t="s">
        <v>3460</v>
      </c>
      <c r="H32" s="386">
        <f>SUMIF(100:100,G32,101:101)-SUMIF(100:100,C32,101:101)+100</f>
        <v>115</v>
      </c>
      <c r="I32" s="1909" t="s">
        <v>3460</v>
      </c>
      <c r="J32" s="418">
        <f>SUMIF(100:100,I32,101:101)-SUMIF(100:100,C32,101:101)+100</f>
        <v>115</v>
      </c>
      <c r="K32" s="561">
        <v>15</v>
      </c>
      <c r="L32" s="2715"/>
      <c r="M32" s="2709"/>
      <c r="N32" s="2709"/>
      <c r="O32" s="2709"/>
      <c r="P32" s="3668" t="s">
        <v>1695</v>
      </c>
      <c r="Q32" s="1352" t="str">
        <f t="shared" si="11"/>
        <v>商业类型</v>
      </c>
      <c r="R32" s="705" t="s">
        <v>14</v>
      </c>
      <c r="S32" s="706">
        <f t="shared" si="12"/>
        <v>115</v>
      </c>
      <c r="T32" s="705" t="s">
        <v>14</v>
      </c>
      <c r="U32" s="706">
        <f t="shared" si="13"/>
        <v>115</v>
      </c>
      <c r="V32" s="705" t="s">
        <v>14</v>
      </c>
      <c r="W32" s="706">
        <f t="shared" si="14"/>
        <v>115</v>
      </c>
      <c r="X32" s="1355"/>
      <c r="Y32" s="3671"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'数据-汇总表'!G27</f>
        <v>820.57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4"/>
      <c r="M33" s="2716"/>
      <c r="N33" s="2716"/>
      <c r="O33" s="2716"/>
      <c r="P33" s="3669"/>
      <c r="Q33" s="707" t="str">
        <f t="shared" si="11"/>
        <v>项目建筑规模</v>
      </c>
      <c r="R33" s="708" t="s">
        <v>14</v>
      </c>
      <c r="S33" s="709">
        <f t="shared" si="12"/>
        <v>109</v>
      </c>
      <c r="T33" s="708" t="s">
        <v>14</v>
      </c>
      <c r="U33" s="709">
        <f t="shared" si="13"/>
        <v>112</v>
      </c>
      <c r="V33" s="708" t="s">
        <v>14</v>
      </c>
      <c r="W33" s="709">
        <f t="shared" si="14"/>
        <v>109</v>
      </c>
      <c r="X33" s="710"/>
      <c r="Y33" s="3671"/>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1" t="s">
        <v>3463</v>
      </c>
      <c r="D34" s="386">
        <v>100</v>
      </c>
      <c r="E34" s="1911" t="s">
        <v>3463</v>
      </c>
      <c r="F34" s="412">
        <f>SUMIF(105:105,E34,106:106)-SUMIF(105:105,C34,106:106)+100</f>
        <v>100</v>
      </c>
      <c r="G34" s="1911" t="s">
        <v>3463</v>
      </c>
      <c r="H34" s="386">
        <f>SUMIF(105:105,G34,106:106)-SUMIF(105:105,C34,106:106)+100</f>
        <v>100</v>
      </c>
      <c r="I34" s="1911" t="s">
        <v>3463</v>
      </c>
      <c r="J34" s="386">
        <f>SUMIF(105:105,I34,106:106)-SUMIF(105:105,C34,106:106)+100</f>
        <v>100</v>
      </c>
      <c r="K34" s="561">
        <v>2</v>
      </c>
      <c r="L34" s="2715"/>
      <c r="M34" s="2709"/>
      <c r="N34" s="2709"/>
      <c r="O34" s="2709"/>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1784</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5"/>
      <c r="M35" s="2709"/>
      <c r="N35" s="2709"/>
      <c r="O35" s="2709"/>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5"/>
      <c r="M36" s="2709"/>
      <c r="N36" s="2709"/>
      <c r="O36" s="2709"/>
      <c r="P36" s="3669"/>
      <c r="Q36" s="1352" t="str">
        <f t="shared" si="11"/>
        <v>成新度</v>
      </c>
      <c r="R36" s="705" t="s">
        <v>14</v>
      </c>
      <c r="S36" s="706">
        <f t="shared" si="12"/>
        <v>99</v>
      </c>
      <c r="T36" s="705" t="s">
        <v>14</v>
      </c>
      <c r="U36" s="706">
        <f t="shared" si="13"/>
        <v>98</v>
      </c>
      <c r="V36" s="705" t="s">
        <v>14</v>
      </c>
      <c r="W36" s="706">
        <f t="shared" si="14"/>
        <v>99</v>
      </c>
      <c r="X36" s="1355"/>
      <c r="Y36" s="3671"/>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5" t="s">
        <v>3493</v>
      </c>
      <c r="D37" s="127">
        <v>100</v>
      </c>
      <c r="E37" s="1905" t="s">
        <v>3493</v>
      </c>
      <c r="F37" s="412">
        <f>SUMIF(112:112,E37,113:113)-SUMIF(112:112,C37,113:113)+100</f>
        <v>100</v>
      </c>
      <c r="G37" s="1905" t="s">
        <v>3493</v>
      </c>
      <c r="H37" s="386">
        <f>SUMIF(112:112,G37,113:113)-SUMIF(112:112,C37,113:113)+100</f>
        <v>100</v>
      </c>
      <c r="I37" s="1905" t="s">
        <v>3496</v>
      </c>
      <c r="J37" s="386">
        <f>SUMIF(112:112,I37,113:113)-SUMIF(112:112,C37,113:113)+100</f>
        <v>98</v>
      </c>
      <c r="K37" s="561">
        <v>1</v>
      </c>
      <c r="L37" s="2710"/>
      <c r="M37" s="2711"/>
      <c r="N37" s="2711"/>
      <c r="O37" s="2711"/>
      <c r="P37" s="3669"/>
      <c r="Q37" s="1343" t="str">
        <f t="shared" si="11"/>
        <v>市政基础设施</v>
      </c>
      <c r="R37" s="701" t="s">
        <v>14</v>
      </c>
      <c r="S37" s="702">
        <f t="shared" si="12"/>
        <v>100</v>
      </c>
      <c r="T37" s="701" t="s">
        <v>14</v>
      </c>
      <c r="U37" s="702">
        <f t="shared" si="13"/>
        <v>100</v>
      </c>
      <c r="V37" s="701" t="s">
        <v>14</v>
      </c>
      <c r="W37" s="702">
        <f t="shared" si="14"/>
        <v>98</v>
      </c>
      <c r="X37" s="703"/>
      <c r="Y37" s="3671"/>
      <c r="Z37" s="52" t="str">
        <f t="shared" si="15"/>
        <v>市政基础设施</v>
      </c>
      <c r="AA37" s="704">
        <f t="shared" si="3"/>
        <v>1</v>
      </c>
      <c r="AB37" s="704">
        <f t="shared" si="4"/>
        <v>1</v>
      </c>
      <c r="AC37" s="704">
        <f t="shared" si="5"/>
        <v>1.0204081632653061</v>
      </c>
    </row>
    <row r="38" spans="1:29" ht="15">
      <c r="A38" s="423"/>
      <c r="B38" s="375" t="s">
        <v>1787</v>
      </c>
      <c r="C38" s="1905" t="s">
        <v>3471</v>
      </c>
      <c r="D38" s="386">
        <v>100</v>
      </c>
      <c r="E38" s="1905" t="s">
        <v>3471</v>
      </c>
      <c r="F38" s="412">
        <f>SUMIF(114:114,E38,115:115)-SUMIF(114:114,C38,115:115)+100</f>
        <v>100</v>
      </c>
      <c r="G38" s="1905" t="s">
        <v>3471</v>
      </c>
      <c r="H38" s="386">
        <f>SUMIF(114:114,G38,115:115)-SUMIF(114:114,C38,115:115)+100</f>
        <v>100</v>
      </c>
      <c r="I38" s="1905" t="s">
        <v>3473</v>
      </c>
      <c r="J38" s="386">
        <f>SUMIF(114:114,I38,115:115)-SUMIF(114:114,C38,115:115)+100</f>
        <v>98</v>
      </c>
      <c r="K38" s="561">
        <v>2</v>
      </c>
      <c r="L38" s="2715"/>
      <c r="M38" s="2709"/>
      <c r="N38" s="2709"/>
      <c r="O38" s="2709"/>
      <c r="P38" s="3669" t="s">
        <v>1695</v>
      </c>
      <c r="Q38" s="1352" t="str">
        <f t="shared" si="11"/>
        <v>业态</v>
      </c>
      <c r="R38" s="705" t="s">
        <v>14</v>
      </c>
      <c r="S38" s="706">
        <f t="shared" si="12"/>
        <v>100</v>
      </c>
      <c r="T38" s="705" t="s">
        <v>14</v>
      </c>
      <c r="U38" s="706">
        <f t="shared" si="13"/>
        <v>100</v>
      </c>
      <c r="V38" s="705" t="s">
        <v>14</v>
      </c>
      <c r="W38" s="706">
        <f t="shared" si="14"/>
        <v>98</v>
      </c>
      <c r="X38" s="1355"/>
      <c r="Y38" s="3671" t="s">
        <v>1695</v>
      </c>
      <c r="Z38" s="1356" t="str">
        <f t="shared" si="15"/>
        <v>业态</v>
      </c>
      <c r="AA38" s="1353">
        <f t="shared" si="3"/>
        <v>1</v>
      </c>
      <c r="AB38" s="1353">
        <f t="shared" si="4"/>
        <v>1</v>
      </c>
      <c r="AC38" s="1353">
        <f t="shared" si="5"/>
        <v>1.0204081632653061</v>
      </c>
    </row>
    <row r="39" spans="1:29" ht="15">
      <c r="A39" s="423"/>
      <c r="B39" s="375" t="s">
        <v>1788</v>
      </c>
      <c r="C39" s="1905" t="s">
        <v>3476</v>
      </c>
      <c r="D39" s="386">
        <v>100</v>
      </c>
      <c r="E39" s="1905" t="s">
        <v>3476</v>
      </c>
      <c r="F39" s="412">
        <f>SUMIF(116:116,E39,117:117)-SUMIF(116:116,C39,117:117)+100</f>
        <v>100</v>
      </c>
      <c r="G39" s="1905" t="s">
        <v>3476</v>
      </c>
      <c r="H39" s="386">
        <f>SUMIF(116:116,G39,117:117)-SUMIF(116:116,C39,117:117)+100</f>
        <v>100</v>
      </c>
      <c r="I39" s="1905" t="s">
        <v>3476</v>
      </c>
      <c r="J39" s="386">
        <f>SUMIF(116:116,I39,117:117)-SUMIF(116:116,C39,117:117)+100</f>
        <v>100</v>
      </c>
      <c r="K39" s="561">
        <v>5</v>
      </c>
      <c r="L39" s="2715"/>
      <c r="M39" s="2709"/>
      <c r="N39" s="2709"/>
      <c r="O39" s="2709"/>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1790</v>
      </c>
      <c r="C41" s="565" t="s">
        <v>3396</v>
      </c>
      <c r="D41" s="386">
        <v>100</v>
      </c>
      <c r="E41" s="565" t="s">
        <v>3479</v>
      </c>
      <c r="F41" s="412">
        <f>SUMIF(120:120,E41,121:121)-SUMIF(120:120,C41,121:121)+100</f>
        <v>105</v>
      </c>
      <c r="G41" s="565" t="s">
        <v>3479</v>
      </c>
      <c r="H41" s="386">
        <f>SUMIF(120:120,G41,121:121)-SUMIF(120:120,C41,121:121)+100</f>
        <v>105</v>
      </c>
      <c r="I41" s="565" t="s">
        <v>3479</v>
      </c>
      <c r="J41" s="386">
        <f>SUMIF(120:120,I41,121:121)-SUMIF(120:120,C41,121:121)+100</f>
        <v>105</v>
      </c>
      <c r="K41" s="561">
        <v>5</v>
      </c>
      <c r="L41" s="2714"/>
      <c r="M41" s="2716"/>
      <c r="N41" s="2716"/>
      <c r="O41" s="2716"/>
      <c r="P41" s="3669"/>
      <c r="Q41" s="707" t="str">
        <f t="shared" si="11"/>
        <v>进深比</v>
      </c>
      <c r="R41" s="708" t="s">
        <v>14</v>
      </c>
      <c r="S41" s="709">
        <f t="shared" si="12"/>
        <v>105</v>
      </c>
      <c r="T41" s="708" t="s">
        <v>14</v>
      </c>
      <c r="U41" s="709">
        <f t="shared" si="13"/>
        <v>105</v>
      </c>
      <c r="V41" s="708" t="s">
        <v>14</v>
      </c>
      <c r="W41" s="709">
        <f t="shared" si="14"/>
        <v>105</v>
      </c>
      <c r="X41" s="710"/>
      <c r="Y41" s="3671"/>
      <c r="Z41" s="711" t="str">
        <f t="shared" si="15"/>
        <v>进深比</v>
      </c>
      <c r="AA41" s="1353">
        <f t="shared" si="3"/>
        <v>0.95238095238095233</v>
      </c>
      <c r="AB41" s="1353">
        <f t="shared" si="4"/>
        <v>0.95238095238095233</v>
      </c>
      <c r="AC41" s="1353">
        <f t="shared" si="5"/>
        <v>0.95238095238095233</v>
      </c>
    </row>
    <row r="42" spans="1:29" ht="15">
      <c r="A42" s="423"/>
      <c r="B42" s="375" t="s">
        <v>1791</v>
      </c>
      <c r="C42" s="1905" t="s">
        <v>3467</v>
      </c>
      <c r="D42" s="386">
        <v>100</v>
      </c>
      <c r="E42" s="1905" t="s">
        <v>3465</v>
      </c>
      <c r="F42" s="412">
        <f>SUMIF(122:122,E42,123:123)-SUMIF(122:122,C42,123:123)+100</f>
        <v>102</v>
      </c>
      <c r="G42" s="1905" t="s">
        <v>3467</v>
      </c>
      <c r="H42" s="386">
        <f>SUMIF(122:122,G42,123:123)-SUMIF(122:122,C42,123:123)+100</f>
        <v>100</v>
      </c>
      <c r="I42" s="1905" t="s">
        <v>3465</v>
      </c>
      <c r="J42" s="386">
        <f>SUMIF(122:122,I42,123:123)-SUMIF(122:122,C42,123:123)+100</f>
        <v>102</v>
      </c>
      <c r="K42" s="561">
        <v>2</v>
      </c>
      <c r="L42" s="2715"/>
      <c r="M42" s="2709"/>
      <c r="N42" s="2709"/>
      <c r="O42" s="2709"/>
      <c r="P42" s="3669"/>
      <c r="Q42" s="1352" t="str">
        <f t="shared" si="11"/>
        <v>内部装修</v>
      </c>
      <c r="R42" s="705" t="s">
        <v>14</v>
      </c>
      <c r="S42" s="706">
        <f t="shared" si="12"/>
        <v>102</v>
      </c>
      <c r="T42" s="705" t="s">
        <v>14</v>
      </c>
      <c r="U42" s="706">
        <f t="shared" si="13"/>
        <v>100</v>
      </c>
      <c r="V42" s="705" t="s">
        <v>14</v>
      </c>
      <c r="W42" s="706">
        <f t="shared" si="14"/>
        <v>102</v>
      </c>
      <c r="X42" s="1355"/>
      <c r="Y42" s="3671"/>
      <c r="Z42" s="1356" t="str">
        <f t="shared" si="15"/>
        <v>内部装修</v>
      </c>
      <c r="AA42" s="1353">
        <f t="shared" si="3"/>
        <v>0.98039215686274506</v>
      </c>
      <c r="AB42" s="1353">
        <f t="shared" si="4"/>
        <v>1</v>
      </c>
      <c r="AC42" s="1353">
        <f t="shared" si="5"/>
        <v>0.98039215686274506</v>
      </c>
    </row>
    <row r="43" spans="1:29" ht="15.75" thickBot="1">
      <c r="A43" s="423"/>
      <c r="B43" s="375" t="s">
        <v>1706</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15"/>
      <c r="M43" s="2709"/>
      <c r="N43" s="2709"/>
      <c r="O43" s="2709"/>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7"/>
      <c r="M47" s="2718"/>
      <c r="N47" s="2709"/>
      <c r="O47" s="2718"/>
      <c r="P47" s="3659" t="str">
        <f>A47</f>
        <v>成交单价（元/平方米）</v>
      </c>
      <c r="Q47" s="3659"/>
      <c r="R47" s="3673">
        <f>E47</f>
        <v>59890</v>
      </c>
      <c r="S47" s="3673"/>
      <c r="T47" s="3673">
        <f>G47</f>
        <v>58832</v>
      </c>
      <c r="U47" s="3673"/>
      <c r="V47" s="3673">
        <f>I47</f>
        <v>64451</v>
      </c>
      <c r="W47" s="3673"/>
      <c r="X47" s="690"/>
      <c r="Y47" s="712"/>
      <c r="Z47" s="690"/>
      <c r="AA47" s="690"/>
      <c r="AB47" s="690"/>
      <c r="AC47" s="690"/>
    </row>
    <row r="48" spans="1:29" ht="15.75" thickBot="1">
      <c r="A48" s="437" t="s">
        <v>1792</v>
      </c>
      <c r="B48" s="438"/>
      <c r="C48" s="1160">
        <f>R49</f>
        <v>46858</v>
      </c>
      <c r="D48" s="2315" t="s">
        <v>2136</v>
      </c>
      <c r="E48" s="1161">
        <f>R48</f>
        <v>46096</v>
      </c>
      <c r="F48" s="2316"/>
      <c r="G48" s="1160">
        <f>T48</f>
        <v>45409</v>
      </c>
      <c r="H48" s="2316"/>
      <c r="I48" s="1161">
        <f>V48</f>
        <v>49070</v>
      </c>
      <c r="J48" s="2316"/>
      <c r="K48" s="2318">
        <f>F48+H48+J48</f>
        <v>0</v>
      </c>
      <c r="L48" s="2717">
        <v>0.95</v>
      </c>
      <c r="M48" s="2718"/>
      <c r="N48" s="2709"/>
      <c r="O48" s="2718"/>
      <c r="P48" s="3659" t="str">
        <f>A48</f>
        <v>比较价值（元/平方米）</v>
      </c>
      <c r="Q48" s="3659"/>
      <c r="R48" s="3660">
        <f>IF(F1="售价",ROUND(PRODUCT(R47,AA7:AA46),0),ROUND(PRODUCT(R47,AA7:AA46),1))</f>
        <v>46096</v>
      </c>
      <c r="S48" s="3660"/>
      <c r="T48" s="3660">
        <f>IF(F1="售价",ROUND(PRODUCT(T47,AB7:AB46),0),ROUND(PRODUCT(T47,AB7:AB46),1))</f>
        <v>45409</v>
      </c>
      <c r="U48" s="3660"/>
      <c r="V48" s="3660">
        <f>IF(F1="售价",ROUND(PRODUCT(V47,AC7:AC46),0),ROUND(PRODUCT(V47,AC7:AC46),1))</f>
        <v>49070</v>
      </c>
      <c r="W48" s="3660"/>
      <c r="X48" s="690"/>
      <c r="Y48" s="690"/>
      <c r="Z48" s="690"/>
      <c r="AA48" s="690"/>
      <c r="AB48" s="690"/>
      <c r="AC48" s="690"/>
    </row>
    <row r="49" spans="1:29" ht="15.75" thickBot="1">
      <c r="A49" s="441" t="s">
        <v>1793</v>
      </c>
      <c r="B49" s="442"/>
      <c r="C49" s="1163">
        <f>R49</f>
        <v>46858</v>
      </c>
      <c r="D49" s="1163"/>
      <c r="E49" s="1163"/>
      <c r="F49" s="1163"/>
      <c r="G49" s="1163"/>
      <c r="H49" s="1163"/>
      <c r="I49" s="1163"/>
      <c r="J49" s="1163"/>
      <c r="K49" s="715"/>
      <c r="L49" s="2717"/>
      <c r="M49" s="2718"/>
      <c r="N49" s="2709"/>
      <c r="O49" s="2718"/>
      <c r="P49" s="3661" t="str">
        <f>A49</f>
        <v>估价对象XX用房的比较价值（楼面单价，元/平方米）</v>
      </c>
      <c r="Q49" s="3662"/>
      <c r="R49" s="3663">
        <f>IF(F1="售价",ROUND(IF(D48="简单平均",AVERAGE(R48:V48),R48*F48+T48*H48+V48*J48),0),ROUND(IF(D48="简单平均",AVERAGE(R48:V48),R48*F48+T48*H48+V48*J48),1))</f>
        <v>46858</v>
      </c>
      <c r="S49" s="3663"/>
      <c r="T49" s="3663"/>
      <c r="U49" s="3663"/>
      <c r="V49" s="3663"/>
      <c r="W49" s="366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1794</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1795</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1797</v>
      </c>
      <c r="B57" s="690"/>
      <c r="C57" s="695"/>
      <c r="D57" s="695"/>
      <c r="E57" s="695"/>
      <c r="F57" s="696"/>
      <c r="G57" s="696"/>
      <c r="H57" s="695"/>
      <c r="I57" s="695"/>
      <c r="J57" s="695"/>
      <c r="K57" s="697"/>
      <c r="L57" s="942"/>
      <c r="M57" s="940"/>
      <c r="N57" s="940"/>
      <c r="O57" s="940"/>
      <c r="P57" s="2731"/>
      <c r="Q57" s="2732"/>
      <c r="R57" s="2718"/>
      <c r="S57" s="2718"/>
      <c r="T57" s="2718"/>
      <c r="U57" s="2718"/>
      <c r="V57" s="2718"/>
      <c r="W57" s="2718"/>
      <c r="X57" s="2718"/>
      <c r="Y57" s="2718"/>
      <c r="Z57" s="2718"/>
      <c r="AA57" s="2718"/>
      <c r="AB57" s="2718"/>
      <c r="AC57" s="2718"/>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3"/>
      <c r="Q58" s="2734"/>
      <c r="R58" s="2734"/>
      <c r="S58" s="2734"/>
      <c r="T58" s="2734"/>
      <c r="U58" s="2734"/>
      <c r="V58" s="2734"/>
      <c r="W58" s="2734"/>
      <c r="X58" s="2734"/>
      <c r="Y58" s="2734"/>
      <c r="Z58" s="2734"/>
      <c r="AA58" s="2734"/>
      <c r="AB58" s="2734"/>
      <c r="AC58" s="2734"/>
    </row>
    <row r="59" spans="1:29" s="108" customFormat="1" ht="15">
      <c r="A59" s="458"/>
      <c r="B59" s="459"/>
      <c r="C59" s="1183">
        <v>100</v>
      </c>
      <c r="D59" s="461">
        <v>100</v>
      </c>
      <c r="E59" s="461">
        <v>100</v>
      </c>
      <c r="F59" s="461">
        <v>100</v>
      </c>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1715</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1680</v>
      </c>
      <c r="B61" s="459"/>
      <c r="C61" s="471" t="s">
        <v>1775</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1718</v>
      </c>
      <c r="B63" s="477" t="s">
        <v>1684</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1687</v>
      </c>
      <c r="C65" s="532" t="s">
        <v>3488</v>
      </c>
      <c r="D65" s="532" t="s">
        <v>3490</v>
      </c>
      <c r="E65" s="3457" t="s">
        <v>3439</v>
      </c>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v>95</v>
      </c>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1</v>
      </c>
      <c r="E68" s="498">
        <v>2</v>
      </c>
      <c r="F68" s="498">
        <v>3</v>
      </c>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1689</v>
      </c>
      <c r="B76" s="477" t="s">
        <v>1719</v>
      </c>
      <c r="C76" s="522" t="s">
        <v>1720</v>
      </c>
      <c r="D76" s="522" t="s">
        <v>1721</v>
      </c>
      <c r="E76" s="522" t="s">
        <v>1722</v>
      </c>
      <c r="F76" s="522" t="s">
        <v>1723</v>
      </c>
      <c r="G76" s="522" t="s">
        <v>1724</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1725</v>
      </c>
      <c r="C78" s="527" t="s">
        <v>1720</v>
      </c>
      <c r="D78" s="527" t="s">
        <v>1721</v>
      </c>
      <c r="E78" s="527" t="s">
        <v>1722</v>
      </c>
      <c r="F78" s="527" t="s">
        <v>1723</v>
      </c>
      <c r="G78" s="527" t="s">
        <v>1724</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1726</v>
      </c>
      <c r="C80" s="527" t="s">
        <v>1720</v>
      </c>
      <c r="D80" s="527" t="s">
        <v>1721</v>
      </c>
      <c r="E80" s="527" t="s">
        <v>1722</v>
      </c>
      <c r="F80" s="527" t="s">
        <v>1723</v>
      </c>
      <c r="G80" s="527" t="s">
        <v>1724</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1778</v>
      </c>
      <c r="C82" s="608" t="s">
        <v>1798</v>
      </c>
      <c r="D82" s="608" t="s">
        <v>1799</v>
      </c>
      <c r="E82" s="608" t="s">
        <v>1800</v>
      </c>
      <c r="F82" s="608" t="s">
        <v>1801</v>
      </c>
      <c r="G82" s="608" t="s">
        <v>1802</v>
      </c>
      <c r="H82" s="488"/>
      <c r="I82" s="488"/>
      <c r="J82" s="488"/>
      <c r="K82" s="488"/>
      <c r="L82" s="488"/>
      <c r="M82" s="1129"/>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1732</v>
      </c>
      <c r="C84" s="527" t="s">
        <v>1720</v>
      </c>
      <c r="D84" s="527" t="s">
        <v>1721</v>
      </c>
      <c r="E84" s="527" t="s">
        <v>1722</v>
      </c>
      <c r="F84" s="527" t="s">
        <v>1723</v>
      </c>
      <c r="G84" s="527" t="s">
        <v>1724</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1803</v>
      </c>
      <c r="C86" s="3458" t="s">
        <v>3440</v>
      </c>
      <c r="D86" s="3458" t="s">
        <v>3441</v>
      </c>
      <c r="E86" s="3458" t="s">
        <v>3443</v>
      </c>
      <c r="F86" s="3458" t="s">
        <v>3444</v>
      </c>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8" t="s">
        <v>3445</v>
      </c>
      <c r="D88" s="3458" t="s">
        <v>3446</v>
      </c>
      <c r="E88" s="3458" t="s">
        <v>3447</v>
      </c>
      <c r="F88" s="3459" t="s">
        <v>3448</v>
      </c>
      <c r="G88" s="3458" t="s">
        <v>3449</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8" t="s">
        <v>3450</v>
      </c>
      <c r="D90" s="3458" t="s">
        <v>3452</v>
      </c>
      <c r="E90" s="3458" t="s">
        <v>3453</v>
      </c>
      <c r="F90" s="3458" t="s">
        <v>3454</v>
      </c>
      <c r="G90" s="3458" t="s">
        <v>3455</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3456</v>
      </c>
      <c r="D92" s="503" t="s">
        <v>3457</v>
      </c>
      <c r="E92" s="503" t="s">
        <v>3458</v>
      </c>
      <c r="F92" s="503" t="s">
        <v>3459</v>
      </c>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v>70</v>
      </c>
      <c r="E93" s="485">
        <v>60</v>
      </c>
      <c r="F93" s="485">
        <v>50</v>
      </c>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7"/>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1693</v>
      </c>
      <c r="B100" s="477" t="s">
        <v>1804</v>
      </c>
      <c r="C100" s="3460" t="s">
        <v>3461</v>
      </c>
      <c r="D100" s="3460" t="s">
        <v>3462</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100</v>
      </c>
      <c r="E103" s="544">
        <v>150</v>
      </c>
      <c r="F103" s="544">
        <v>200</v>
      </c>
      <c r="G103" s="544">
        <v>300</v>
      </c>
      <c r="H103" s="544">
        <v>500</v>
      </c>
      <c r="I103" s="544">
        <v>2000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1737</v>
      </c>
      <c r="C105" s="3458" t="s">
        <v>3464</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1739</v>
      </c>
      <c r="C107" s="3458" t="s">
        <v>3466</v>
      </c>
      <c r="D107" s="3458" t="s">
        <v>3468</v>
      </c>
      <c r="E107" s="3458" t="s">
        <v>3469</v>
      </c>
      <c r="F107" s="3461" t="s">
        <v>3470</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1805</v>
      </c>
      <c r="C114" s="3458" t="s">
        <v>3472</v>
      </c>
      <c r="D114" s="3458" t="s">
        <v>3474</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1806</v>
      </c>
      <c r="C116" s="3458" t="s">
        <v>3475</v>
      </c>
      <c r="D116" s="3458" t="s">
        <v>3477</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1808</v>
      </c>
      <c r="C120" s="3461" t="s">
        <v>3478</v>
      </c>
      <c r="D120" s="3461" t="s">
        <v>3480</v>
      </c>
      <c r="E120" s="3461" t="s">
        <v>3453</v>
      </c>
      <c r="F120" s="3461" t="s">
        <v>3481</v>
      </c>
      <c r="G120" s="3462" t="s">
        <v>3482</v>
      </c>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7"/>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3519</v>
      </c>
      <c r="C1" s="198"/>
      <c r="D1" s="198"/>
      <c r="E1" s="198"/>
      <c r="F1" s="198"/>
      <c r="G1" s="1126">
        <f>MATCH(B1,'数据-取费表'!A6:A16,0)+5</f>
        <v>6</v>
      </c>
    </row>
    <row r="2" spans="1:9" s="200" customFormat="1" ht="18" customHeight="1">
      <c r="A2" s="201" t="s">
        <v>1461</v>
      </c>
      <c r="B2" s="202">
        <f ca="1">IF(D2="——",C52,C52-E2)</f>
        <v>1122</v>
      </c>
      <c r="C2" s="199" t="s">
        <v>1462</v>
      </c>
      <c r="D2" s="1852" t="s">
        <v>43</v>
      </c>
      <c r="E2" s="1169"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13673</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581</v>
      </c>
      <c r="D5" s="211" t="s">
        <v>1468</v>
      </c>
      <c r="E5" s="212" t="s">
        <v>1469</v>
      </c>
      <c r="F5" s="212" t="s">
        <v>1470</v>
      </c>
      <c r="G5" s="213"/>
    </row>
    <row r="6" spans="1:9" s="214" customFormat="1" ht="13.5" customHeight="1">
      <c r="A6" s="778" t="s">
        <v>1471</v>
      </c>
      <c r="B6" s="215" t="s">
        <v>1472</v>
      </c>
      <c r="C6" s="216">
        <f>基准地价修正!B2</f>
        <v>548</v>
      </c>
      <c r="D6" s="217"/>
      <c r="E6" s="218"/>
      <c r="F6" s="218"/>
      <c r="G6" s="219"/>
    </row>
    <row r="7" spans="1:9" s="214" customFormat="1" ht="13.5" customHeight="1">
      <c r="A7" s="778" t="s">
        <v>1473</v>
      </c>
      <c r="B7" s="215" t="s">
        <v>1474</v>
      </c>
      <c r="C7" s="220">
        <f>ROUND(C6*F7,0)</f>
        <v>17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16</v>
      </c>
      <c r="D8" s="222"/>
      <c r="E8" s="220"/>
      <c r="F8" s="221"/>
      <c r="G8" s="1855" t="s">
        <v>3410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6" t="s">
        <v>3507</v>
      </c>
      <c r="H9" s="1137"/>
      <c r="I9" s="1857" t="s">
        <v>1478</v>
      </c>
    </row>
    <row r="10" spans="1:9" s="214" customFormat="1" ht="13.5" customHeight="1">
      <c r="A10" s="779" t="s">
        <v>356</v>
      </c>
      <c r="B10" s="224" t="s">
        <v>1479</v>
      </c>
      <c r="C10" s="225">
        <f ca="1">ROUND(D10*E10/10000,0)</f>
        <v>16</v>
      </c>
      <c r="D10" s="845">
        <f ca="1">IF(B1="",'数据-汇总表'!E6,IF(INDIRECT("'数据-取费表'!c"&amp;$G$1)="住宅",INDIRECT("'数据-取费表'!s"&amp;$G$1),INDIRECT("'数据-取费表'!k"&amp;$G$1)+INDIRECT("'数据-取费表'!s"&amp;$G$1)))</f>
        <v>820.57</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820.57</v>
      </c>
      <c r="E19" s="211">
        <f>'数据-取费表'!B31</f>
        <v>200</v>
      </c>
      <c r="F19" s="231"/>
      <c r="G19" s="1855" t="s">
        <v>3411</v>
      </c>
    </row>
    <row r="20" spans="1:7" s="214" customFormat="1" ht="13.5" customHeight="1">
      <c r="A20" s="255" t="s">
        <v>1492</v>
      </c>
      <c r="B20" s="210" t="s">
        <v>1493</v>
      </c>
      <c r="C20" s="232">
        <f ca="1">ROUND((C5+C19)*F20,0)</f>
        <v>12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24</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24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89</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89</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764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291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263</v>
      </c>
      <c r="D34" s="217"/>
      <c r="E34" s="220"/>
      <c r="F34" s="257">
        <f ca="1">IF('数据-取费表'!B24=0,1,IF(B1="",'数据-取费表'!N16,INDIRECT("'数据-取费表'!n"&amp;$G$1)))</f>
        <v>1</v>
      </c>
      <c r="G34" s="219" t="s">
        <v>1525</v>
      </c>
    </row>
    <row r="35" spans="1:7" ht="13.5" customHeight="1">
      <c r="A35" s="780" t="s">
        <v>351</v>
      </c>
      <c r="B35" s="215" t="s">
        <v>1526</v>
      </c>
      <c r="C35" s="220">
        <f ca="1">ROUND(C34*F35,0)</f>
        <v>8</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16</v>
      </c>
      <c r="D37" s="217">
        <f ca="1">D19</f>
        <v>820.57</v>
      </c>
      <c r="E37" s="249">
        <f>'数据-取费表'!B35</f>
        <v>200</v>
      </c>
      <c r="F37" s="259"/>
      <c r="G37" s="261" t="s">
        <v>1531</v>
      </c>
    </row>
    <row r="38" spans="1:7" ht="13.5" customHeight="1">
      <c r="A38" s="780" t="s">
        <v>354</v>
      </c>
      <c r="B38" s="215" t="s">
        <v>1532</v>
      </c>
      <c r="C38" s="220">
        <f ca="1">ROUND(C34*F38,0)</f>
        <v>4</v>
      </c>
      <c r="D38" s="220"/>
      <c r="E38" s="220"/>
      <c r="F38" s="259">
        <f>'数据-取费表'!B36</f>
        <v>1.4999999999999999E-2</v>
      </c>
      <c r="G38" s="219" t="s">
        <v>1527</v>
      </c>
    </row>
    <row r="39" spans="1:7" s="214" customFormat="1" ht="13.5" customHeight="1">
      <c r="A39" s="255" t="s">
        <v>1533</v>
      </c>
      <c r="B39" s="210" t="s">
        <v>1534</v>
      </c>
      <c r="C39" s="232">
        <f ca="1">ROUND(C33*F20,0)</f>
        <v>6</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6</v>
      </c>
      <c r="D42" s="238"/>
      <c r="E42" s="238"/>
      <c r="F42" s="239"/>
      <c r="G42" s="3706" t="s">
        <v>1543</v>
      </c>
    </row>
    <row r="43" spans="1:7" ht="13.5" customHeight="1">
      <c r="A43" s="780" t="s">
        <v>347</v>
      </c>
      <c r="B43" s="215" t="s">
        <v>1544</v>
      </c>
      <c r="C43" s="238">
        <f ca="1">ROUND(IF('数据-取费表'!B22&lt;=1,C39*F22*'数据-取费表'!B21/2,C39*(POWER((1+F22),'数据-取费表'!B21/2)-1)),0)</f>
        <v>0</v>
      </c>
      <c r="D43" s="238"/>
      <c r="E43" s="238"/>
      <c r="F43" s="239"/>
      <c r="G43" s="3707"/>
    </row>
    <row r="44" spans="1:7" ht="13.5" customHeight="1">
      <c r="A44" s="780" t="s">
        <v>348</v>
      </c>
      <c r="B44" s="215" t="s">
        <v>1545</v>
      </c>
      <c r="C44" s="238">
        <f ca="1">ROUND(IF('数据-取费表'!B22&lt;=1,C40*F22*'数据-取费表'!B21/2,C40*(POWER((1+F22),'数据-取费表'!B21/2)-1)),4)</f>
        <v>4.0000000000000002E-4</v>
      </c>
      <c r="D44" s="238"/>
      <c r="E44" s="238"/>
      <c r="F44" s="239"/>
      <c r="G44" s="3708"/>
    </row>
    <row r="45" spans="1:7" s="214" customFormat="1" ht="13.5" customHeight="1">
      <c r="A45" s="255" t="s">
        <v>1546</v>
      </c>
      <c r="B45" s="244" t="s">
        <v>1512</v>
      </c>
      <c r="C45" s="245">
        <f ca="1">C46</f>
        <v>45</v>
      </c>
      <c r="D45" s="235">
        <f ca="1">C47</f>
        <v>3.0000000000000001E-3</v>
      </c>
      <c r="E45" s="236" t="s">
        <v>1538</v>
      </c>
      <c r="F45" s="246">
        <f ca="1">F27</f>
        <v>0.15</v>
      </c>
      <c r="G45" s="247" t="s">
        <v>1547</v>
      </c>
    </row>
    <row r="46" spans="1:7" s="214" customFormat="1" ht="13.5" customHeight="1">
      <c r="A46" s="780" t="s">
        <v>346</v>
      </c>
      <c r="B46" s="248" t="s">
        <v>1548</v>
      </c>
      <c r="C46" s="249">
        <f ca="1">ROUND((C33+C39)*F27,0)</f>
        <v>45</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377</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358</v>
      </c>
      <c r="D51" s="232"/>
      <c r="E51" s="232"/>
      <c r="F51" s="264"/>
      <c r="G51" s="234" t="s">
        <v>1559</v>
      </c>
    </row>
    <row r="52" spans="1:7" s="208" customFormat="1" ht="16.5" thickBot="1">
      <c r="A52" s="265" t="s">
        <v>1560</v>
      </c>
      <c r="B52" s="266"/>
      <c r="C52" s="267">
        <f ca="1">C31+C51</f>
        <v>1122</v>
      </c>
      <c r="D52" s="266"/>
      <c r="E52" s="266"/>
      <c r="F52" s="266"/>
      <c r="G52" s="268"/>
    </row>
    <row r="55" spans="1:7" ht="15">
      <c r="B55" s="270" t="s">
        <v>1561</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8" t="s">
        <v>1562</v>
      </c>
      <c r="D1" s="198"/>
      <c r="E1" s="198"/>
      <c r="F1" s="198"/>
      <c r="G1" s="1126">
        <f>MATCH(B1,'数据-取费表'!A6:A16,0)+5</f>
        <v>7</v>
      </c>
      <c r="H1" s="1061" t="str">
        <f>IF(ISERROR(FIND("住宅",B1)),"非住宅","住宅")</f>
        <v>非住宅</v>
      </c>
    </row>
    <row r="2" spans="1:8" s="200" customFormat="1" ht="18" customHeight="1">
      <c r="A2" s="201" t="s">
        <v>1461</v>
      </c>
      <c r="B2" s="3418">
        <f ca="1">ROUND(IF(D2="——",C52/10000,C52/10000-E2),4)</f>
        <v>399.03829999999999</v>
      </c>
      <c r="C2" s="199" t="s">
        <v>1462</v>
      </c>
      <c r="D2" s="1852" t="s">
        <v>43</v>
      </c>
      <c r="E2" s="1169"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4863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155908</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155908</v>
      </c>
      <c r="D8" s="222"/>
      <c r="E8" s="220"/>
      <c r="F8" s="221"/>
      <c r="G8" s="1855"/>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155908</v>
      </c>
      <c r="D10" s="845">
        <f ca="1">IF(B1="",'数据-汇总表'!E6,IF(INDIRECT("'数据-取费表'!c"&amp;$G$1)="住宅",INDIRECT("'数据-取费表'!s"&amp;$G$1),INDIRECT("'数据-取费表'!k"&amp;$G$1)+INDIRECT("'数据-取费表'!s"&amp;$G$1)))</f>
        <v>820.57</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164114</v>
      </c>
      <c r="D19" s="849">
        <f ca="1">D9+D10</f>
        <v>820.57</v>
      </c>
      <c r="E19" s="211">
        <f>'数据-取费表'!B31</f>
        <v>200</v>
      </c>
      <c r="F19" s="231"/>
      <c r="G19" s="1855"/>
    </row>
    <row r="20" spans="1:7" s="214" customFormat="1" ht="13.5" customHeight="1">
      <c r="A20" s="255" t="s">
        <v>1573</v>
      </c>
      <c r="B20" s="210" t="s">
        <v>1574</v>
      </c>
      <c r="C20" s="232">
        <f ca="1">ROUND((C5+C19)*F20,0)</f>
        <v>6400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13414</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6470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6811</v>
      </c>
      <c r="D24" s="238"/>
      <c r="E24" s="238"/>
      <c r="F24" s="239"/>
      <c r="G24" s="240" t="s">
        <v>1585</v>
      </c>
    </row>
    <row r="25" spans="1:7" s="214" customFormat="1" ht="24">
      <c r="A25" s="780" t="s">
        <v>1475</v>
      </c>
      <c r="B25" s="215" t="s">
        <v>1586</v>
      </c>
      <c r="C25" s="1128">
        <f ca="1">ROUND(IF('数据-取费表'!B22&lt;=1,C20*F22*'数据-取费表'!B22/2,C20*(POWER((1+F22),'数据-取费表'!B22/2)-1)),0)</f>
        <v>133</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48963</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48963</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420687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2908100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2625824</v>
      </c>
      <c r="D34" s="217"/>
      <c r="E34" s="220"/>
      <c r="F34" s="257"/>
      <c r="G34" s="219"/>
    </row>
    <row r="35" spans="1:7" ht="13.5" customHeight="1">
      <c r="A35" s="780" t="s">
        <v>351</v>
      </c>
      <c r="B35" s="215" t="s">
        <v>1526</v>
      </c>
      <c r="C35" s="220">
        <f ca="1">ROUND(C34*F35,0)</f>
        <v>78775</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164114</v>
      </c>
      <c r="D37" s="217">
        <f ca="1">D19</f>
        <v>820.57</v>
      </c>
      <c r="E37" s="249">
        <f>'数据-取费表'!B35</f>
        <v>200</v>
      </c>
      <c r="F37" s="259"/>
      <c r="G37" s="261"/>
    </row>
    <row r="38" spans="1:7" ht="13.5" customHeight="1">
      <c r="A38" s="780" t="s">
        <v>354</v>
      </c>
      <c r="B38" s="215" t="s">
        <v>1532</v>
      </c>
      <c r="C38" s="220">
        <f ca="1">ROUND(C34*F38,0)</f>
        <v>39387</v>
      </c>
      <c r="D38" s="220"/>
      <c r="E38" s="220"/>
      <c r="F38" s="259">
        <f>'数据-取费表'!B36</f>
        <v>1.4999999999999999E-2</v>
      </c>
      <c r="G38" s="219" t="s">
        <v>1527</v>
      </c>
    </row>
    <row r="39" spans="1:7" s="214" customFormat="1" ht="13.5" customHeight="1">
      <c r="A39" s="255" t="s">
        <v>1533</v>
      </c>
      <c r="B39" s="210" t="s">
        <v>1534</v>
      </c>
      <c r="C39" s="232">
        <f ca="1">ROUND(C33*F20,0)</f>
        <v>58162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61550</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60343</v>
      </c>
      <c r="D42" s="238"/>
      <c r="E42" s="238"/>
      <c r="F42" s="239"/>
      <c r="G42" s="3706" t="s">
        <v>1590</v>
      </c>
    </row>
    <row r="43" spans="1:7" ht="13.5" customHeight="1">
      <c r="A43" s="780" t="s">
        <v>347</v>
      </c>
      <c r="B43" s="215" t="s">
        <v>1544</v>
      </c>
      <c r="C43" s="238">
        <f ca="1">ROUND(IF('数据-取费表'!B22&lt;=1,C39*F22*'数据-取费表'!B20/2,C39*(POWER((1+F22),'数据-取费表'!B20/2)-1)),0)</f>
        <v>1207</v>
      </c>
      <c r="D43" s="238"/>
      <c r="E43" s="238"/>
      <c r="F43" s="239"/>
      <c r="G43" s="3707"/>
    </row>
    <row r="44" spans="1:7" ht="13.5" customHeight="1">
      <c r="A44" s="780" t="s">
        <v>348</v>
      </c>
      <c r="B44" s="215" t="s">
        <v>1545</v>
      </c>
      <c r="C44" s="238">
        <f ca="1">ROUND(IF('数据-取费表'!B22&lt;=1,C40*F22*'数据-取费表'!B20/2,C40*(POWER((1+F22),'数据-取费表'!B20/2)-1)),4)</f>
        <v>4.0000000000000002E-4</v>
      </c>
      <c r="D44" s="238"/>
      <c r="E44" s="238"/>
      <c r="F44" s="239"/>
      <c r="G44" s="3708"/>
    </row>
    <row r="45" spans="1:7" s="214" customFormat="1" ht="13.5" customHeight="1">
      <c r="A45" s="255" t="s">
        <v>1546</v>
      </c>
      <c r="B45" s="244" t="s">
        <v>1512</v>
      </c>
      <c r="C45" s="245">
        <f ca="1">C46</f>
        <v>444939</v>
      </c>
      <c r="D45" s="235">
        <f ca="1">C47</f>
        <v>3.0000000000000001E-3</v>
      </c>
      <c r="E45" s="236" t="s">
        <v>1538</v>
      </c>
      <c r="F45" s="246">
        <f ca="1">F27</f>
        <v>0.15</v>
      </c>
      <c r="G45" s="247" t="s">
        <v>1547</v>
      </c>
    </row>
    <row r="46" spans="1:7" s="214" customFormat="1" ht="13.5" customHeight="1">
      <c r="A46" s="780" t="s">
        <v>346</v>
      </c>
      <c r="B46" s="248" t="s">
        <v>1548</v>
      </c>
      <c r="C46" s="249">
        <f ca="1">ROUND((C33+C39)*F27,0)</f>
        <v>444939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3757575</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3569696</v>
      </c>
      <c r="D51" s="232"/>
      <c r="E51" s="232"/>
      <c r="F51" s="264"/>
      <c r="G51" s="234" t="s">
        <v>1559</v>
      </c>
    </row>
    <row r="52" spans="1:7" s="208" customFormat="1" ht="16.5" thickBot="1">
      <c r="A52" s="265" t="s">
        <v>1560</v>
      </c>
      <c r="B52" s="266"/>
      <c r="C52" s="267">
        <f ca="1">C31+C51</f>
        <v>3990383</v>
      </c>
      <c r="D52" s="266"/>
      <c r="E52" s="266"/>
      <c r="F52" s="266"/>
      <c r="G52" s="268"/>
    </row>
    <row r="55" spans="1:7" ht="15">
      <c r="B55" s="270" t="s">
        <v>1561</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799"/>
      <c r="F1" s="2799"/>
      <c r="G1" s="2664"/>
      <c r="H1" s="2799"/>
      <c r="I1" s="2799"/>
      <c r="J1" s="2799"/>
      <c r="K1" s="2800">
        <f>MATCH(C1,'数据-取费表'!A6:A16,0)+5</f>
        <v>7</v>
      </c>
    </row>
    <row r="2" spans="1:33" ht="18" customHeight="1">
      <c r="A2" s="201" t="s">
        <v>1461</v>
      </c>
      <c r="B2" s="204">
        <f ca="1">C32</f>
        <v>0</v>
      </c>
      <c r="C2" s="276" t="s">
        <v>1594</v>
      </c>
      <c r="D2" s="276"/>
      <c r="E2" s="2799"/>
      <c r="F2" s="2799"/>
      <c r="G2" s="2799"/>
      <c r="H2" s="2799"/>
      <c r="I2" s="2799"/>
      <c r="J2" s="2799"/>
      <c r="K2" s="2799"/>
    </row>
    <row r="3" spans="1:33" ht="18" customHeight="1" thickBot="1">
      <c r="A3" s="203" t="s">
        <v>1463</v>
      </c>
      <c r="B3" s="204">
        <f ca="1">ROUND(B2*10000/IF(C1="",'数据-汇总表'!E3,INDIRECT("'数据-取费表'!K"&amp;$K$1)),0)</f>
        <v>0</v>
      </c>
      <c r="C3" s="276" t="s">
        <v>1595</v>
      </c>
      <c r="D3" s="276"/>
      <c r="E3" s="2799"/>
      <c r="F3" s="2799"/>
      <c r="G3" s="2799"/>
      <c r="H3" s="2799"/>
      <c r="I3" s="2799"/>
      <c r="J3" s="2799"/>
      <c r="K3" s="2799"/>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820.57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820.57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1"/>
      <c r="H18" s="1187"/>
      <c r="I18" s="1862"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16</v>
      </c>
      <c r="D20" s="846">
        <f ca="1">IF(C1="",'数据-汇总表'!E6,IF(INDIRECT("'数据-取费表'!c"&amp;$K$1)="住宅",INDIRECT("'数据-取费表'!s"&amp;$K$1),INDIRECT("'数据-取费表'!k"&amp;$K$1)+INDIRECT("'数据-取费表'!s"&amp;$K$1)))</f>
        <v>820.57</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1640</v>
      </c>
      <c r="B28" s="1864"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5"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99"/>
      <c r="H2" s="2688"/>
      <c r="I2" s="2688"/>
      <c r="J2" s="2688"/>
      <c r="K2" s="2689"/>
      <c r="L2" s="2688"/>
      <c r="M2" s="2688"/>
    </row>
    <row r="3" spans="1:37" ht="18" customHeight="1" thickBot="1">
      <c r="A3" s="1390" t="s">
        <v>806</v>
      </c>
      <c r="B3" s="1391">
        <f ca="1">IF(ISERROR(B2*10000/F43),0,ROUND(B2*10000/F43,0))</f>
        <v>0</v>
      </c>
      <c r="C3" s="1387" t="s">
        <v>807</v>
      </c>
      <c r="D3" s="1387"/>
      <c r="E3" s="1388"/>
      <c r="F3" s="1389"/>
      <c r="G3" s="269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0</v>
      </c>
      <c r="D6" s="155" t="s">
        <v>2107</v>
      </c>
      <c r="E6" s="302" t="s">
        <v>696</v>
      </c>
      <c r="F6" s="303">
        <f ca="1">INDIRECT("'数据-取费表'!u"&amp;$G$1)</f>
        <v>0</v>
      </c>
      <c r="G6" s="1384"/>
      <c r="H6" s="1069" t="s">
        <v>398</v>
      </c>
      <c r="I6" s="3711" t="s">
        <v>694</v>
      </c>
      <c r="J6" s="301">
        <f ca="1">ROUND(M6*M8*M7*(1-M9)/10000,0)</f>
        <v>0</v>
      </c>
      <c r="K6" s="155" t="s">
        <v>2106</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IF(项目基本情况!B11="自然人","——",ROUND(F34*F35/10000,2))</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ROUND(C29*F36,2)</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ROUND(C13*F37,2)</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ROUND(C5*F38,2)</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8"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6">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699"/>
      <c r="H2" s="2688"/>
      <c r="I2" s="2688"/>
      <c r="J2" s="2688"/>
      <c r="K2" s="2689"/>
      <c r="L2" s="2688"/>
      <c r="M2" s="2688"/>
    </row>
    <row r="3" spans="1:37" ht="18" customHeight="1" thickBot="1">
      <c r="A3" s="1390" t="s">
        <v>881</v>
      </c>
      <c r="B3" s="1391">
        <f ca="1">IF(ISERROR(D2/F43),0,ROUND(D2/F43,0))</f>
        <v>0</v>
      </c>
      <c r="C3" s="1387" t="s">
        <v>882</v>
      </c>
      <c r="D3" s="1387"/>
      <c r="E3" s="1388"/>
      <c r="F3" s="1389"/>
      <c r="G3" s="269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2104</v>
      </c>
      <c r="E6" s="302" t="s">
        <v>696</v>
      </c>
      <c r="F6" s="303">
        <f ca="1">INDIRECT("'数据-取费表'!u"&amp;$G$1)</f>
        <v>0</v>
      </c>
      <c r="G6" s="1384"/>
      <c r="H6" s="1069" t="s">
        <v>398</v>
      </c>
      <c r="I6" s="3711" t="s">
        <v>694</v>
      </c>
      <c r="J6" s="301">
        <f ca="1">ROUND(M6*M8*M7*(1-M9),0)</f>
        <v>0</v>
      </c>
      <c r="K6" s="1376" t="s">
        <v>2105</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0"/>
      <c r="I30" s="1398"/>
      <c r="J30" s="1399"/>
      <c r="K30" s="2468"/>
      <c r="L30" s="2691"/>
      <c r="M30" s="2692"/>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801" t="s">
        <v>2301</v>
      </c>
      <c r="I31" s="1398"/>
      <c r="J31" s="1399"/>
      <c r="K31" s="2468"/>
      <c r="L31" s="2691"/>
      <c r="M31" s="2692"/>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0"/>
      <c r="I32" s="1398"/>
      <c r="J32" s="1399"/>
      <c r="K32" s="2468"/>
      <c r="L32" s="2691"/>
      <c r="M32" s="269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3"/>
      <c r="I33" s="1398"/>
      <c r="J33" s="1399"/>
      <c r="K33" s="2694"/>
      <c r="L33" s="2693"/>
      <c r="M33" s="2693"/>
    </row>
    <row r="34" spans="1:18" ht="18" customHeight="1">
      <c r="A34" s="1069" t="s">
        <v>680</v>
      </c>
      <c r="B34" s="155" t="s">
        <v>730</v>
      </c>
      <c r="C34" s="22">
        <f ca="1">IF(项目基本情况!B11="自然人","——",ROUND(F34*F35,0))</f>
        <v>0</v>
      </c>
      <c r="D34" s="324" t="s">
        <v>731</v>
      </c>
      <c r="E34" s="302" t="s">
        <v>732</v>
      </c>
      <c r="F34" s="325">
        <f>'数据-取费表'!B52</f>
        <v>1.5</v>
      </c>
      <c r="G34" s="1384"/>
      <c r="H34" s="2690"/>
      <c r="I34" s="1398"/>
      <c r="J34" s="1399"/>
      <c r="K34" s="2695"/>
      <c r="L34" s="2696"/>
      <c r="M34" s="2696"/>
    </row>
    <row r="35" spans="1:18" ht="18" customHeight="1">
      <c r="A35" s="1103"/>
      <c r="B35" s="1101"/>
      <c r="C35" s="26"/>
      <c r="D35" s="327"/>
      <c r="E35" s="302" t="s">
        <v>736</v>
      </c>
      <c r="F35" s="303">
        <f ca="1">INDIRECT("'数据-取费表'!r"&amp;$G$1)</f>
        <v>0</v>
      </c>
      <c r="G35" s="1384"/>
      <c r="H35" s="2690"/>
      <c r="I35" s="1398"/>
      <c r="J35" s="1399"/>
      <c r="K35" s="2694"/>
      <c r="L35" s="2693"/>
      <c r="M35" s="2693"/>
    </row>
    <row r="36" spans="1:18" ht="18" customHeight="1">
      <c r="A36" s="1102" t="s">
        <v>402</v>
      </c>
      <c r="B36" s="302" t="s">
        <v>738</v>
      </c>
      <c r="C36" s="21">
        <f ca="1">ROUND(C29*F36,0)</f>
        <v>0</v>
      </c>
      <c r="D36" s="1344" t="s">
        <v>771</v>
      </c>
      <c r="E36" s="302" t="s">
        <v>712</v>
      </c>
      <c r="F36" s="328">
        <f ca="1">INDIRECT("'数据-取费表'!Ak"&amp;$G$1)</f>
        <v>0</v>
      </c>
      <c r="G36" s="1384"/>
      <c r="H36" s="2693"/>
      <c r="I36" s="1398"/>
      <c r="J36" s="1399"/>
      <c r="K36" s="2537"/>
      <c r="L36" s="2693"/>
      <c r="M36" s="2693"/>
    </row>
    <row r="37" spans="1:18" ht="18" customHeight="1">
      <c r="A37" s="982" t="s">
        <v>437</v>
      </c>
      <c r="B37" s="302" t="s">
        <v>742</v>
      </c>
      <c r="C37" s="21">
        <f ca="1">ROUND(C13*F37,0)</f>
        <v>0</v>
      </c>
      <c r="D37" s="1344" t="s">
        <v>743</v>
      </c>
      <c r="E37" s="302" t="s">
        <v>744</v>
      </c>
      <c r="F37" s="330">
        <f ca="1">INDIRECT("'数据-取费表'!Al"&amp;$G$1)</f>
        <v>0</v>
      </c>
      <c r="G37" s="1384"/>
      <c r="H37" s="2693"/>
      <c r="I37" s="1398"/>
      <c r="J37" s="1399"/>
      <c r="K37" s="2537"/>
      <c r="L37" s="2693"/>
      <c r="M37" s="2693"/>
    </row>
    <row r="38" spans="1:18" ht="18" customHeight="1" thickBot="1">
      <c r="A38" s="1089" t="s">
        <v>684</v>
      </c>
      <c r="B38" s="1090" t="s">
        <v>728</v>
      </c>
      <c r="C38" s="1091">
        <f ca="1">ROUND(C5*F38,0)</f>
        <v>0</v>
      </c>
      <c r="D38" s="1092" t="s">
        <v>748</v>
      </c>
      <c r="E38" s="1090" t="s">
        <v>744</v>
      </c>
      <c r="F38" s="1086">
        <f ca="1">INDIRECT("'数据-取费表'!Am"&amp;$G$1)</f>
        <v>0</v>
      </c>
      <c r="G38" s="1384"/>
      <c r="H38" s="2693"/>
      <c r="I38" s="1398"/>
      <c r="J38" s="1399"/>
      <c r="K38" s="2697"/>
      <c r="L38" s="2693"/>
      <c r="M38" s="2693"/>
    </row>
    <row r="39" spans="1:18" ht="24.6" customHeight="1" thickTop="1">
      <c r="A39" s="1079" t="s">
        <v>394</v>
      </c>
      <c r="B39" s="1094" t="s">
        <v>772</v>
      </c>
      <c r="C39" s="310">
        <f ca="1">C5-C30</f>
        <v>0</v>
      </c>
      <c r="D39" s="1095" t="s">
        <v>773</v>
      </c>
      <c r="E39" s="1096"/>
      <c r="F39" s="1097"/>
      <c r="G39" s="1384"/>
      <c r="H39" s="2693"/>
      <c r="I39" s="1398"/>
      <c r="J39" s="1399"/>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7"/>
      <c r="L41" s="1191"/>
      <c r="M41" s="1191"/>
    </row>
    <row r="42" spans="1:18" ht="18" customHeight="1">
      <c r="A42" s="308"/>
      <c r="B42" s="309"/>
      <c r="C42" s="310"/>
      <c r="D42" s="327"/>
      <c r="E42" s="302" t="s">
        <v>766</v>
      </c>
      <c r="F42" s="312">
        <f ca="1">INDIRECT("'数据-取费表'!v"&amp;$G$1)</f>
        <v>0</v>
      </c>
      <c r="G42" s="1384"/>
      <c r="H42" s="1191"/>
      <c r="I42" s="1398"/>
      <c r="J42" s="1399"/>
      <c r="K42" s="253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7"/>
      <c r="L43" s="1191"/>
      <c r="M43" s="1191"/>
    </row>
    <row r="44" spans="1:18" s="1384" customFormat="1" ht="18" customHeight="1">
      <c r="A44" s="1400"/>
      <c r="B44" s="1400"/>
      <c r="C44" s="1401"/>
      <c r="D44" s="1400"/>
      <c r="E44" s="1400"/>
      <c r="F44" s="1400"/>
      <c r="K44" s="1402"/>
    </row>
    <row r="45" spans="1:18" s="1384" customFormat="1" ht="18" customHeight="1" thickBot="1">
      <c r="A45" s="3425" t="s">
        <v>3350</v>
      </c>
      <c r="B45" s="1400"/>
      <c r="C45" s="1472" t="e">
        <f ca="1">ROUND((C68-C40)/10000,4)</f>
        <v>#DIV/0!</v>
      </c>
      <c r="D45" s="3426"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6">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5" t="s">
        <v>2309</v>
      </c>
      <c r="B2" s="2836" t="e">
        <f>IF(D2="——",C40,C40+E2)</f>
        <v>#DIV/0!</v>
      </c>
      <c r="C2" s="2837" t="s">
        <v>2310</v>
      </c>
      <c r="D2" s="3437" t="s">
        <v>3359</v>
      </c>
      <c r="E2" s="3438"/>
      <c r="F2" s="2839"/>
      <c r="G2" s="2840"/>
      <c r="H2" s="2841"/>
      <c r="I2" s="2842"/>
      <c r="J2" s="3720" t="s">
        <v>2311</v>
      </c>
      <c r="K2" s="3721"/>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22" t="s">
        <v>2321</v>
      </c>
      <c r="K3" s="3723"/>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22" t="s">
        <v>2323</v>
      </c>
      <c r="K4" s="3723"/>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28" t="s">
        <v>2327</v>
      </c>
      <c r="B6" s="3729"/>
      <c r="C6" s="3730"/>
      <c r="D6" s="2863"/>
      <c r="E6" s="2864"/>
      <c r="F6" s="2865"/>
      <c r="G6" s="2866"/>
      <c r="H6" s="2841"/>
      <c r="I6" s="2842"/>
      <c r="J6" s="3714">
        <v>1</v>
      </c>
      <c r="K6" s="3715"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14"/>
      <c r="K7" s="3716"/>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31" t="s">
        <v>2341</v>
      </c>
      <c r="C8" s="3732"/>
      <c r="D8" s="2882" t="s">
        <v>2342</v>
      </c>
      <c r="E8" s="2883" t="s">
        <v>2343</v>
      </c>
      <c r="F8" s="2884" t="s">
        <v>2344</v>
      </c>
      <c r="G8" s="2885"/>
      <c r="H8" s="2841"/>
      <c r="I8" s="2842"/>
      <c r="J8" s="3714"/>
      <c r="K8" s="3716"/>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31" t="s">
        <v>2347</v>
      </c>
      <c r="C9" s="3732"/>
      <c r="D9" s="2882">
        <f>ROUND(D6*E9,0)</f>
        <v>0</v>
      </c>
      <c r="E9" s="2886"/>
      <c r="F9" s="2887" t="s">
        <v>2348</v>
      </c>
      <c r="G9" s="2866"/>
      <c r="H9" s="2841"/>
      <c r="I9" s="2842"/>
      <c r="J9" s="3714"/>
      <c r="K9" s="3716"/>
      <c r="L9" s="2876" t="s">
        <v>2349</v>
      </c>
      <c r="M9" s="2877"/>
      <c r="N9" s="2853"/>
      <c r="O9" s="2878"/>
      <c r="P9" s="2878"/>
      <c r="Q9" s="2879">
        <v>365</v>
      </c>
      <c r="R9" s="2880">
        <f t="shared" si="0"/>
        <v>0</v>
      </c>
      <c r="S9" s="2834"/>
      <c r="T9" s="2834"/>
      <c r="U9" s="2834"/>
      <c r="V9" s="2842"/>
    </row>
    <row r="10" spans="1:22" s="2846" customFormat="1" ht="13.15" customHeight="1">
      <c r="A10" s="2881">
        <v>2</v>
      </c>
      <c r="B10" s="3731" t="s">
        <v>2350</v>
      </c>
      <c r="C10" s="3732"/>
      <c r="D10" s="2882">
        <f>ROUND(D6*E10,0)</f>
        <v>0</v>
      </c>
      <c r="E10" s="2886"/>
      <c r="F10" s="2887" t="s">
        <v>2351</v>
      </c>
      <c r="G10" s="2866"/>
      <c r="H10" s="2841"/>
      <c r="I10" s="2842"/>
      <c r="J10" s="3714"/>
      <c r="K10" s="3716"/>
      <c r="L10" s="2876" t="s">
        <v>2352</v>
      </c>
      <c r="M10" s="2877"/>
      <c r="N10" s="2853"/>
      <c r="O10" s="2878"/>
      <c r="P10" s="2878"/>
      <c r="Q10" s="2879">
        <v>365</v>
      </c>
      <c r="R10" s="2880">
        <f t="shared" si="0"/>
        <v>0</v>
      </c>
      <c r="S10" s="2834"/>
      <c r="T10" s="2834"/>
      <c r="U10" s="2834"/>
      <c r="V10" s="2842"/>
    </row>
    <row r="11" spans="1:22" s="2846" customFormat="1" ht="13.15" customHeight="1">
      <c r="A11" s="2881">
        <v>3</v>
      </c>
      <c r="B11" s="3731" t="s">
        <v>2353</v>
      </c>
      <c r="C11" s="3732"/>
      <c r="D11" s="2882">
        <f>D12+D14+D15+D16</f>
        <v>0</v>
      </c>
      <c r="E11" s="2888" t="e">
        <f>D11/D6</f>
        <v>#DIV/0!</v>
      </c>
      <c r="F11" s="2884"/>
      <c r="G11" s="2885"/>
      <c r="H11" s="2841"/>
      <c r="I11" s="2842"/>
      <c r="J11" s="3714"/>
      <c r="K11" s="3716"/>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24" t="s">
        <v>2356</v>
      </c>
      <c r="C12" s="3725"/>
      <c r="D12" s="2890">
        <f>ROUND(D13*1.2%*(1-30%),0)</f>
        <v>0</v>
      </c>
      <c r="E12" s="2891">
        <v>1.2E-2</v>
      </c>
      <c r="F12" s="2884" t="s">
        <v>2357</v>
      </c>
      <c r="G12" s="2885"/>
      <c r="H12" s="2841"/>
      <c r="I12" s="2842"/>
      <c r="J12" s="3714"/>
      <c r="K12" s="3716"/>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14"/>
      <c r="K13" s="3716"/>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24" t="s">
        <v>2362</v>
      </c>
      <c r="C14" s="3725"/>
      <c r="D14" s="2890">
        <f>ROUND(E14*B5/10000,0)</f>
        <v>0</v>
      </c>
      <c r="E14" s="2879"/>
      <c r="F14" s="2884" t="s">
        <v>2363</v>
      </c>
      <c r="G14" s="2885"/>
      <c r="H14" s="2841"/>
      <c r="I14" s="2842"/>
      <c r="J14" s="3714"/>
      <c r="K14" s="3717"/>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24" t="s">
        <v>2366</v>
      </c>
      <c r="C15" s="3725"/>
      <c r="D15" s="2890">
        <f>ROUND(D6*E15,0)</f>
        <v>0</v>
      </c>
      <c r="E15" s="2891">
        <v>5.5E-2</v>
      </c>
      <c r="F15" s="2884" t="s">
        <v>2367</v>
      </c>
      <c r="G15" s="2866"/>
      <c r="H15" s="2841"/>
      <c r="I15" s="2842"/>
      <c r="J15" s="3714">
        <v>2</v>
      </c>
      <c r="K15" s="3715"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24" t="s">
        <v>2375</v>
      </c>
      <c r="C16" s="3725"/>
      <c r="D16" s="2901">
        <f>D6*E16</f>
        <v>0</v>
      </c>
      <c r="E16" s="2902"/>
      <c r="F16" s="2887" t="s">
        <v>2376</v>
      </c>
      <c r="G16" s="2866"/>
      <c r="H16" s="2841"/>
      <c r="I16" s="2842"/>
      <c r="J16" s="3714"/>
      <c r="K16" s="3716"/>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26" t="s">
        <v>2378</v>
      </c>
      <c r="C17" s="3727"/>
      <c r="D17" s="2904">
        <f>ROUND(D6*E17,0)</f>
        <v>0</v>
      </c>
      <c r="E17" s="2905"/>
      <c r="F17" s="2906" t="s">
        <v>2379</v>
      </c>
      <c r="G17" s="2866"/>
      <c r="H17" s="2841"/>
      <c r="I17" s="2842"/>
      <c r="J17" s="3714"/>
      <c r="K17" s="3716"/>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14"/>
      <c r="K18" s="3716"/>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14"/>
      <c r="K19" s="3717"/>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14">
        <v>3</v>
      </c>
      <c r="K20" s="3715"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14"/>
      <c r="K21" s="3716"/>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14"/>
      <c r="K22" s="3716"/>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14"/>
      <c r="K23" s="3716"/>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14"/>
      <c r="K24" s="3717"/>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1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1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20" t="s">
        <v>2311</v>
      </c>
      <c r="K32" s="3721"/>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22" t="s">
        <v>2321</v>
      </c>
      <c r="K33" s="3723"/>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22" t="s">
        <v>2323</v>
      </c>
      <c r="K34" s="3723"/>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14">
        <v>1</v>
      </c>
      <c r="K36" s="3715"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14"/>
      <c r="K37" s="3716"/>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14"/>
      <c r="K38" s="3716"/>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14"/>
      <c r="K39" s="3716"/>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14"/>
      <c r="K40" s="3717"/>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1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1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1657</v>
      </c>
      <c r="B1" s="1867"/>
      <c r="C1" s="1867"/>
      <c r="D1" s="1867"/>
      <c r="E1" s="1868"/>
      <c r="F1" s="2700"/>
      <c r="G1" s="1489"/>
      <c r="H1" s="1489"/>
      <c r="I1" s="1489"/>
      <c r="J1" s="1489"/>
      <c r="K1" s="1489"/>
      <c r="L1" s="1489"/>
      <c r="M1" s="1489"/>
      <c r="N1" s="1489"/>
      <c r="O1" s="1489"/>
      <c r="P1" s="1489"/>
      <c r="Q1" s="1489"/>
      <c r="R1" s="1489"/>
      <c r="S1" s="1489"/>
    </row>
    <row r="2" spans="1:22" ht="15.75">
      <c r="A2" s="1869" t="s">
        <v>1461</v>
      </c>
      <c r="B2" s="1870">
        <f ca="1">SUMIF(B6:B13,"&lt;&gt;#ref!",B6:B13)</f>
        <v>0</v>
      </c>
      <c r="C2" s="1871" t="s">
        <v>1650</v>
      </c>
      <c r="D2" s="1872" t="s">
        <v>1651</v>
      </c>
      <c r="E2" s="2600">
        <f>SUM(E6:E13)</f>
        <v>0</v>
      </c>
      <c r="F2" s="2700"/>
      <c r="G2" s="1489"/>
      <c r="H2" s="1489"/>
      <c r="I2" s="1489"/>
      <c r="J2" s="1489"/>
      <c r="K2" s="1489"/>
      <c r="L2" s="1489"/>
      <c r="M2" s="1489"/>
      <c r="N2" s="1489"/>
      <c r="O2" s="1489"/>
      <c r="P2" s="1489"/>
      <c r="Q2" s="1489"/>
      <c r="R2" s="1489"/>
      <c r="S2" s="1489"/>
    </row>
    <row r="3" spans="1:22" ht="15.75">
      <c r="A3" s="1869" t="s">
        <v>686</v>
      </c>
      <c r="B3" s="2594" t="e">
        <f ca="1">ROUND(B2*10000/E2,0)</f>
        <v>#DIV/0!</v>
      </c>
      <c r="C3" s="1871" t="s">
        <v>1658</v>
      </c>
      <c r="D3" s="2702"/>
      <c r="E3" s="2704"/>
      <c r="F3" s="2700"/>
      <c r="G3" s="1489"/>
      <c r="H3" s="1489"/>
      <c r="I3" s="1489"/>
      <c r="J3" s="1489"/>
      <c r="K3" s="1489"/>
      <c r="L3" s="1489"/>
      <c r="M3" s="1489"/>
      <c r="N3" s="1489"/>
      <c r="O3" s="1489"/>
      <c r="P3" s="1489"/>
      <c r="Q3" s="1489"/>
      <c r="R3" s="1489"/>
      <c r="S3" s="1489"/>
    </row>
    <row r="4" spans="1:22" ht="15.75">
      <c r="A4" s="2705"/>
      <c r="B4" s="2702"/>
      <c r="C4" s="2702"/>
      <c r="D4" s="2702"/>
      <c r="E4" s="2704"/>
      <c r="F4" s="2700"/>
      <c r="G4" s="1489"/>
      <c r="H4" s="1489"/>
      <c r="I4" s="1489"/>
      <c r="J4" s="1489"/>
      <c r="K4" s="1489"/>
      <c r="L4" s="1489"/>
      <c r="M4" s="1489"/>
      <c r="N4" s="1489"/>
      <c r="O4" s="1489"/>
      <c r="P4" s="1489"/>
      <c r="Q4" s="1489"/>
      <c r="R4" s="1489"/>
      <c r="S4" s="1489"/>
    </row>
    <row r="5" spans="1:22" ht="15">
      <c r="A5" s="2596" t="s">
        <v>1652</v>
      </c>
      <c r="B5" s="3733" t="s">
        <v>1653</v>
      </c>
      <c r="C5" s="3734"/>
      <c r="D5" s="2701"/>
      <c r="E5" s="1873" t="s">
        <v>1654</v>
      </c>
      <c r="F5" s="1874" t="s">
        <v>1655</v>
      </c>
      <c r="G5" s="1489"/>
      <c r="H5" s="1489"/>
      <c r="I5" s="1489"/>
      <c r="J5" s="1489"/>
      <c r="K5" s="1489"/>
      <c r="L5" s="1489"/>
      <c r="M5" s="1489"/>
      <c r="N5" s="1489"/>
      <c r="O5" s="1489"/>
      <c r="P5" s="1489"/>
      <c r="Q5" s="1489"/>
      <c r="R5" s="1489"/>
      <c r="S5" s="1489"/>
    </row>
    <row r="6" spans="1:22">
      <c r="A6" s="2597">
        <f>'数据-取费表'!AN6</f>
        <v>0</v>
      </c>
      <c r="B6" s="2595" t="e">
        <f ca="1">IF(F6="是",'数据-取费表'!AO6,0)</f>
        <v>#REF!</v>
      </c>
      <c r="C6" s="1871" t="s">
        <v>1650</v>
      </c>
      <c r="D6" s="2702"/>
      <c r="E6" s="2599">
        <f>IF(OR(A6=0,F6="否"),0,'数据-取费表'!K6+'数据-取费表'!S6)</f>
        <v>0</v>
      </c>
      <c r="F6" s="1875" t="s">
        <v>1656</v>
      </c>
      <c r="G6" s="1489"/>
      <c r="H6" s="1489"/>
      <c r="I6" s="1489"/>
      <c r="J6" s="1489"/>
      <c r="K6" s="1489"/>
      <c r="L6" s="1489"/>
      <c r="M6" s="1489"/>
      <c r="N6" s="1489"/>
      <c r="O6" s="1489"/>
      <c r="P6" s="1489"/>
      <c r="Q6" s="1489"/>
      <c r="R6" s="1489"/>
      <c r="S6" s="1489"/>
    </row>
    <row r="7" spans="1:22">
      <c r="A7" s="2597">
        <f>'数据-取费表'!AN7</f>
        <v>0</v>
      </c>
      <c r="B7" s="2595" t="e">
        <f ca="1">IF(F7="是",'数据-取费表'!AO7,0)</f>
        <v>#REF!</v>
      </c>
      <c r="C7" s="1871" t="s">
        <v>1650</v>
      </c>
      <c r="D7" s="2702"/>
      <c r="E7" s="2599">
        <f>IF(OR(A7=0,F7="否"),0,'数据-取费表'!K7+'数据-取费表'!S7)</f>
        <v>0</v>
      </c>
      <c r="F7" s="1875" t="s">
        <v>1656</v>
      </c>
      <c r="G7" s="1489"/>
      <c r="H7" s="1489"/>
      <c r="I7" s="1489"/>
      <c r="J7" s="1489"/>
      <c r="K7" s="1489"/>
      <c r="L7" s="1489"/>
      <c r="M7" s="1489"/>
      <c r="N7" s="1489"/>
      <c r="O7" s="1489"/>
      <c r="P7" s="1489"/>
      <c r="Q7" s="1489"/>
      <c r="R7" s="1489"/>
      <c r="S7" s="1489"/>
    </row>
    <row r="8" spans="1:22">
      <c r="A8" s="2597">
        <f>'数据-取费表'!AN8</f>
        <v>0</v>
      </c>
      <c r="B8" s="2595" t="e">
        <f ca="1">IF(F8="是",'数据-取费表'!AO8,0)</f>
        <v>#REF!</v>
      </c>
      <c r="C8" s="1871" t="s">
        <v>1650</v>
      </c>
      <c r="D8" s="2702"/>
      <c r="E8" s="2599">
        <f>IF(OR(A8=0,F8="否"),0,'数据-取费表'!K8+'数据-取费表'!S8)</f>
        <v>0</v>
      </c>
      <c r="F8" s="1875" t="s">
        <v>1656</v>
      </c>
      <c r="G8" s="1489"/>
      <c r="H8" s="1489"/>
      <c r="I8" s="1489"/>
      <c r="J8" s="1489"/>
      <c r="K8" s="1489"/>
      <c r="L8" s="1489"/>
      <c r="M8" s="1489"/>
      <c r="N8" s="1489"/>
      <c r="O8" s="1489"/>
      <c r="P8" s="1489"/>
      <c r="Q8" s="1489"/>
      <c r="R8" s="1489"/>
      <c r="S8" s="1489"/>
    </row>
    <row r="9" spans="1:22">
      <c r="A9" s="2597">
        <f>'数据-取费表'!AN9</f>
        <v>0</v>
      </c>
      <c r="B9" s="2595" t="e">
        <f ca="1">IF(F9="是",'数据-取费表'!AO9,0)</f>
        <v>#REF!</v>
      </c>
      <c r="C9" s="1871" t="s">
        <v>1650</v>
      </c>
      <c r="D9" s="2702"/>
      <c r="E9" s="2599">
        <f>IF(OR(A9=0,F9="否"),0,'数据-取费表'!K9+'数据-取费表'!S9)</f>
        <v>0</v>
      </c>
      <c r="F9" s="1875" t="s">
        <v>1656</v>
      </c>
      <c r="G9" s="1489"/>
      <c r="H9" s="1489"/>
      <c r="I9" s="1489"/>
      <c r="J9" s="1489"/>
      <c r="K9" s="1489"/>
      <c r="L9" s="1489"/>
      <c r="M9" s="1489"/>
      <c r="N9" s="1489"/>
      <c r="O9" s="1489"/>
      <c r="P9" s="1489"/>
      <c r="Q9" s="1489"/>
      <c r="R9" s="1489"/>
      <c r="S9" s="1489"/>
    </row>
    <row r="10" spans="1:22">
      <c r="A10" s="2597">
        <f>'数据-取费表'!AN10</f>
        <v>0</v>
      </c>
      <c r="B10" s="2595" t="e">
        <f ca="1">IF(F10="是",'数据-取费表'!AO10,0)</f>
        <v>#REF!</v>
      </c>
      <c r="C10" s="1871" t="s">
        <v>1650</v>
      </c>
      <c r="D10" s="2702"/>
      <c r="E10" s="2599">
        <f>IF(OR(A10=0,F10="否"),0,'数据-取费表'!K10+'数据-取费表'!S10)</f>
        <v>0</v>
      </c>
      <c r="F10" s="1875" t="s">
        <v>1656</v>
      </c>
      <c r="G10" s="1489"/>
      <c r="H10" s="1489"/>
      <c r="I10" s="1489"/>
      <c r="J10" s="1489"/>
      <c r="K10" s="1489"/>
      <c r="L10" s="1489"/>
      <c r="M10" s="1489"/>
      <c r="N10" s="1489"/>
      <c r="O10" s="1489"/>
      <c r="P10" s="1489"/>
      <c r="Q10" s="1489"/>
      <c r="R10" s="1489"/>
      <c r="S10" s="1489"/>
    </row>
    <row r="11" spans="1:22">
      <c r="A11" s="2597">
        <f>'数据-取费表'!AN11</f>
        <v>0</v>
      </c>
      <c r="B11" s="2595" t="e">
        <f ca="1">IF(F11="是",'数据-取费表'!AO11,0)</f>
        <v>#REF!</v>
      </c>
      <c r="C11" s="1871" t="s">
        <v>1650</v>
      </c>
      <c r="D11" s="2702"/>
      <c r="E11" s="2599">
        <f>IF(OR(A11=0,F11="否"),0,'数据-取费表'!K11+'数据-取费表'!S11)</f>
        <v>0</v>
      </c>
      <c r="F11" s="1875" t="s">
        <v>1656</v>
      </c>
      <c r="G11" s="1489"/>
      <c r="H11" s="1489"/>
      <c r="I11" s="1489"/>
      <c r="J11" s="1489"/>
      <c r="K11" s="1489"/>
      <c r="L11" s="1489"/>
      <c r="M11" s="1489"/>
      <c r="N11" s="1489"/>
      <c r="O11" s="1489"/>
      <c r="P11" s="1489"/>
      <c r="Q11" s="1489"/>
      <c r="R11" s="1489"/>
      <c r="S11" s="1489"/>
    </row>
    <row r="12" spans="1:22">
      <c r="A12" s="2597">
        <f>'数据-取费表'!AN12</f>
        <v>0</v>
      </c>
      <c r="B12" s="2595" t="e">
        <f ca="1">IF(F12="是",'数据-取费表'!AO12,0)</f>
        <v>#REF!</v>
      </c>
      <c r="C12" s="1871" t="s">
        <v>1650</v>
      </c>
      <c r="D12" s="2702"/>
      <c r="E12" s="2599">
        <f>IF(OR(A12=0,F12="否"),0,'数据-取费表'!K12+'数据-取费表'!S12)</f>
        <v>0</v>
      </c>
      <c r="F12" s="1875" t="s">
        <v>1656</v>
      </c>
      <c r="G12" s="1489"/>
      <c r="H12" s="1489"/>
      <c r="I12" s="1489"/>
      <c r="J12" s="1489"/>
      <c r="K12" s="1489"/>
      <c r="L12" s="1489"/>
      <c r="M12" s="1489"/>
      <c r="N12" s="1489"/>
      <c r="O12" s="1489"/>
      <c r="P12" s="1489"/>
      <c r="Q12" s="1489"/>
      <c r="R12" s="1489"/>
      <c r="S12" s="1489"/>
    </row>
    <row r="13" spans="1:22" ht="15" thickBot="1">
      <c r="A13" s="2598">
        <f>'数据-取费表'!AN13</f>
        <v>0</v>
      </c>
      <c r="B13" s="2595" t="e">
        <f ca="1">IF(F13="是",'数据-取费表'!AO13,0)</f>
        <v>#REF!</v>
      </c>
      <c r="C13" s="1876" t="s">
        <v>1650</v>
      </c>
      <c r="D13" s="2703"/>
      <c r="E13" s="2599">
        <f>IF(OR(A13=0,F13="否"),0,'数据-取费表'!K13+'数据-取费表'!S13)</f>
        <v>0</v>
      </c>
      <c r="F13" s="1875"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7" t="s">
        <v>1660</v>
      </c>
      <c r="C1" s="1238" t="s">
        <v>1661</v>
      </c>
      <c r="D1" s="1225"/>
      <c r="E1" s="3420"/>
      <c r="F1" s="1878"/>
      <c r="G1" s="1235" t="s">
        <v>1662</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1663</v>
      </c>
      <c r="F2" s="1882"/>
      <c r="G2" s="907"/>
      <c r="H2" s="907"/>
      <c r="I2" s="907"/>
      <c r="J2" s="907"/>
      <c r="K2" s="1883"/>
      <c r="L2" s="2706"/>
      <c r="M2" s="2707"/>
      <c r="N2" s="2707"/>
      <c r="O2" s="2707"/>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820.57</v>
      </c>
      <c r="E3" s="907"/>
      <c r="F3" s="1887"/>
      <c r="G3" s="907"/>
      <c r="H3" s="907"/>
      <c r="I3" s="907"/>
      <c r="J3" s="907"/>
      <c r="K3" s="1883"/>
      <c r="L3" s="2706"/>
      <c r="M3" s="2707"/>
      <c r="N3" s="2707"/>
      <c r="O3" s="2707"/>
      <c r="P3" s="1884"/>
      <c r="Q3" s="1885"/>
      <c r="R3" s="1885"/>
      <c r="S3" s="1885"/>
      <c r="T3" s="1885"/>
      <c r="U3" s="1885"/>
      <c r="V3" s="1885"/>
      <c r="W3" s="1885"/>
      <c r="X3" s="1885"/>
      <c r="Y3" s="1885"/>
      <c r="Z3" s="1885"/>
      <c r="AA3" s="1885"/>
      <c r="AB3" s="1885"/>
      <c r="AC3" s="1061"/>
    </row>
    <row r="4" spans="1:29" ht="15">
      <c r="A4" s="355" t="s">
        <v>1665</v>
      </c>
      <c r="B4" s="356"/>
      <c r="C4" s="3678" t="s">
        <v>1666</v>
      </c>
      <c r="D4" s="3679"/>
      <c r="E4" s="3680" t="s">
        <v>1667</v>
      </c>
      <c r="F4" s="3681"/>
      <c r="G4" s="3678" t="s">
        <v>1668</v>
      </c>
      <c r="H4" s="3679"/>
      <c r="I4" s="3678" t="s">
        <v>1669</v>
      </c>
      <c r="J4" s="3679"/>
      <c r="K4" s="1888" t="s">
        <v>1670</v>
      </c>
      <c r="L4" s="2708"/>
      <c r="M4" s="2709"/>
      <c r="N4" s="2709"/>
      <c r="O4" s="2709"/>
      <c r="P4" s="3682" t="s">
        <v>1671</v>
      </c>
      <c r="Q4" s="3683"/>
      <c r="R4" s="3688" t="s">
        <v>1667</v>
      </c>
      <c r="S4" s="3689"/>
      <c r="T4" s="3688" t="s">
        <v>1668</v>
      </c>
      <c r="U4" s="3689"/>
      <c r="V4" s="3673" t="s">
        <v>1669</v>
      </c>
      <c r="W4" s="3673"/>
      <c r="X4" s="1355"/>
      <c r="Y4" s="3688" t="s">
        <v>1671</v>
      </c>
      <c r="Z4" s="3689"/>
      <c r="AA4" s="3675" t="s">
        <v>1667</v>
      </c>
      <c r="AB4" s="3675" t="s">
        <v>1668</v>
      </c>
      <c r="AC4" s="3675" t="s">
        <v>1669</v>
      </c>
    </row>
    <row r="5" spans="1:29" ht="15">
      <c r="A5" s="358"/>
      <c r="B5" s="359"/>
      <c r="C5" s="3696" t="s">
        <v>1672</v>
      </c>
      <c r="D5" s="3697"/>
      <c r="E5" s="3704" t="s">
        <v>1673</v>
      </c>
      <c r="F5" s="3705"/>
      <c r="G5" s="3696" t="s">
        <v>1674</v>
      </c>
      <c r="H5" s="3697"/>
      <c r="I5" s="3696" t="s">
        <v>1675</v>
      </c>
      <c r="J5" s="3697"/>
      <c r="K5" s="1889"/>
      <c r="L5" s="2708"/>
      <c r="M5" s="2709"/>
      <c r="N5" s="2709"/>
      <c r="O5" s="2709"/>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1889" t="s">
        <v>1677</v>
      </c>
      <c r="L6" s="2708"/>
      <c r="M6" s="2709"/>
      <c r="N6" s="2709"/>
      <c r="O6" s="2709"/>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0"/>
      <c r="L7" s="2710"/>
      <c r="M7" s="2711"/>
      <c r="N7" s="2711"/>
      <c r="O7" s="2711"/>
      <c r="P7" s="3698" t="s">
        <v>1679</v>
      </c>
      <c r="Q7" s="3700"/>
      <c r="R7" s="701" t="s">
        <v>20</v>
      </c>
      <c r="S7" s="702">
        <f t="shared" ref="S7:S15" si="0">F7</f>
        <v>0</v>
      </c>
      <c r="T7" s="701" t="s">
        <v>20</v>
      </c>
      <c r="U7" s="702">
        <f t="shared" ref="U7:U15" si="1">H7</f>
        <v>0</v>
      </c>
      <c r="V7" s="701" t="s">
        <v>20</v>
      </c>
      <c r="W7" s="702">
        <f t="shared" ref="W7:W15"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0"/>
      <c r="M8" s="2711"/>
      <c r="N8" s="2711"/>
      <c r="O8" s="2711"/>
      <c r="P8" s="3698" t="s">
        <v>1682</v>
      </c>
      <c r="Q8" s="3699"/>
      <c r="R8" s="701" t="s">
        <v>20</v>
      </c>
      <c r="S8" s="702">
        <f t="shared" si="0"/>
        <v>100</v>
      </c>
      <c r="T8" s="701" t="s">
        <v>20</v>
      </c>
      <c r="U8" s="702">
        <f t="shared" si="1"/>
        <v>100</v>
      </c>
      <c r="V8" s="701" t="s">
        <v>20</v>
      </c>
      <c r="W8" s="702">
        <f t="shared" si="2"/>
        <v>100</v>
      </c>
      <c r="X8" s="703"/>
      <c r="Y8" s="3698" t="s">
        <v>1682</v>
      </c>
      <c r="Z8" s="3699"/>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0"/>
      <c r="M9" s="2711"/>
      <c r="N9" s="2711"/>
      <c r="O9" s="2711"/>
      <c r="P9" s="3674"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9"/>
      <c r="F10" s="376">
        <f>SUMIF(65:65,E10,66:66)-SUMIF(65:65,C10,66:66)+100</f>
        <v>100</v>
      </c>
      <c r="G10" s="3428"/>
      <c r="H10" s="127">
        <f>SUMIF(65:65,G10,66:66)-SUMIF(65:65,C10,66:66)+100</f>
        <v>100</v>
      </c>
      <c r="I10" s="3428"/>
      <c r="J10" s="127">
        <f>SUMIF(65:65,I10,66:66)-SUMIF(65:65,C10,66:66)+100</f>
        <v>100</v>
      </c>
      <c r="K10" s="1890"/>
      <c r="L10" s="2712"/>
      <c r="M10" s="2713"/>
      <c r="N10" s="2713"/>
      <c r="O10" s="2713"/>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74"/>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0"/>
      <c r="M12" s="2711"/>
      <c r="N12" s="2711"/>
      <c r="O12" s="2711"/>
      <c r="P12" s="3674"/>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5"/>
      <c r="M13" s="2709"/>
      <c r="N13" s="2709"/>
      <c r="O13" s="2709"/>
      <c r="P13" s="3674"/>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5"/>
      <c r="M14" s="2709"/>
      <c r="N14" s="2709"/>
      <c r="O14" s="2709"/>
      <c r="P14" s="3674"/>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15">
      <c r="A15" s="391" t="s">
        <v>1689</v>
      </c>
      <c r="B15" s="61" t="s">
        <v>1256</v>
      </c>
      <c r="C15" s="1895"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64" t="s">
        <v>1690</v>
      </c>
      <c r="Q15" s="1352" t="str">
        <f t="shared" si="6"/>
        <v>居住社区成熟度</v>
      </c>
      <c r="R15" s="705" t="s">
        <v>18</v>
      </c>
      <c r="S15" s="706">
        <f t="shared" si="0"/>
        <v>100</v>
      </c>
      <c r="T15" s="705" t="s">
        <v>18</v>
      </c>
      <c r="U15" s="706">
        <f t="shared" si="1"/>
        <v>100</v>
      </c>
      <c r="V15" s="705" t="s">
        <v>18</v>
      </c>
      <c r="W15" s="706">
        <f t="shared" si="2"/>
        <v>100</v>
      </c>
      <c r="X15" s="1355"/>
      <c r="Y15" s="3666" t="s">
        <v>1690</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5"/>
      <c r="M16" s="2709"/>
      <c r="N16" s="2709"/>
      <c r="O16" s="2709"/>
      <c r="P16" s="3665"/>
      <c r="Q16" s="1352"/>
      <c r="R16" s="705"/>
      <c r="S16" s="706"/>
      <c r="T16" s="705"/>
      <c r="U16" s="706"/>
      <c r="V16" s="705"/>
      <c r="W16" s="706"/>
      <c r="X16" s="1355"/>
      <c r="Y16" s="3667"/>
      <c r="Z16" s="1356"/>
      <c r="AA16" s="1353">
        <v>1</v>
      </c>
      <c r="AB16" s="1353">
        <v>1</v>
      </c>
      <c r="AC16" s="1353">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65"/>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5"/>
      <c r="M18" s="2709"/>
      <c r="N18" s="2709"/>
      <c r="O18" s="2709"/>
      <c r="P18" s="3665"/>
      <c r="Q18" s="1352"/>
      <c r="R18" s="705"/>
      <c r="S18" s="706"/>
      <c r="T18" s="705"/>
      <c r="U18" s="706"/>
      <c r="V18" s="705"/>
      <c r="W18" s="706"/>
      <c r="X18" s="1355"/>
      <c r="Y18" s="3667"/>
      <c r="Z18" s="1356"/>
      <c r="AA18" s="1353">
        <v>1</v>
      </c>
      <c r="AB18" s="1353">
        <v>1</v>
      </c>
      <c r="AC18" s="1353">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65"/>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5"/>
      <c r="M20" s="2709"/>
      <c r="N20" s="2709"/>
      <c r="O20" s="2709"/>
      <c r="P20" s="3665"/>
      <c r="Q20" s="1352"/>
      <c r="R20" s="705"/>
      <c r="S20" s="706"/>
      <c r="T20" s="705"/>
      <c r="U20" s="706"/>
      <c r="V20" s="705"/>
      <c r="W20" s="706"/>
      <c r="X20" s="1355"/>
      <c r="Y20" s="3667"/>
      <c r="Z20" s="1356"/>
      <c r="AA20" s="1353">
        <v>1</v>
      </c>
      <c r="AB20" s="1353">
        <v>1</v>
      </c>
      <c r="AC20" s="1353">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5"/>
      <c r="M22" s="2709"/>
      <c r="N22" s="2709"/>
      <c r="O22" s="2709"/>
      <c r="P22" s="3665"/>
      <c r="Q22" s="1352"/>
      <c r="R22" s="705"/>
      <c r="S22" s="706"/>
      <c r="T22" s="705"/>
      <c r="U22" s="706"/>
      <c r="V22" s="705"/>
      <c r="W22" s="706"/>
      <c r="X22" s="1355"/>
      <c r="Y22" s="3667"/>
      <c r="Z22" s="1356"/>
      <c r="AA22" s="1353">
        <v>1</v>
      </c>
      <c r="AB22" s="1353">
        <v>1</v>
      </c>
      <c r="AC22" s="1353">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65"/>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5"/>
      <c r="M24" s="2709"/>
      <c r="N24" s="2709"/>
      <c r="O24" s="2709"/>
      <c r="P24" s="3665"/>
      <c r="Q24" s="1352"/>
      <c r="R24" s="705"/>
      <c r="S24" s="706"/>
      <c r="T24" s="705"/>
      <c r="U24" s="706"/>
      <c r="V24" s="705"/>
      <c r="W24" s="706"/>
      <c r="X24" s="1355"/>
      <c r="Y24" s="3667"/>
      <c r="Z24" s="1356"/>
      <c r="AA24" s="1353">
        <v>1</v>
      </c>
      <c r="AB24" s="1353">
        <v>1</v>
      </c>
      <c r="AC24" s="1353">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15"/>
      <c r="M25" s="2709"/>
      <c r="N25" s="2709"/>
      <c r="O25" s="2709"/>
      <c r="P25" s="366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15"/>
      <c r="M26" s="2709"/>
      <c r="N26" s="2709"/>
      <c r="O26" s="2709"/>
      <c r="P26" s="3665"/>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0"/>
      <c r="M27" s="2711"/>
      <c r="N27" s="2711"/>
      <c r="O27" s="2711"/>
      <c r="P27" s="3665"/>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5"/>
      <c r="M28" s="2709"/>
      <c r="N28" s="2709"/>
      <c r="O28" s="2709"/>
      <c r="P28" s="3665"/>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5"/>
      <c r="M29" s="2709"/>
      <c r="N29" s="2709"/>
      <c r="O29" s="2709"/>
      <c r="P29" s="3665"/>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5"/>
      <c r="M30" s="2709"/>
      <c r="N30" s="2709"/>
      <c r="O30" s="2709"/>
      <c r="P30" s="3665"/>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5"/>
      <c r="M31" s="2709"/>
      <c r="N31" s="2709"/>
      <c r="O31" s="2709"/>
      <c r="P31" s="3665"/>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5"/>
      <c r="M32" s="2709"/>
      <c r="N32" s="2709"/>
      <c r="O32" s="2709"/>
      <c r="P32" s="3668" t="s">
        <v>1695</v>
      </c>
      <c r="Q32" s="1352" t="str">
        <f t="shared" si="11"/>
        <v>建筑类型</v>
      </c>
      <c r="R32" s="705" t="s">
        <v>18</v>
      </c>
      <c r="S32" s="706">
        <f t="shared" si="12"/>
        <v>100</v>
      </c>
      <c r="T32" s="705" t="s">
        <v>18</v>
      </c>
      <c r="U32" s="706">
        <f t="shared" si="13"/>
        <v>100</v>
      </c>
      <c r="V32" s="705" t="s">
        <v>18</v>
      </c>
      <c r="W32" s="706">
        <f t="shared" si="14"/>
        <v>100</v>
      </c>
      <c r="X32" s="1355"/>
      <c r="Y32" s="367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4"/>
      <c r="M33" s="2716"/>
      <c r="N33" s="2716"/>
      <c r="O33" s="2716"/>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5"/>
      <c r="M34" s="2709"/>
      <c r="N34" s="2709"/>
      <c r="O34" s="2709"/>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5"/>
      <c r="M35" s="2709"/>
      <c r="N35" s="2709"/>
      <c r="O35" s="2709"/>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5"/>
      <c r="M36" s="2709"/>
      <c r="N36" s="2709"/>
      <c r="O36" s="2709"/>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5"/>
      <c r="M38" s="2709"/>
      <c r="N38" s="2709"/>
      <c r="O38" s="2709"/>
      <c r="P38" s="3669" t="s">
        <v>1695</v>
      </c>
      <c r="Q38" s="1352" t="str">
        <f t="shared" si="11"/>
        <v>物业管理</v>
      </c>
      <c r="R38" s="705" t="s">
        <v>18</v>
      </c>
      <c r="S38" s="706">
        <f t="shared" si="12"/>
        <v>100</v>
      </c>
      <c r="T38" s="705" t="s">
        <v>18</v>
      </c>
      <c r="U38" s="706">
        <f t="shared" si="13"/>
        <v>100</v>
      </c>
      <c r="V38" s="705" t="s">
        <v>18</v>
      </c>
      <c r="W38" s="706">
        <f t="shared" si="14"/>
        <v>100</v>
      </c>
      <c r="X38" s="1355"/>
      <c r="Y38" s="3671" t="s">
        <v>1695</v>
      </c>
      <c r="Z38" s="1356" t="str">
        <f t="shared" si="18"/>
        <v>物业管理</v>
      </c>
      <c r="AA38" s="1353">
        <f t="shared" si="15"/>
        <v>1</v>
      </c>
      <c r="AB38" s="1353">
        <f t="shared" si="16"/>
        <v>1</v>
      </c>
      <c r="AC38" s="1353">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5"/>
      <c r="M39" s="2709"/>
      <c r="N39" s="2709"/>
      <c r="O39" s="2709"/>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5"/>
      <c r="M40" s="2709"/>
      <c r="N40" s="2709"/>
      <c r="O40" s="2709"/>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4"/>
      <c r="M41" s="2716"/>
      <c r="N41" s="2716"/>
      <c r="O41" s="2716"/>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5"/>
      <c r="M42" s="2709"/>
      <c r="N42" s="2709"/>
      <c r="O42" s="2709"/>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5"/>
      <c r="M43" s="2709"/>
      <c r="N43" s="2709"/>
      <c r="O43" s="2709"/>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0"/>
      <c r="M44" s="2711"/>
      <c r="N44" s="2711"/>
      <c r="O44" s="2711"/>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5"/>
      <c r="M45" s="2709"/>
      <c r="N45" s="2709"/>
      <c r="O45" s="2709"/>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5"/>
      <c r="M46" s="2709"/>
      <c r="N46" s="2709"/>
      <c r="O46" s="2709"/>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3"/>
      <c r="L47" s="2717"/>
      <c r="M47" s="2718"/>
      <c r="N47" s="2709"/>
      <c r="O47" s="2718"/>
      <c r="P47" s="3659" t="str">
        <f>A47</f>
        <v>成交单价（元/平方米）</v>
      </c>
      <c r="Q47" s="3659"/>
      <c r="R47" s="3660">
        <f>E47</f>
        <v>0</v>
      </c>
      <c r="S47" s="3660"/>
      <c r="T47" s="3660">
        <f>G47</f>
        <v>0</v>
      </c>
      <c r="U47" s="3660"/>
      <c r="V47" s="3660">
        <f>I47</f>
        <v>0</v>
      </c>
      <c r="W47" s="3660"/>
      <c r="X47" s="690"/>
      <c r="Y47" s="712"/>
      <c r="Z47" s="690"/>
      <c r="AA47" s="690"/>
      <c r="AB47" s="690"/>
      <c r="AC47" s="690"/>
    </row>
    <row r="48" spans="1:29" ht="15.75" thickBot="1">
      <c r="A48" s="437" t="s">
        <v>1708</v>
      </c>
      <c r="B48" s="438"/>
      <c r="C48" s="1160" t="e">
        <f>R49</f>
        <v>#DIV/0!</v>
      </c>
      <c r="D48" s="2315" t="s">
        <v>2136</v>
      </c>
      <c r="E48" s="1161" t="e">
        <f>R48</f>
        <v>#DIV/0!</v>
      </c>
      <c r="F48" s="2316"/>
      <c r="G48" s="1160" t="e">
        <f>T48</f>
        <v>#DIV/0!</v>
      </c>
      <c r="H48" s="2316"/>
      <c r="I48" s="1161" t="e">
        <f>V48</f>
        <v>#DIV/0!</v>
      </c>
      <c r="J48" s="2316"/>
      <c r="K48" s="2317">
        <f>F48+H48+J48</f>
        <v>0</v>
      </c>
      <c r="L48" s="2717"/>
      <c r="M48" s="2718"/>
      <c r="N48" s="2718"/>
      <c r="O48" s="2718"/>
      <c r="P48" s="3659" t="str">
        <f>A48</f>
        <v>比较价值（元/平方米）</v>
      </c>
      <c r="Q48" s="3659"/>
      <c r="R48" s="3660" t="e">
        <f>IF(F1="售价",ROUND(PRODUCT(R47,AA7:AA46),0),ROUND(PRODUCT(R47,AA7:AA46),1))</f>
        <v>#DIV/0!</v>
      </c>
      <c r="S48" s="3660"/>
      <c r="T48" s="3660" t="e">
        <f>IF(F1="售价",ROUND(PRODUCT(T47,AB7:AB46),0),ROUND(PRODUCT(T47,AB7:AB46),1))</f>
        <v>#DIV/0!</v>
      </c>
      <c r="U48" s="3660"/>
      <c r="V48" s="3660" t="e">
        <f>IF(F1="售价",ROUND(PRODUCT(V47,AC7:AC46),0),ROUND(PRODUCT(V47,AC7:AC46),1))</f>
        <v>#DIV/0!</v>
      </c>
      <c r="W48" s="366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4"/>
      <c r="L49" s="2717"/>
      <c r="M49" s="2718"/>
      <c r="N49" s="2718"/>
      <c r="O49" s="2718"/>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6"/>
    </row>
    <row r="55" spans="1:29" s="451" customFormat="1">
      <c r="A55" s="2721"/>
      <c r="B55" s="2724"/>
      <c r="C55" s="2725"/>
      <c r="D55" s="2721"/>
      <c r="E55" s="2721"/>
      <c r="F55" s="2721"/>
      <c r="G55" s="2721"/>
      <c r="H55" s="2721"/>
      <c r="I55" s="2721"/>
      <c r="J55" s="2721"/>
      <c r="K55" s="2726"/>
      <c r="L55" s="2720"/>
      <c r="M55" s="2721"/>
      <c r="N55" s="2721"/>
      <c r="O55" s="2721"/>
      <c r="P55" s="1916"/>
    </row>
    <row r="56" spans="1:29">
      <c r="A56" s="2718"/>
      <c r="B56" s="2724"/>
      <c r="C56" s="2725"/>
      <c r="D56" s="2718"/>
      <c r="E56" s="2718"/>
      <c r="F56" s="2718"/>
      <c r="G56" s="2718"/>
      <c r="H56" s="2718"/>
      <c r="I56" s="2718"/>
      <c r="J56" s="2718"/>
      <c r="K56" s="2723"/>
      <c r="L56" s="2719"/>
      <c r="M56" s="2718"/>
      <c r="N56" s="2718"/>
      <c r="O56" s="2718"/>
    </row>
    <row r="57" spans="1:29" ht="21.75" thickBot="1">
      <c r="A57" s="694" t="s">
        <v>1713</v>
      </c>
      <c r="B57" s="690"/>
      <c r="C57" s="695"/>
      <c r="D57" s="695"/>
      <c r="E57" s="695"/>
      <c r="F57" s="696"/>
      <c r="G57" s="696"/>
      <c r="H57" s="695"/>
      <c r="I57" s="695"/>
      <c r="J57" s="695"/>
      <c r="K57" s="941"/>
      <c r="L57" s="942"/>
      <c r="M57" s="940"/>
      <c r="N57" s="940"/>
      <c r="O57" s="940"/>
      <c r="P57" s="1917"/>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1718</v>
      </c>
      <c r="B63" s="477" t="s">
        <v>1684</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1687</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1733</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1734</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1693</v>
      </c>
      <c r="B100" s="477" t="s">
        <v>1735</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1737</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1738</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1739</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1740</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1741</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1742</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1743</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7">
        <v>6</v>
      </c>
      <c r="C139" s="868">
        <v>96</v>
      </c>
      <c r="D139" s="1939" t="s">
        <v>1754</v>
      </c>
      <c r="E139" s="869">
        <v>100</v>
      </c>
      <c r="F139" s="870">
        <v>102.5</v>
      </c>
      <c r="G139" s="1939" t="s">
        <v>1754</v>
      </c>
      <c r="H139" s="871">
        <v>105</v>
      </c>
      <c r="I139" s="1940" t="s">
        <v>1755</v>
      </c>
      <c r="J139" s="868">
        <v>20</v>
      </c>
      <c r="K139" s="872">
        <f>C145/(J139-2)</f>
        <v>4.0555555555555553E-3</v>
      </c>
    </row>
    <row r="140" spans="1:17" ht="15">
      <c r="B140" s="873">
        <v>5</v>
      </c>
      <c r="C140" s="874">
        <v>100</v>
      </c>
      <c r="D140" s="874"/>
      <c r="E140" s="875"/>
      <c r="F140" s="876">
        <v>102</v>
      </c>
      <c r="G140" s="874"/>
      <c r="H140" s="877"/>
      <c r="I140" s="1941" t="s">
        <v>1756</v>
      </c>
      <c r="J140" s="271">
        <f>ROUNDUP((J139-1)/2,0)</f>
        <v>10</v>
      </c>
      <c r="K140" s="878">
        <v>100</v>
      </c>
    </row>
    <row r="141" spans="1:17" ht="15">
      <c r="B141" s="873">
        <v>4</v>
      </c>
      <c r="C141" s="874">
        <v>102</v>
      </c>
      <c r="D141" s="874"/>
      <c r="E141" s="875"/>
      <c r="F141" s="876">
        <v>101.5</v>
      </c>
      <c r="G141" s="874"/>
      <c r="H141" s="877"/>
      <c r="I141" s="1941" t="s">
        <v>1757</v>
      </c>
      <c r="J141" s="271">
        <v>1</v>
      </c>
      <c r="K141" s="879">
        <f>ROUND(100+(J141-J140)*K139*100,1)</f>
        <v>96.4</v>
      </c>
    </row>
    <row r="142" spans="1:17" ht="15">
      <c r="B142" s="873">
        <v>3</v>
      </c>
      <c r="C142" s="874">
        <v>103</v>
      </c>
      <c r="D142" s="874"/>
      <c r="E142" s="875"/>
      <c r="F142" s="876">
        <v>101</v>
      </c>
      <c r="G142" s="874"/>
      <c r="H142" s="877"/>
      <c r="I142" s="1941" t="s">
        <v>1758</v>
      </c>
      <c r="J142" s="271">
        <f>J139</f>
        <v>20</v>
      </c>
      <c r="K142" s="880">
        <v>95</v>
      </c>
    </row>
    <row r="143" spans="1:17" ht="15">
      <c r="B143" s="873">
        <v>2</v>
      </c>
      <c r="C143" s="874">
        <v>100</v>
      </c>
      <c r="D143" s="874"/>
      <c r="E143" s="875"/>
      <c r="F143" s="876">
        <v>100.5</v>
      </c>
      <c r="G143" s="874"/>
      <c r="H143" s="877"/>
      <c r="I143" s="1941" t="s">
        <v>1759</v>
      </c>
      <c r="J143" s="874">
        <v>15</v>
      </c>
      <c r="K143" s="879">
        <f>ROUND(100+(J143-J140)*K139*100,1)</f>
        <v>102</v>
      </c>
    </row>
    <row r="144" spans="1:17" ht="15">
      <c r="B144" s="873">
        <v>1</v>
      </c>
      <c r="C144" s="874">
        <v>98</v>
      </c>
      <c r="D144" s="1942" t="s">
        <v>1760</v>
      </c>
      <c r="E144" s="875">
        <v>102</v>
      </c>
      <c r="F144" s="881">
        <v>100</v>
      </c>
      <c r="G144" s="1942" t="s">
        <v>1760</v>
      </c>
      <c r="H144" s="877">
        <v>105</v>
      </c>
      <c r="I144" s="1941" t="s">
        <v>1759</v>
      </c>
      <c r="J144" s="874">
        <v>18</v>
      </c>
      <c r="K144" s="879">
        <f>ROUND(100+(J144-J140)*K139*100,1)</f>
        <v>103.2</v>
      </c>
    </row>
    <row r="145" spans="2:11" ht="15.75" thickBot="1">
      <c r="B145" s="1943" t="s">
        <v>1761</v>
      </c>
      <c r="C145" s="882">
        <f>ROUND(MAX(C139:C144)/MIN(C139:C144)-1,3)</f>
        <v>7.2999999999999995E-2</v>
      </c>
      <c r="D145" s="883"/>
      <c r="E145" s="883"/>
      <c r="F145" s="1944" t="s">
        <v>1762</v>
      </c>
      <c r="G145" s="1945"/>
      <c r="H145" s="1946"/>
      <c r="I145" s="1947" t="s">
        <v>1759</v>
      </c>
      <c r="J145" s="884">
        <v>8</v>
      </c>
      <c r="K145" s="885">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tabSelected="1" view="pageBreakPreview" topLeftCell="A19" zoomScale="90" zoomScaleNormal="80" zoomScaleSheetLayoutView="90" workbookViewId="0">
      <selection activeCell="D37" sqref="D37"/>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1925</v>
      </c>
      <c r="B1" s="197"/>
      <c r="C1" s="201" t="s">
        <v>1926</v>
      </c>
      <c r="D1" s="342">
        <f>SUM(D33:D34,D37:D42)</f>
        <v>820.57</v>
      </c>
      <c r="E1" s="1994"/>
      <c r="F1" s="1994"/>
      <c r="G1" s="1994"/>
      <c r="H1" s="1994"/>
      <c r="I1" s="1994"/>
      <c r="J1" s="1994"/>
      <c r="K1" s="1119"/>
      <c r="L1" s="1995" t="s">
        <v>1927</v>
      </c>
      <c r="M1" s="863">
        <f>SUMPRODUCT((区片价!B5:B9=I2)*(区片价!C3:G3=E2)*(区片价!C5:G9))</f>
        <v>0</v>
      </c>
      <c r="N1" s="866">
        <f>SUMPRODUCT((因素修正幅度!B5:B9=I2)*(因素修正幅度!C3:G3=E2)*(因素修正幅度!C5:G9))</f>
        <v>0</v>
      </c>
      <c r="O1" s="1996"/>
      <c r="P1" s="1996"/>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548</v>
      </c>
      <c r="C2" s="1998" t="s">
        <v>1934</v>
      </c>
      <c r="D2" s="1999" t="s">
        <v>1935</v>
      </c>
      <c r="E2" s="3416" t="s">
        <v>673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Ⅵ-兴1</v>
      </c>
      <c r="J2" s="2001"/>
      <c r="K2" s="1119"/>
      <c r="L2" s="2002" t="s">
        <v>1938</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16722</v>
      </c>
      <c r="U2" s="1213"/>
      <c r="V2" s="3355">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6678</v>
      </c>
      <c r="C3" s="1998" t="s">
        <v>1940</v>
      </c>
      <c r="D3" s="1999" t="s">
        <v>1941</v>
      </c>
      <c r="E3" s="3414" t="s">
        <v>2433</v>
      </c>
      <c r="F3" s="2003" t="s">
        <v>3403</v>
      </c>
      <c r="G3" s="752">
        <f>IF(F3="宗地容积率",'数据-汇总表'!I4,IF(F3="估价对象容积率",'数据-汇总表'!I6,'数据-汇总表'!I7))</f>
        <v>2.5</v>
      </c>
      <c r="H3" s="170" t="s">
        <v>1942</v>
      </c>
      <c r="I3" s="775">
        <v>1</v>
      </c>
      <c r="J3" s="2001" t="s">
        <v>1943</v>
      </c>
      <c r="K3" s="1119"/>
      <c r="L3" s="2002" t="s">
        <v>1944</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13180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2" t="s">
        <v>1945</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1.0004999999999999</v>
      </c>
      <c r="T4" s="3355">
        <f t="shared" si="0"/>
        <v>11140</v>
      </c>
      <c r="U4" s="1213">
        <f>'数据-汇总表'!F27</f>
        <v>0</v>
      </c>
      <c r="V4" s="3355">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1946</v>
      </c>
      <c r="C5" s="753">
        <f>ROUND(IF(E2="商业",C6*C7*C17+C20,(IF(E2="住宅",C6*C13*C17+C20,IF(E2="办公",C6*C12*C17+C20,C6+C20)))),0)</f>
        <v>11180</v>
      </c>
      <c r="D5" s="1339">
        <f>ROUND(C6*C17+C20,0)</f>
        <v>11180</v>
      </c>
      <c r="E5" s="1339"/>
      <c r="F5" s="2006"/>
      <c r="G5" s="2007"/>
      <c r="H5" s="2007"/>
      <c r="I5" s="2007"/>
      <c r="J5" s="2008"/>
      <c r="K5" s="2009"/>
      <c r="L5" s="2002" t="s">
        <v>1947</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9825</v>
      </c>
      <c r="U5" s="1213"/>
      <c r="V5" s="3355">
        <f t="shared" si="1"/>
        <v>0</v>
      </c>
      <c r="W5" s="1216"/>
      <c r="X5" s="1216"/>
      <c r="Y5" s="1216"/>
      <c r="Z5" s="1216"/>
      <c r="AA5" s="1216"/>
      <c r="AB5" s="1216"/>
      <c r="AC5" s="2010"/>
      <c r="AD5" s="2011"/>
      <c r="AE5" s="2011"/>
      <c r="AF5" s="2011"/>
      <c r="AG5" s="2011"/>
      <c r="AH5" s="2011"/>
      <c r="AI5" s="2011"/>
      <c r="AJ5" s="2012"/>
    </row>
    <row r="6" spans="1:36" ht="15.75" thickBot="1">
      <c r="A6" s="2014" t="s">
        <v>1948</v>
      </c>
      <c r="B6" s="2015" t="s">
        <v>1949</v>
      </c>
      <c r="C6" s="754">
        <f>SUMIF(L1:L12,G2,M1:M12)</f>
        <v>11180</v>
      </c>
      <c r="D6" s="2016"/>
      <c r="E6" s="2017"/>
      <c r="F6" s="2017"/>
      <c r="G6" s="2018"/>
      <c r="H6" s="2018"/>
      <c r="I6" s="2018"/>
      <c r="J6" s="2019"/>
      <c r="K6" s="1384"/>
      <c r="L6" s="2002" t="s">
        <v>1950</v>
      </c>
      <c r="M6" s="864">
        <f>SUMPRODUCT((区片价!B127:B189=I2)*(区片价!C3:G3=E2)*(区片价!C127:G189))</f>
        <v>11180</v>
      </c>
      <c r="N6" s="866">
        <f>SUMPRODUCT((因素修正幅度!B127:B189=I2)*(因素修正幅度!C3:G3=E2)*(因素修正幅度!C127:G189))</f>
        <v>0.13</v>
      </c>
      <c r="O6" s="1119"/>
      <c r="P6" s="1119"/>
      <c r="Q6" s="1119"/>
      <c r="R6" s="1212">
        <v>5</v>
      </c>
      <c r="S6" s="3355">
        <f>ROUND(SUMPRODUCT((B106:B110=R6)*(C105:N105=G2)*(C106:N110)),4)</f>
        <v>0.84799999999999998</v>
      </c>
      <c r="T6" s="3355">
        <f t="shared" si="0"/>
        <v>9442</v>
      </c>
      <c r="U6" s="1213"/>
      <c r="V6" s="3355">
        <f t="shared" si="1"/>
        <v>0</v>
      </c>
      <c r="W6" s="1216"/>
      <c r="X6" s="1216"/>
      <c r="Y6" s="1216"/>
      <c r="Z6" s="1216"/>
      <c r="AA6" s="1216"/>
      <c r="AB6" s="1216"/>
      <c r="AC6" s="2010"/>
      <c r="AD6" s="2011"/>
      <c r="AE6" s="2011"/>
      <c r="AF6" s="2011"/>
      <c r="AG6" s="2011"/>
      <c r="AH6" s="2011"/>
      <c r="AI6" s="2011"/>
      <c r="AJ6" s="2012"/>
    </row>
    <row r="7" spans="1:36" ht="24.75" thickBot="1">
      <c r="A7" s="3298" t="s">
        <v>3237</v>
      </c>
      <c r="B7" s="2020" t="s">
        <v>1951</v>
      </c>
      <c r="C7" s="755">
        <f>IF(C8="不临65条商业街",1,ROUND(1+(1.6*E8+1.2*E9+0.8*E10+0.4*E11)*C9,4))</f>
        <v>1</v>
      </c>
      <c r="D7" s="2021" t="s">
        <v>1952</v>
      </c>
      <c r="E7" s="776">
        <v>30</v>
      </c>
      <c r="F7" s="2022"/>
      <c r="G7" s="2023"/>
      <c r="H7" s="2023"/>
      <c r="I7" s="2023"/>
      <c r="J7" s="2024"/>
      <c r="K7" s="1384"/>
      <c r="L7" s="2002" t="s">
        <v>1953</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3"/>
      <c r="B8" s="170" t="s">
        <v>1956</v>
      </c>
      <c r="C8" s="2025" t="s">
        <v>3404</v>
      </c>
      <c r="D8" s="756" t="s">
        <v>112</v>
      </c>
      <c r="E8" s="757">
        <f>ROUND(C11/E7,4)</f>
        <v>0</v>
      </c>
      <c r="F8" s="2026" t="s">
        <v>1957</v>
      </c>
      <c r="G8" s="2027"/>
      <c r="H8" s="2027"/>
      <c r="I8" s="2027"/>
      <c r="J8" s="2028"/>
      <c r="K8" s="1119"/>
      <c r="L8" s="2002" t="s">
        <v>1958</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41" t="s">
        <v>1959</v>
      </c>
      <c r="X8" s="374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3"/>
      <c r="B9" s="170" t="s">
        <v>1972</v>
      </c>
      <c r="C9" s="758">
        <f>SUMIF(修正!C71:C138,C8,修正!E71:E138)</f>
        <v>0</v>
      </c>
      <c r="D9" s="171" t="s">
        <v>113</v>
      </c>
      <c r="E9" s="171">
        <f>ROUND(C11/E7,4)</f>
        <v>0</v>
      </c>
      <c r="F9" s="2026" t="s">
        <v>1973</v>
      </c>
      <c r="G9" s="2027"/>
      <c r="H9" s="2027"/>
      <c r="I9" s="2027"/>
      <c r="J9" s="2028"/>
      <c r="K9" s="1119"/>
      <c r="L9" s="2002" t="s">
        <v>1974</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43"/>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1975</v>
      </c>
      <c r="C10" s="171">
        <f>SUMIF(修正!C71:C138,C8,修正!F71:F138)</f>
        <v>0</v>
      </c>
      <c r="D10" s="171" t="s">
        <v>114</v>
      </c>
      <c r="E10" s="171">
        <f>ROUND(C11/E7,4)</f>
        <v>0</v>
      </c>
      <c r="F10" s="2026" t="s">
        <v>1976</v>
      </c>
      <c r="G10" s="2027"/>
      <c r="H10" s="2027"/>
      <c r="I10" s="2027"/>
      <c r="J10" s="2028"/>
      <c r="K10" s="1119"/>
      <c r="L10" s="2002"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4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9" t="s">
        <v>1978</v>
      </c>
      <c r="C11" s="759">
        <f>C10/4</f>
        <v>0</v>
      </c>
      <c r="D11" s="759" t="s">
        <v>115</v>
      </c>
      <c r="E11" s="759">
        <f>ROUND(C11/E7,4)</f>
        <v>0</v>
      </c>
      <c r="F11" s="2030" t="s">
        <v>1979</v>
      </c>
      <c r="G11" s="2031"/>
      <c r="H11" s="2031"/>
      <c r="I11" s="2031"/>
      <c r="J11" s="2032"/>
      <c r="K11" s="1119"/>
      <c r="L11" s="2002"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2"/>
      <c r="AE11" s="2782"/>
      <c r="AF11" s="2782"/>
      <c r="AG11" s="2782"/>
      <c r="AH11" s="2782"/>
      <c r="AI11" s="2782"/>
      <c r="AJ11" s="2783"/>
    </row>
    <row r="12" spans="1:36" ht="25.5" thickBot="1">
      <c r="A12" s="3298" t="s">
        <v>3238</v>
      </c>
      <c r="B12" s="3299" t="s">
        <v>3239</v>
      </c>
      <c r="C12" s="3300">
        <v>1</v>
      </c>
      <c r="D12" s="3301" t="s">
        <v>3240</v>
      </c>
      <c r="E12" s="3302" t="s">
        <v>3241</v>
      </c>
      <c r="F12" s="3303"/>
      <c r="G12" s="3304"/>
      <c r="H12" s="3304"/>
      <c r="I12" s="3304"/>
      <c r="J12" s="3305"/>
      <c r="K12" s="1119"/>
      <c r="L12" s="2038"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2"/>
      <c r="AE12" s="2782"/>
      <c r="AF12" s="2782"/>
      <c r="AG12" s="2782"/>
      <c r="AH12" s="2782"/>
      <c r="AI12" s="2782"/>
      <c r="AJ12" s="2783"/>
    </row>
    <row r="13" spans="1:36" ht="15.75" thickBot="1">
      <c r="A13" s="3298" t="s">
        <v>3242</v>
      </c>
      <c r="B13" s="2033" t="s">
        <v>1981</v>
      </c>
      <c r="C13" s="755">
        <f>ROUND(C16*D16*E16*F16*G16*H16*I16*J16,4)</f>
        <v>0</v>
      </c>
      <c r="D13" s="2034" t="s">
        <v>1982</v>
      </c>
      <c r="E13" s="2035"/>
      <c r="F13" s="2035"/>
      <c r="G13" s="2036"/>
      <c r="H13" s="2036"/>
      <c r="I13" s="2036"/>
      <c r="J13" s="2037"/>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2"/>
      <c r="AE13" s="2782"/>
      <c r="AF13" s="2782"/>
      <c r="AG13" s="2782"/>
      <c r="AH13" s="2782"/>
      <c r="AI13" s="2782"/>
      <c r="AJ13" s="2783"/>
    </row>
    <row r="14" spans="1:36" ht="15">
      <c r="A14" s="3292"/>
      <c r="B14" s="2039" t="s">
        <v>1984</v>
      </c>
      <c r="C14" s="2040" t="s">
        <v>1985</v>
      </c>
      <c r="D14" s="1350" t="s">
        <v>1986</v>
      </c>
      <c r="E14" s="27" t="s">
        <v>1987</v>
      </c>
      <c r="F14" s="3306" t="s">
        <v>3243</v>
      </c>
      <c r="G14" s="3306" t="s">
        <v>3243</v>
      </c>
      <c r="H14" s="3306" t="s">
        <v>3243</v>
      </c>
      <c r="I14" s="3306" t="s">
        <v>3243</v>
      </c>
      <c r="J14" s="3306" t="s">
        <v>3243</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2"/>
      <c r="AE14" s="2782"/>
      <c r="AF14" s="2782"/>
      <c r="AG14" s="2782"/>
      <c r="AH14" s="2782"/>
      <c r="AI14" s="2782"/>
      <c r="AJ14" s="2783"/>
    </row>
    <row r="15" spans="1:36" ht="15">
      <c r="A15" s="3292"/>
      <c r="B15" s="2041"/>
      <c r="C15" s="2042"/>
      <c r="D15" s="2043"/>
      <c r="E15" s="2044"/>
      <c r="F15" s="3307" t="s">
        <v>3244</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2"/>
      <c r="AE15" s="2782"/>
      <c r="AF15" s="2782"/>
      <c r="AG15" s="2782"/>
      <c r="AH15" s="2782"/>
      <c r="AI15" s="2782"/>
      <c r="AJ15" s="2783"/>
    </row>
    <row r="16" spans="1:36" ht="15.75" thickBot="1">
      <c r="A16" s="3292"/>
      <c r="B16" s="3314" t="s">
        <v>1988</v>
      </c>
      <c r="C16" s="3312"/>
      <c r="D16" s="3312"/>
      <c r="E16" s="3312"/>
      <c r="F16" s="3312">
        <v>1</v>
      </c>
      <c r="G16" s="3312">
        <v>1</v>
      </c>
      <c r="H16" s="3312">
        <v>1</v>
      </c>
      <c r="I16" s="3312">
        <v>1</v>
      </c>
      <c r="J16" s="3313">
        <v>1</v>
      </c>
      <c r="K16" s="1119"/>
      <c r="L16" s="1996"/>
      <c r="M16" s="1996"/>
      <c r="N16" s="1996"/>
      <c r="O16" s="1996"/>
      <c r="P16" s="1996"/>
      <c r="Q16" s="1119"/>
      <c r="R16" s="1212">
        <v>15</v>
      </c>
      <c r="S16" s="1213"/>
      <c r="T16" s="3355">
        <f t="shared" si="0"/>
        <v>0</v>
      </c>
      <c r="U16" s="1213"/>
      <c r="V16" s="3355">
        <f t="shared" si="1"/>
        <v>0</v>
      </c>
      <c r="W16" s="1216"/>
      <c r="X16" s="1216"/>
      <c r="Y16" s="1216"/>
      <c r="Z16" s="1216"/>
      <c r="AA16" s="1216"/>
      <c r="AB16" s="1216"/>
      <c r="AC16" s="1217"/>
      <c r="AD16" s="2782"/>
      <c r="AE16" s="2782"/>
      <c r="AF16" s="2782"/>
      <c r="AG16" s="2782"/>
      <c r="AH16" s="2782"/>
      <c r="AI16" s="2782"/>
      <c r="AJ16" s="2783"/>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7"/>
      <c r="B18" s="3003"/>
      <c r="C18" s="3322"/>
      <c r="D18" s="3317" t="s">
        <v>3248</v>
      </c>
      <c r="E18" s="3323"/>
      <c r="F18" s="3318" t="s">
        <v>3251</v>
      </c>
      <c r="G18" s="3322">
        <f>ROUND(1-(1/(POWER(1+G24,E18))),4)</f>
        <v>0</v>
      </c>
      <c r="H18" s="3318" t="s">
        <v>3253</v>
      </c>
      <c r="I18" s="3322">
        <f>ROUND(1-(1/(POWER(1+G24,J24))),4)</f>
        <v>0.88249999999999995</v>
      </c>
      <c r="J18" s="3328"/>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1"/>
    </row>
    <row r="19" spans="1:37" s="2013" customFormat="1" ht="15" thickBot="1">
      <c r="A19" s="3329"/>
      <c r="B19" s="3330"/>
      <c r="C19" s="3331"/>
      <c r="D19" s="3331" t="s">
        <v>3249</v>
      </c>
      <c r="E19" s="3332"/>
      <c r="F19" s="3333" t="s">
        <v>3252</v>
      </c>
      <c r="G19" s="3332"/>
      <c r="H19" s="3331"/>
      <c r="I19" s="3331"/>
      <c r="J19" s="3334"/>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4"/>
      <c r="AH19" s="2139"/>
      <c r="AI19" s="2785"/>
      <c r="AJ19" s="2785"/>
      <c r="AK19" s="2055"/>
    </row>
    <row r="20" spans="1:37" s="2013" customFormat="1" ht="14.25">
      <c r="A20" s="3748" t="s">
        <v>3254</v>
      </c>
      <c r="B20" s="167" t="s">
        <v>1993</v>
      </c>
      <c r="C20" s="3319">
        <f>ROUND(IF(F21="与级别开发程度一致",0,(G21-E21)/C21),0)</f>
        <v>0</v>
      </c>
      <c r="D20" s="3335" t="s">
        <v>1997</v>
      </c>
      <c r="E20" s="3336"/>
      <c r="F20" s="3754" t="s">
        <v>1994</v>
      </c>
      <c r="G20" s="3755"/>
      <c r="H20" s="3320" t="s">
        <v>3378</v>
      </c>
      <c r="I20" s="3320" t="s">
        <v>3379</v>
      </c>
      <c r="J20" s="3321" t="s">
        <v>3380</v>
      </c>
      <c r="K20" s="2046" t="s">
        <v>3381</v>
      </c>
      <c r="L20" s="2046" t="s">
        <v>3382</v>
      </c>
      <c r="M20" s="2046" t="s">
        <v>3383</v>
      </c>
      <c r="N20" s="3451" t="s">
        <v>3408</v>
      </c>
      <c r="O20" s="3452" t="s">
        <v>3423</v>
      </c>
      <c r="P20" s="1996"/>
      <c r="Q20" s="1124"/>
      <c r="R20" s="1124"/>
      <c r="S20" s="1124"/>
      <c r="T20" s="1120"/>
      <c r="U20" s="1120"/>
      <c r="V20" s="1120"/>
      <c r="W20" s="1119"/>
      <c r="X20" s="1119"/>
      <c r="Y20" s="1119"/>
      <c r="Z20" s="1125"/>
      <c r="AA20" s="1125"/>
      <c r="AB20" s="1125"/>
      <c r="AC20" s="1125"/>
      <c r="AD20" s="1125"/>
      <c r="AE20" s="1125"/>
      <c r="AF20" s="1125"/>
      <c r="AG20" s="2781"/>
      <c r="AH20" s="2781"/>
      <c r="AI20" s="2781"/>
      <c r="AJ20" s="2781"/>
    </row>
    <row r="21" spans="1:37" s="2013" customFormat="1" ht="26.25" thickBot="1">
      <c r="A21" s="3749"/>
      <c r="B21" s="2162" t="s">
        <v>1996</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3424</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50</v>
      </c>
      <c r="P21" s="1996"/>
      <c r="Q21" s="2781"/>
      <c r="R21" s="1124"/>
      <c r="S21" s="1124"/>
      <c r="T21" s="1120"/>
      <c r="U21" s="1120"/>
      <c r="V21" s="1120"/>
      <c r="W21" s="1119"/>
      <c r="X21" s="1119"/>
      <c r="Y21" s="1119"/>
      <c r="Z21" s="1125"/>
      <c r="AA21" s="1125"/>
      <c r="AB21" s="1125"/>
      <c r="AC21" s="1125"/>
      <c r="AD21" s="1125"/>
      <c r="AE21" s="1125"/>
      <c r="AF21" s="1125"/>
      <c r="AG21" s="2781"/>
      <c r="AH21" s="2781"/>
      <c r="AI21" s="2781"/>
      <c r="AJ21" s="2781"/>
    </row>
    <row r="22" spans="1:37" s="2013" customFormat="1" ht="15.75" thickBot="1">
      <c r="A22" s="2156" t="s">
        <v>363</v>
      </c>
      <c r="B22" s="2157" t="s">
        <v>1999</v>
      </c>
      <c r="C22" s="2158">
        <f>SUMIF(修正!C20:C51,E3,修正!E20:E51)</f>
        <v>1</v>
      </c>
      <c r="D22" s="2159"/>
      <c r="E22" s="2160"/>
      <c r="F22" s="2160"/>
      <c r="G22" s="2160"/>
      <c r="H22" s="2160"/>
      <c r="I22" s="2160"/>
      <c r="J22" s="2161"/>
      <c r="K22" s="1125"/>
      <c r="L22" s="2781"/>
      <c r="M22" s="2781"/>
      <c r="N22" s="2781"/>
      <c r="O22" s="1123"/>
      <c r="P22" s="1123"/>
      <c r="Q22" s="2781"/>
      <c r="R22" s="1124"/>
      <c r="S22" s="1124"/>
      <c r="T22" s="1120"/>
      <c r="U22" s="1120"/>
      <c r="V22" s="1120"/>
      <c r="W22" s="1119"/>
      <c r="X22" s="1119"/>
      <c r="Y22" s="1119"/>
      <c r="Z22" s="1125"/>
      <c r="AA22" s="1125"/>
      <c r="AB22" s="1125"/>
      <c r="AC22" s="1125"/>
      <c r="AD22" s="1125"/>
      <c r="AE22" s="1125"/>
      <c r="AF22" s="1125"/>
      <c r="AG22" s="2781"/>
      <c r="AH22" s="2781"/>
      <c r="AI22" s="2781"/>
      <c r="AJ22" s="2781"/>
    </row>
    <row r="23" spans="1:37" ht="26.25" thickBot="1">
      <c r="A23" s="2048" t="s">
        <v>364</v>
      </c>
      <c r="B23" s="2049"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2" t="s">
        <v>2001</v>
      </c>
      <c r="E23" s="761">
        <v>44197</v>
      </c>
      <c r="F23" s="2052" t="s">
        <v>2002</v>
      </c>
      <c r="G23" s="762">
        <f>'数据-取费表'!B2</f>
        <v>44931</v>
      </c>
      <c r="H23" s="3337" t="s">
        <v>3255</v>
      </c>
      <c r="I23" s="3338" t="str">
        <f>IF(H23="季度增幅（自定义）",SUMIF(N25:N28,E2,O25:O28),"")</f>
        <v/>
      </c>
      <c r="J23" s="3440" t="s">
        <v>3405</v>
      </c>
      <c r="K23" s="1125"/>
      <c r="L23" s="2053" t="s">
        <v>2003</v>
      </c>
      <c r="M23" s="1328">
        <f>ROUND(SUMIF(地价!B2:G2,E2,地价!B16:G16),0)</f>
        <v>350</v>
      </c>
      <c r="N23" s="2054" t="s">
        <v>2004</v>
      </c>
      <c r="O23" s="763">
        <f>ROUNDDOWN(DATEDIF(E23,G23,"M")/3,0)</f>
        <v>8</v>
      </c>
      <c r="P23" s="1122"/>
      <c r="Q23" s="2781"/>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2005</v>
      </c>
      <c r="C24" s="764">
        <f>ROUND(POWER(1+G24,J24-I24)*(POWER(1+G24,I24)-1)/(POWER(1+G24,J24)-1),4)</f>
        <v>0.96130000000000004</v>
      </c>
      <c r="D24" s="2058" t="s">
        <v>2006</v>
      </c>
      <c r="E24" s="1335">
        <f>存贷款利率!E22/100</f>
        <v>4.3499999999999997E-2</v>
      </c>
      <c r="F24" s="2058" t="s">
        <v>1998</v>
      </c>
      <c r="G24" s="768">
        <f>SUMIF(M30:Q30,E2,M33:Q33)</f>
        <v>5.5E-2</v>
      </c>
      <c r="H24" s="2058" t="s">
        <v>2007</v>
      </c>
      <c r="I24" s="769">
        <f>SUMIF('数据-取费表'!C6:C15,E2,'数据-取费表'!F6:F15)/COUNTIF('数据-取费表'!C6:C15,E2)</f>
        <v>35.229999999999997</v>
      </c>
      <c r="J24" s="770">
        <f>IF(E2="住宅",70,IF(E2="商业",40,50))</f>
        <v>40</v>
      </c>
      <c r="K24" s="1125"/>
      <c r="L24" s="2059" t="s">
        <v>2008</v>
      </c>
      <c r="M24" s="1329">
        <f>ROUND(SUMPRODUCT((地价!A4:A16=YEAR(G23)&amp;"-"&amp;ROUNDUP(MONTH(G23)/3,0))*(地价!B2:G2=E2)*(地价!B4:G16)),0)</f>
        <v>0</v>
      </c>
      <c r="N24" s="2060" t="s">
        <v>2009</v>
      </c>
      <c r="O24" s="2061" t="s">
        <v>2010</v>
      </c>
      <c r="P24" s="2062" t="s">
        <v>2011</v>
      </c>
      <c r="Q24" s="1996"/>
      <c r="R24" s="1124"/>
      <c r="S24" s="1124"/>
      <c r="T24" s="1120"/>
      <c r="U24" s="1120"/>
      <c r="V24" s="1120"/>
      <c r="W24" s="1119"/>
      <c r="X24" s="1119"/>
      <c r="Y24" s="1119"/>
      <c r="Z24" s="1125"/>
      <c r="AA24" s="1125"/>
      <c r="AB24" s="1125"/>
      <c r="AC24" s="1125"/>
      <c r="AD24" s="1125"/>
      <c r="AE24" s="1125"/>
      <c r="AF24" s="1125"/>
      <c r="AG24" s="2781"/>
      <c r="AH24" s="2781"/>
      <c r="AI24" s="2781"/>
      <c r="AJ24" s="2781"/>
    </row>
    <row r="25" spans="1:37" ht="15">
      <c r="A25" s="2063" t="s">
        <v>366</v>
      </c>
      <c r="B25" s="2064" t="s">
        <v>3409</v>
      </c>
      <c r="C25" s="771">
        <f>IF(B25="容积率修正",IF(G3&lt;10,D26,J26),C27)</f>
        <v>1.5019</v>
      </c>
      <c r="D25" s="2065"/>
      <c r="E25" s="2065"/>
      <c r="F25" s="2065"/>
      <c r="G25" s="2065"/>
      <c r="H25" s="2065"/>
      <c r="I25" s="2065"/>
      <c r="J25" s="2066"/>
      <c r="K25" s="1125"/>
      <c r="L25" s="2781"/>
      <c r="M25" s="2781"/>
      <c r="N25" s="2067" t="s">
        <v>2012</v>
      </c>
      <c r="O25" s="1173"/>
      <c r="P25" s="1174">
        <f>SUMPRODUCT((地价!A3:A40=YEAR(G23)&amp;"-"&amp;ROUNDUP(MONTH(G23)/3,0))*(地价!AD2:AH2=N25)*(地价!AD3:AH40))</f>
        <v>0</v>
      </c>
      <c r="Q25" s="2781"/>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2013</v>
      </c>
      <c r="B26" s="2068" t="s">
        <v>2014</v>
      </c>
      <c r="C26" s="3339"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9" t="s">
        <v>3257</v>
      </c>
      <c r="J26" s="772" t="str">
        <f>IF(G3&gt;=10,D115,"——")</f>
        <v>——</v>
      </c>
      <c r="K26" s="1125"/>
      <c r="L26" s="2781"/>
      <c r="M26" s="2781"/>
      <c r="N26" s="2067" t="s">
        <v>2015</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2016</v>
      </c>
      <c r="B27" s="2069" t="s">
        <v>2017</v>
      </c>
      <c r="C27" s="841">
        <f>ROUND(IF(I3&lt;6,SUMPRODUCT((B106:B110=I3)*(C105:N105=G2)*(C106:N110)),SUMIF(C105:N105,G2,C112:N112)),4)</f>
        <v>1.5019</v>
      </c>
      <c r="D27" s="2045"/>
      <c r="E27" s="2045"/>
      <c r="F27" s="2070"/>
      <c r="G27" s="2071"/>
      <c r="H27" s="2072"/>
      <c r="I27" s="2073"/>
      <c r="J27" s="2074"/>
      <c r="K27" s="1119"/>
      <c r="L27" s="1996"/>
      <c r="M27" s="1996"/>
      <c r="N27" s="2067" t="s">
        <v>2018</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2019</v>
      </c>
      <c r="C28" s="760">
        <f>SUMIF(A47:A101,E2,B47:B101)</f>
        <v>1.0116000000000001</v>
      </c>
      <c r="D28" s="2050"/>
      <c r="E28" s="2075"/>
      <c r="F28" s="2075"/>
      <c r="G28" s="2075"/>
      <c r="H28" s="2075"/>
      <c r="I28" s="2075"/>
      <c r="J28" s="2076"/>
      <c r="K28" s="1125"/>
      <c r="L28" s="2781"/>
      <c r="M28" s="2781"/>
      <c r="N28" s="2077"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2021</v>
      </c>
      <c r="C29" s="765"/>
      <c r="D29" s="2023"/>
      <c r="E29" s="2023"/>
      <c r="F29" s="2079"/>
      <c r="G29" s="2023"/>
      <c r="H29" s="2023"/>
      <c r="I29" s="2023"/>
      <c r="J29" s="2024"/>
      <c r="K29" s="1119"/>
      <c r="L29" s="1996"/>
      <c r="M29" s="1996"/>
      <c r="N29" s="2778" t="s">
        <v>2022</v>
      </c>
      <c r="O29" s="2779"/>
      <c r="P29" s="278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2023</v>
      </c>
      <c r="C30" s="2319">
        <f>IF(B25="容积率修正",E33+SUM(E37:E42),SUM(V2:V16)+SUM(E37:E42))</f>
        <v>548</v>
      </c>
      <c r="D30" s="2081"/>
      <c r="E30" s="2045"/>
      <c r="F30" s="2082"/>
      <c r="G30" s="2045"/>
      <c r="H30" s="2045"/>
      <c r="I30" s="2045"/>
      <c r="J30" s="2083"/>
      <c r="K30" s="1119"/>
      <c r="L30" s="3345" t="s">
        <v>1935</v>
      </c>
      <c r="M30" s="3346" t="s">
        <v>1989</v>
      </c>
      <c r="N30" s="3346" t="s">
        <v>1990</v>
      </c>
      <c r="O30" s="3346" t="s">
        <v>1991</v>
      </c>
      <c r="P30" s="3346" t="s">
        <v>1992</v>
      </c>
      <c r="Q30" s="3349" t="s">
        <v>3261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2024</v>
      </c>
      <c r="C31" s="766">
        <f>E34+SUM(I37:I42)</f>
        <v>137</v>
      </c>
      <c r="D31" s="2085"/>
      <c r="E31" s="2086"/>
      <c r="F31" s="2087"/>
      <c r="G31" s="2086"/>
      <c r="H31" s="2086"/>
      <c r="I31" s="2086"/>
      <c r="J31" s="2088"/>
      <c r="K31" s="1119"/>
      <c r="L31" s="3347" t="s">
        <v>1995</v>
      </c>
      <c r="M31" s="1999">
        <v>0.25</v>
      </c>
      <c r="N31" s="1999">
        <v>0.2</v>
      </c>
      <c r="O31" s="1999">
        <v>0.15</v>
      </c>
      <c r="P31" s="1999">
        <v>0.1</v>
      </c>
      <c r="Q31" s="3342">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2025</v>
      </c>
      <c r="C32" s="2091" t="s">
        <v>2026</v>
      </c>
      <c r="D32" s="2091" t="s">
        <v>2027</v>
      </c>
      <c r="E32" s="2092" t="s">
        <v>2028</v>
      </c>
      <c r="F32" s="2093"/>
      <c r="G32" s="2036"/>
      <c r="H32" s="2036"/>
      <c r="I32" s="2036"/>
      <c r="J32" s="2037"/>
      <c r="K32" s="1119"/>
      <c r="L32" s="3348" t="s">
        <v>1998</v>
      </c>
      <c r="M32" s="2563">
        <f>ROUND($E$24*(1+M31),3)</f>
        <v>5.3999999999999999E-2</v>
      </c>
      <c r="N32" s="2563">
        <f>ROUND($E$24*(1+N31),3)</f>
        <v>5.1999999999999998E-2</v>
      </c>
      <c r="O32" s="2563">
        <f>ROUND($E$24*(1+O31),3)</f>
        <v>0.05</v>
      </c>
      <c r="P32" s="2563">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2029</v>
      </c>
      <c r="C33" s="175">
        <f>ROUND(C5*C22*C23*C24*C25*C28,0)</f>
        <v>16722</v>
      </c>
      <c r="D33" s="2096">
        <f>'数据-汇总表'!F27</f>
        <v>0</v>
      </c>
      <c r="E33" s="773">
        <f>ROUND(C33*D33/10000,0)</f>
        <v>0</v>
      </c>
      <c r="F33" s="3340" t="s">
        <v>3259</v>
      </c>
      <c r="G33" s="2097"/>
      <c r="H33" s="2097"/>
      <c r="I33" s="2097"/>
      <c r="J33" s="2098"/>
      <c r="K33" s="1119"/>
      <c r="L33" s="3343" t="s">
        <v>3262</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2030</v>
      </c>
      <c r="C34" s="187" t="e">
        <f>ROUND(IF(E2="工业",C33*M42,IF(B25="楼层修正",SUM(V2:V16)*M41*10000/D34,C33*M41)),0)</f>
        <v>#DIV/0!</v>
      </c>
      <c r="D34" s="2101"/>
      <c r="E34" s="773">
        <f>ROUND(IF(B25="楼层修正",SUM(V2:V16)*M40,C34*D34/10000),0)</f>
        <v>0</v>
      </c>
      <c r="F34" s="2102" t="s">
        <v>2031</v>
      </c>
      <c r="G34" s="2103"/>
      <c r="H34" s="2103"/>
      <c r="I34" s="2103"/>
      <c r="J34" s="2104"/>
      <c r="K34" s="1119"/>
      <c r="L34" s="3343" t="s">
        <v>3263</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2032</v>
      </c>
      <c r="C35" s="3341" t="s">
        <v>3260</v>
      </c>
      <c r="D35" s="2036"/>
      <c r="E35" s="2107"/>
      <c r="F35" s="2107"/>
      <c r="G35" s="2034" t="s">
        <v>2033</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1" t="s">
        <v>3264</v>
      </c>
      <c r="L36" s="3441">
        <f ca="1">'数据-取费表'!B40</f>
        <v>4.1499999999999995E-2</v>
      </c>
      <c r="M36" s="3352">
        <f ca="1">ROUND($L$36*(1+M31),3)</f>
        <v>5.1999999999999998E-2</v>
      </c>
      <c r="N36" s="3352">
        <f ca="1">ROUND($L$36*(1+N31),3)</f>
        <v>0.05</v>
      </c>
      <c r="O36" s="3352">
        <f ca="1">ROUND($L$36*(1+O31),3)</f>
        <v>4.8000000000000001E-2</v>
      </c>
      <c r="P36" s="3352">
        <f ca="1">ROUND($L$36*(1+P31),3)</f>
        <v>4.5999999999999999E-2</v>
      </c>
      <c r="Q36" s="3352">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52"/>
      <c r="B37" s="2111" t="s">
        <v>2035</v>
      </c>
      <c r="C37" s="175">
        <f>ROUND(D5*C22*C23*C24*C28*F37,0)</f>
        <v>6680</v>
      </c>
      <c r="D37" s="2096">
        <f>'数据-汇总表'!G27</f>
        <v>820.57</v>
      </c>
      <c r="E37" s="171">
        <f>ROUND(C37*D37/10000,0)</f>
        <v>548</v>
      </c>
      <c r="F37" s="171">
        <f>SUMIF(修正!A57:A68,G2,修正!B57:B68)</f>
        <v>0.6</v>
      </c>
      <c r="G37" s="171">
        <f>ROUND(IF(E2="工业",C37*$M$42,C37*$M$41),0)</f>
        <v>1670</v>
      </c>
      <c r="H37" s="171">
        <f>D37</f>
        <v>820.57</v>
      </c>
      <c r="I37" s="171">
        <f>ROUND(G37*H37/10000,0)</f>
        <v>137</v>
      </c>
      <c r="J37" s="3005"/>
      <c r="K37" s="3353" t="s">
        <v>3265</v>
      </c>
      <c r="L37" s="3351">
        <f ca="1">L36+K38</f>
        <v>4.6499999999999993E-2</v>
      </c>
      <c r="M37" s="3352">
        <f ca="1">ROUND($L$37*(1+M31),3)</f>
        <v>5.8000000000000003E-2</v>
      </c>
      <c r="N37" s="3352">
        <f t="shared" ref="N37:Q37" ca="1" si="3">ROUND($L$37*(1+N31),3)</f>
        <v>5.6000000000000001E-2</v>
      </c>
      <c r="O37" s="3352">
        <f t="shared" ca="1" si="3"/>
        <v>5.2999999999999999E-2</v>
      </c>
      <c r="P37" s="3352">
        <f t="shared" ca="1" si="3"/>
        <v>5.0999999999999997E-2</v>
      </c>
      <c r="Q37" s="3352">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53"/>
      <c r="B38" s="2040" t="s">
        <v>2036</v>
      </c>
      <c r="C38" s="175">
        <f>ROUND(D5*C22*C23*C24*C28*F38,0)</f>
        <v>3340</v>
      </c>
      <c r="D38" s="2096"/>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4"/>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53"/>
      <c r="B39" s="2040" t="s">
        <v>3258</v>
      </c>
      <c r="C39" s="175">
        <f>ROUND(D5*C22*C23*C24*C28*F39,0)</f>
        <v>2784</v>
      </c>
      <c r="D39" s="2096"/>
      <c r="E39" s="171">
        <f t="shared" si="4"/>
        <v>0</v>
      </c>
      <c r="F39" s="171">
        <f>SUMIF(修正!A57:A68,G2,修正!D57:D68)</f>
        <v>0.25</v>
      </c>
      <c r="G39" s="171">
        <f>ROUND(IF(E2="工业",C39*$M$42,C39*$M$41),0)</f>
        <v>696</v>
      </c>
      <c r="H39" s="171">
        <f t="shared" si="5"/>
        <v>0</v>
      </c>
      <c r="I39" s="171">
        <f t="shared" si="6"/>
        <v>0</v>
      </c>
      <c r="J39" s="300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2037</v>
      </c>
      <c r="C40" s="171">
        <f>ROUND(D5*C22*C23*C24*C28*F40,0)</f>
        <v>2784</v>
      </c>
      <c r="D40" s="2096"/>
      <c r="E40" s="171">
        <f t="shared" si="4"/>
        <v>0</v>
      </c>
      <c r="F40" s="175">
        <f>SUMIF(修正!A57:A68,G2,修正!E57:E68)</f>
        <v>0.25</v>
      </c>
      <c r="G40" s="171">
        <f>ROUND(IF(E2="工业",C40*$M$42,C40*$M$41),0)</f>
        <v>696</v>
      </c>
      <c r="H40" s="171">
        <f t="shared" si="5"/>
        <v>0</v>
      </c>
      <c r="I40" s="171">
        <f t="shared" si="6"/>
        <v>0</v>
      </c>
      <c r="J40" s="2112"/>
      <c r="L40" s="2114" t="s">
        <v>2038</v>
      </c>
      <c r="M40" s="2115"/>
      <c r="Z40" s="1120"/>
      <c r="AA40" s="1120"/>
      <c r="AB40" s="1120"/>
      <c r="AC40" s="1120"/>
      <c r="AD40" s="1120"/>
      <c r="AE40" s="1120"/>
      <c r="AF40" s="1120"/>
      <c r="AG40" s="1120"/>
      <c r="AH40" s="1120"/>
      <c r="AI40" s="1120"/>
      <c r="AJ40" s="1120"/>
    </row>
    <row r="41" spans="1:37" s="1119" customFormat="1">
      <c r="A41" s="2113"/>
      <c r="B41" s="2040" t="s">
        <v>2039</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54" t="s">
        <v>3266</v>
      </c>
      <c r="M41" s="2116">
        <v>0.25</v>
      </c>
      <c r="Z41" s="1120"/>
      <c r="AA41" s="1120"/>
      <c r="AB41" s="1120"/>
      <c r="AC41" s="1120"/>
      <c r="AD41" s="1120"/>
      <c r="AE41" s="1120"/>
      <c r="AF41" s="1120"/>
      <c r="AG41" s="1120"/>
      <c r="AH41" s="1120"/>
      <c r="AI41" s="1120"/>
      <c r="AJ41" s="1120"/>
    </row>
    <row r="42" spans="1:37" s="1119" customFormat="1" ht="13.5" thickBot="1">
      <c r="A42" s="2099"/>
      <c r="B42" s="2117" t="s">
        <v>2040</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1992</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2120</v>
      </c>
      <c r="C44" s="342">
        <f>ROUND(POWER(1+E44,H44-G44)*(POWER(1+E44,G44)-1)/(POWER(1+E44,H44)-1),4)</f>
        <v>0</v>
      </c>
      <c r="D44" s="171" t="s">
        <v>1998</v>
      </c>
      <c r="E44" s="2151">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2041</v>
      </c>
      <c r="B47" s="2123"/>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4" t="s">
        <v>2042</v>
      </c>
      <c r="B48" s="2125">
        <f>1+E50</f>
        <v>1.0116000000000001</v>
      </c>
      <c r="C48" s="2126"/>
      <c r="D48" s="741"/>
      <c r="E48" s="742"/>
      <c r="F48" s="2127"/>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8" t="s">
        <v>2043</v>
      </c>
      <c r="B49" s="1351" t="s">
        <v>2044</v>
      </c>
      <c r="C49" s="1351" t="s">
        <v>2045</v>
      </c>
      <c r="D49" s="1351" t="s">
        <v>2046</v>
      </c>
      <c r="E49" s="743" t="s">
        <v>2047</v>
      </c>
      <c r="F49" s="2129" t="s">
        <v>2048</v>
      </c>
      <c r="G49" s="1351" t="s">
        <v>310</v>
      </c>
      <c r="H49" s="2130"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8" t="s">
        <v>2051</v>
      </c>
      <c r="B50" s="2131" t="str">
        <f>估价对象房地状况!C4</f>
        <v>一般</v>
      </c>
      <c r="C50" s="2043" t="s">
        <v>3396</v>
      </c>
      <c r="D50" s="1065">
        <f t="shared" ref="D50:D58" si="7">SUMIF($J$49:$N$49,C50,J50:N50)</f>
        <v>0</v>
      </c>
      <c r="E50" s="744">
        <f>ROUND(SUM(D50:D58),4)</f>
        <v>1.1599999999999999E-2</v>
      </c>
      <c r="F50" s="1813">
        <f>IF(E2="商业",SUMIF(L1:L12,G2,N1:N12),"——")</f>
        <v>0.13</v>
      </c>
      <c r="G50" s="1063">
        <v>1.95E-2</v>
      </c>
      <c r="H50" s="1066">
        <f t="shared" ref="H50:H58" si="8">IFERROR(ROUNDDOWN($F$50*I50/2,4),"——")</f>
        <v>1.95E-2</v>
      </c>
      <c r="I50" s="3361">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8" t="s">
        <v>2052</v>
      </c>
      <c r="B51" s="2132" t="str">
        <f>估价对象房地状况!C18</f>
        <v>一般</v>
      </c>
      <c r="C51" s="2043" t="s">
        <v>3396</v>
      </c>
      <c r="D51" s="1065">
        <f t="shared" si="7"/>
        <v>0</v>
      </c>
      <c r="E51" s="745"/>
      <c r="F51" s="1813"/>
      <c r="G51" s="1063">
        <v>1.43E-2</v>
      </c>
      <c r="H51" s="1066">
        <f t="shared" si="8"/>
        <v>1.43E-2</v>
      </c>
      <c r="I51" s="3361">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3" t="s">
        <v>3268</v>
      </c>
      <c r="B52" s="2132" t="str">
        <f>估价对象房地状况!C19</f>
        <v>一般</v>
      </c>
      <c r="C52" s="2043" t="s">
        <v>3396</v>
      </c>
      <c r="D52" s="1065">
        <f t="shared" si="7"/>
        <v>0</v>
      </c>
      <c r="E52" s="745"/>
      <c r="F52" s="1813"/>
      <c r="G52" s="1063">
        <v>7.7999999999999996E-3</v>
      </c>
      <c r="H52" s="1066">
        <f t="shared" si="8"/>
        <v>7.7999999999999996E-3</v>
      </c>
      <c r="I52" s="3361">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8" t="s">
        <v>2053</v>
      </c>
      <c r="B53" s="2133" t="s">
        <v>2054</v>
      </c>
      <c r="C53" s="2043" t="s">
        <v>3396</v>
      </c>
      <c r="D53" s="1065">
        <f t="shared" si="7"/>
        <v>0</v>
      </c>
      <c r="E53" s="745"/>
      <c r="F53" s="1813"/>
      <c r="G53" s="1063">
        <v>3.2000000000000002E-3</v>
      </c>
      <c r="H53" s="1066">
        <f t="shared" si="8"/>
        <v>3.2000000000000002E-3</v>
      </c>
      <c r="I53" s="3361">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8" t="s">
        <v>2055</v>
      </c>
      <c r="B54" s="2132">
        <f>估价对象房地状况!C24</f>
        <v>0</v>
      </c>
      <c r="C54" s="2043" t="s">
        <v>3406</v>
      </c>
      <c r="D54" s="1065">
        <f t="shared" si="7"/>
        <v>-5.1999999999999998E-3</v>
      </c>
      <c r="E54" s="745"/>
      <c r="F54" s="1813"/>
      <c r="G54" s="1063">
        <v>5.1999999999999998E-3</v>
      </c>
      <c r="H54" s="1066">
        <f t="shared" si="8"/>
        <v>5.1999999999999998E-3</v>
      </c>
      <c r="I54" s="3361">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8" t="s">
        <v>2056</v>
      </c>
      <c r="B55" s="2134" t="s">
        <v>2057</v>
      </c>
      <c r="C55" s="2043" t="s">
        <v>3401</v>
      </c>
      <c r="D55" s="1065">
        <f t="shared" si="7"/>
        <v>3.2000000000000002E-3</v>
      </c>
      <c r="E55" s="745"/>
      <c r="F55" s="1813"/>
      <c r="G55" s="1063">
        <v>3.2000000000000002E-3</v>
      </c>
      <c r="H55" s="1066">
        <f t="shared" si="8"/>
        <v>3.2000000000000002E-3</v>
      </c>
      <c r="I55" s="3361">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5" t="s">
        <v>2058</v>
      </c>
      <c r="B56" s="1326" t="str">
        <f>估价对象房地状况!C21</f>
        <v>一般</v>
      </c>
      <c r="C56" s="2043" t="s">
        <v>3396</v>
      </c>
      <c r="D56" s="1065">
        <f t="shared" si="7"/>
        <v>0</v>
      </c>
      <c r="E56" s="745"/>
      <c r="F56" s="1813"/>
      <c r="G56" s="1063">
        <v>3.2000000000000002E-3</v>
      </c>
      <c r="H56" s="1066">
        <f t="shared" si="8"/>
        <v>3.2000000000000002E-3</v>
      </c>
      <c r="I56" s="3361">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5" t="s">
        <v>2059</v>
      </c>
      <c r="B57" s="2132" t="str">
        <f>估价对象房地状况!C22</f>
        <v>七通</v>
      </c>
      <c r="C57" s="2043" t="s">
        <v>3407</v>
      </c>
      <c r="D57" s="1065">
        <f t="shared" si="7"/>
        <v>1.04E-2</v>
      </c>
      <c r="E57" s="745"/>
      <c r="F57" s="1813"/>
      <c r="G57" s="1063">
        <v>5.1999999999999998E-3</v>
      </c>
      <c r="H57" s="1066">
        <f t="shared" si="8"/>
        <v>5.1999999999999998E-3</v>
      </c>
      <c r="I57" s="3361">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6" t="s">
        <v>2060</v>
      </c>
      <c r="B58" s="2137" t="str">
        <f>估价对象房地状况!C20</f>
        <v>较好</v>
      </c>
      <c r="C58" s="2043" t="s">
        <v>3401</v>
      </c>
      <c r="D58" s="1065">
        <f t="shared" si="7"/>
        <v>3.2000000000000002E-3</v>
      </c>
      <c r="E58" s="746"/>
      <c r="F58" s="1813"/>
      <c r="G58" s="1063">
        <v>3.2000000000000002E-3</v>
      </c>
      <c r="H58" s="1066">
        <f t="shared" si="8"/>
        <v>3.2000000000000002E-3</v>
      </c>
      <c r="I58" s="3362">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4" t="s">
        <v>2061</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2043</v>
      </c>
      <c r="B60" s="1351"/>
      <c r="C60" s="1351" t="s">
        <v>2045</v>
      </c>
      <c r="D60" s="1351" t="s">
        <v>2046</v>
      </c>
      <c r="E60" s="743" t="s">
        <v>2047</v>
      </c>
      <c r="F60" s="2129" t="s">
        <v>2062</v>
      </c>
      <c r="G60" s="1351" t="s">
        <v>310</v>
      </c>
      <c r="H60" s="2130"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8" t="s">
        <v>2063</v>
      </c>
      <c r="B61" s="2131" t="str">
        <f>估价对象房地状况!C17</f>
        <v xml:space="preserve"> </v>
      </c>
      <c r="C61" s="2043"/>
      <c r="D61" s="1065">
        <f t="shared" ref="D61:D69" si="12">SUMIF($J$60:$N$60,C61,J61:N61)</f>
        <v>0</v>
      </c>
      <c r="E61" s="744">
        <f>ROUND(SUM(D61:D69),4)</f>
        <v>0</v>
      </c>
      <c r="F61" s="1813"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2052</v>
      </c>
      <c r="B62" s="2132" t="str">
        <f>估价对象房地状况!C18</f>
        <v>一般</v>
      </c>
      <c r="C62" s="2043"/>
      <c r="D62" s="1065">
        <f t="shared" si="12"/>
        <v>0</v>
      </c>
      <c r="E62" s="745"/>
      <c r="F62" s="1813"/>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3268</v>
      </c>
      <c r="B63" s="2132" t="str">
        <f>估价对象房地状况!C19</f>
        <v>一般</v>
      </c>
      <c r="C63" s="2043"/>
      <c r="D63" s="1065">
        <f t="shared" si="12"/>
        <v>0</v>
      </c>
      <c r="E63" s="745"/>
      <c r="F63" s="1813"/>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2053</v>
      </c>
      <c r="B64" s="2133" t="s">
        <v>2054</v>
      </c>
      <c r="C64" s="2043"/>
      <c r="D64" s="1065">
        <f t="shared" si="12"/>
        <v>0</v>
      </c>
      <c r="E64" s="745"/>
      <c r="F64" s="1813"/>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2055</v>
      </c>
      <c r="B65" s="2132">
        <f>估价对象房地状况!C24</f>
        <v>0</v>
      </c>
      <c r="C65" s="2043"/>
      <c r="D65" s="1065">
        <f t="shared" si="12"/>
        <v>0</v>
      </c>
      <c r="E65" s="745"/>
      <c r="F65" s="1813"/>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2056</v>
      </c>
      <c r="B66" s="2134" t="s">
        <v>2057</v>
      </c>
      <c r="C66" s="2043"/>
      <c r="D66" s="1065">
        <f t="shared" si="12"/>
        <v>0</v>
      </c>
      <c r="E66" s="745"/>
      <c r="F66" s="1813"/>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2058</v>
      </c>
      <c r="B67" s="1326" t="str">
        <f>估价对象房地状况!C21</f>
        <v>一般</v>
      </c>
      <c r="C67" s="2043"/>
      <c r="D67" s="1065">
        <f t="shared" si="12"/>
        <v>0</v>
      </c>
      <c r="E67" s="745"/>
      <c r="F67" s="1813"/>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2059</v>
      </c>
      <c r="B68" s="1326" t="str">
        <f>估价对象房地状况!C22</f>
        <v>七通</v>
      </c>
      <c r="C68" s="2043"/>
      <c r="D68" s="1065">
        <f t="shared" si="12"/>
        <v>0</v>
      </c>
      <c r="E68" s="745"/>
      <c r="F68" s="1813"/>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2060</v>
      </c>
      <c r="B69" s="2138" t="str">
        <f>估价对象房地状况!C20</f>
        <v>较好</v>
      </c>
      <c r="C69" s="2043"/>
      <c r="D69" s="1065">
        <f t="shared" si="12"/>
        <v>0</v>
      </c>
      <c r="E69" s="746"/>
      <c r="F69" s="1813"/>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2064</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2043</v>
      </c>
      <c r="B71" s="1351"/>
      <c r="C71" s="1351" t="s">
        <v>2045</v>
      </c>
      <c r="D71" s="1351" t="s">
        <v>2046</v>
      </c>
      <c r="E71" s="743" t="s">
        <v>2047</v>
      </c>
      <c r="F71" s="2129" t="s">
        <v>2062</v>
      </c>
      <c r="G71" s="1351" t="s">
        <v>310</v>
      </c>
      <c r="H71" s="2130"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8" t="s">
        <v>2065</v>
      </c>
      <c r="B72" s="2131" t="str">
        <f>估价对象房地状况!C15</f>
        <v xml:space="preserve"> </v>
      </c>
      <c r="C72" s="2043"/>
      <c r="D72" s="1065">
        <f t="shared" ref="D72:D80" si="17">SUMIF($J$71:$N$71,C72,J72:N72)</f>
        <v>0</v>
      </c>
      <c r="E72" s="744">
        <f>ROUND(SUM(D72:D80),4)</f>
        <v>0</v>
      </c>
      <c r="F72" s="1813"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2052</v>
      </c>
      <c r="B73" s="2132" t="str">
        <f>估价对象房地状况!C18</f>
        <v>一般</v>
      </c>
      <c r="C73" s="2043"/>
      <c r="D73" s="1065">
        <f t="shared" si="17"/>
        <v>0</v>
      </c>
      <c r="E73" s="747"/>
      <c r="F73" s="1813"/>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3" t="s">
        <v>3268</v>
      </c>
      <c r="B74" s="2132" t="str">
        <f>估价对象房地状况!C19</f>
        <v>一般</v>
      </c>
      <c r="C74" s="2043"/>
      <c r="D74" s="1065">
        <f t="shared" si="17"/>
        <v>0</v>
      </c>
      <c r="E74" s="747"/>
      <c r="F74" s="1813"/>
      <c r="G74" s="1063"/>
      <c r="H74" s="1066" t="str">
        <f t="shared" si="18"/>
        <v>——</v>
      </c>
      <c r="I74" s="3361">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2066</v>
      </c>
      <c r="B75" s="2132">
        <f>估价对象房地状况!C24</f>
        <v>0</v>
      </c>
      <c r="C75" s="2043"/>
      <c r="D75" s="1065">
        <f t="shared" si="17"/>
        <v>0</v>
      </c>
      <c r="E75" s="747"/>
      <c r="F75" s="1813"/>
      <c r="G75" s="1063"/>
      <c r="H75" s="1066" t="str">
        <f t="shared" si="18"/>
        <v>——</v>
      </c>
      <c r="I75" s="3361">
        <v>0.05</v>
      </c>
      <c r="J75" s="1064">
        <f t="shared" si="19"/>
        <v>0</v>
      </c>
      <c r="K75" s="1064">
        <f t="shared" si="20"/>
        <v>0</v>
      </c>
      <c r="L75" s="1064">
        <v>0</v>
      </c>
      <c r="M75" s="1064">
        <f t="shared" si="21"/>
        <v>0</v>
      </c>
      <c r="N75" s="1064">
        <f t="shared" si="21"/>
        <v>0</v>
      </c>
      <c r="O75" s="1119"/>
      <c r="P75" s="1119"/>
      <c r="Q75" s="1996"/>
      <c r="Z75" s="1997"/>
      <c r="AA75" s="2051"/>
      <c r="AG75" s="1121"/>
      <c r="AK75" s="2051"/>
    </row>
    <row r="76" spans="1:37" ht="24">
      <c r="A76" s="2128" t="s">
        <v>2058</v>
      </c>
      <c r="B76" s="1326" t="str">
        <f>估价对象房地状况!C21</f>
        <v>一般</v>
      </c>
      <c r="C76" s="2043"/>
      <c r="D76" s="1065">
        <f t="shared" si="17"/>
        <v>0</v>
      </c>
      <c r="E76" s="747"/>
      <c r="F76" s="1813"/>
      <c r="G76" s="1063"/>
      <c r="H76" s="1066" t="str">
        <f t="shared" si="18"/>
        <v>——</v>
      </c>
      <c r="I76" s="3361">
        <v>0.08</v>
      </c>
      <c r="J76" s="1064">
        <f t="shared" si="19"/>
        <v>0</v>
      </c>
      <c r="K76" s="1064">
        <f t="shared" si="20"/>
        <v>0</v>
      </c>
      <c r="L76" s="1064">
        <v>0</v>
      </c>
      <c r="M76" s="1064">
        <f t="shared" si="21"/>
        <v>0</v>
      </c>
      <c r="N76" s="1064">
        <f t="shared" si="21"/>
        <v>0</v>
      </c>
      <c r="O76" s="1119"/>
      <c r="P76" s="1119"/>
      <c r="Z76" s="1997"/>
      <c r="AA76" s="2051"/>
      <c r="AG76" s="1121"/>
      <c r="AK76" s="2051"/>
    </row>
    <row r="77" spans="1:37" ht="24">
      <c r="A77" s="2128" t="s">
        <v>2059</v>
      </c>
      <c r="B77" s="1326" t="str">
        <f>估价对象房地状况!C22</f>
        <v>七通</v>
      </c>
      <c r="C77" s="2043"/>
      <c r="D77" s="1065">
        <f t="shared" si="17"/>
        <v>0</v>
      </c>
      <c r="E77" s="747"/>
      <c r="F77" s="1813"/>
      <c r="G77" s="1063"/>
      <c r="H77" s="1066" t="str">
        <f t="shared" si="18"/>
        <v>——</v>
      </c>
      <c r="I77" s="3361">
        <v>0.09</v>
      </c>
      <c r="J77" s="1064">
        <f t="shared" si="19"/>
        <v>0</v>
      </c>
      <c r="K77" s="1064">
        <f t="shared" si="20"/>
        <v>0</v>
      </c>
      <c r="L77" s="1064">
        <v>0</v>
      </c>
      <c r="M77" s="1064">
        <f t="shared" si="21"/>
        <v>0</v>
      </c>
      <c r="N77" s="1064">
        <f t="shared" si="21"/>
        <v>0</v>
      </c>
      <c r="O77" s="1119"/>
      <c r="P77" s="1119"/>
      <c r="Z77" s="1997"/>
      <c r="AA77" s="2051"/>
      <c r="AG77" s="1121"/>
      <c r="AK77" s="2051"/>
    </row>
    <row r="78" spans="1:37" ht="24">
      <c r="A78" s="2128" t="s">
        <v>2056</v>
      </c>
      <c r="B78" s="2134" t="s">
        <v>2057</v>
      </c>
      <c r="C78" s="2043"/>
      <c r="D78" s="1065">
        <f t="shared" si="17"/>
        <v>0</v>
      </c>
      <c r="E78" s="747"/>
      <c r="F78" s="1813"/>
      <c r="G78" s="1063"/>
      <c r="H78" s="1066" t="str">
        <f t="shared" si="18"/>
        <v>——</v>
      </c>
      <c r="I78" s="3361">
        <v>0.05</v>
      </c>
      <c r="J78" s="1064">
        <f t="shared" si="19"/>
        <v>0</v>
      </c>
      <c r="K78" s="1064">
        <f t="shared" si="20"/>
        <v>0</v>
      </c>
      <c r="L78" s="1064">
        <v>0</v>
      </c>
      <c r="M78" s="1064">
        <f t="shared" si="21"/>
        <v>0</v>
      </c>
      <c r="N78" s="1064">
        <f t="shared" si="21"/>
        <v>0</v>
      </c>
      <c r="O78" s="1996"/>
      <c r="P78" s="1996"/>
      <c r="Z78" s="1997"/>
      <c r="AA78" s="2051"/>
      <c r="AG78" s="1121"/>
      <c r="AK78" s="2051"/>
    </row>
    <row r="79" spans="1:37" ht="24">
      <c r="A79" s="2128" t="s">
        <v>2060</v>
      </c>
      <c r="B79" s="2131" t="str">
        <f>估价对象房地状况!C20</f>
        <v>较好</v>
      </c>
      <c r="C79" s="2043"/>
      <c r="D79" s="1065">
        <f t="shared" si="17"/>
        <v>0</v>
      </c>
      <c r="E79" s="747"/>
      <c r="F79" s="1813"/>
      <c r="G79" s="1063"/>
      <c r="H79" s="1066" t="str">
        <f t="shared" si="18"/>
        <v>——</v>
      </c>
      <c r="I79" s="3361">
        <v>0.12</v>
      </c>
      <c r="J79" s="1064">
        <f t="shared" si="19"/>
        <v>0</v>
      </c>
      <c r="K79" s="1064">
        <f t="shared" si="20"/>
        <v>0</v>
      </c>
      <c r="L79" s="1064">
        <v>0</v>
      </c>
      <c r="M79" s="1064">
        <f t="shared" si="21"/>
        <v>0</v>
      </c>
      <c r="N79" s="1064">
        <f t="shared" si="21"/>
        <v>0</v>
      </c>
      <c r="Z79" s="1997"/>
      <c r="AA79" s="2051"/>
      <c r="AG79" s="1121"/>
      <c r="AK79" s="2051"/>
    </row>
    <row r="80" spans="1:37" ht="24.75" thickBot="1">
      <c r="A80" s="2136" t="s">
        <v>2067</v>
      </c>
      <c r="B80" s="2140"/>
      <c r="C80" s="2043"/>
      <c r="D80" s="1065">
        <f t="shared" si="17"/>
        <v>0</v>
      </c>
      <c r="E80" s="748"/>
      <c r="F80" s="1813"/>
      <c r="G80" s="1063"/>
      <c r="H80" s="1066" t="str">
        <f t="shared" si="18"/>
        <v>——</v>
      </c>
      <c r="I80" s="3362">
        <v>0.05</v>
      </c>
      <c r="J80" s="1064">
        <f t="shared" si="19"/>
        <v>0</v>
      </c>
      <c r="K80" s="1064">
        <f t="shared" si="20"/>
        <v>0</v>
      </c>
      <c r="L80" s="1064">
        <v>0</v>
      </c>
      <c r="M80" s="1064">
        <f t="shared" si="21"/>
        <v>0</v>
      </c>
      <c r="N80" s="1064">
        <f t="shared" si="21"/>
        <v>0</v>
      </c>
      <c r="Z80" s="1997"/>
      <c r="AA80" s="2051"/>
      <c r="AG80" s="1121"/>
      <c r="AK80" s="2051"/>
    </row>
    <row r="81" spans="1:37" ht="15">
      <c r="A81" s="2124" t="s">
        <v>2068</v>
      </c>
      <c r="B81" s="2125">
        <f>1+E83</f>
        <v>1</v>
      </c>
      <c r="C81" s="741"/>
      <c r="D81" s="741"/>
      <c r="E81" s="742"/>
      <c r="F81" s="2127"/>
      <c r="G81" s="3"/>
      <c r="H81" s="3"/>
      <c r="I81" s="3"/>
      <c r="J81" s="4"/>
      <c r="K81" s="4"/>
      <c r="L81" s="4"/>
      <c r="M81" s="4"/>
      <c r="N81" s="4"/>
      <c r="Z81" s="1997"/>
      <c r="AA81" s="2051"/>
      <c r="AG81" s="1121"/>
      <c r="AK81" s="2051"/>
    </row>
    <row r="82" spans="1:37" ht="24.75">
      <c r="A82" s="2128" t="s">
        <v>2043</v>
      </c>
      <c r="B82" s="1351"/>
      <c r="C82" s="1351" t="s">
        <v>2045</v>
      </c>
      <c r="D82" s="1351" t="s">
        <v>2046</v>
      </c>
      <c r="E82" s="743" t="s">
        <v>2047</v>
      </c>
      <c r="F82" s="2129" t="s">
        <v>2062</v>
      </c>
      <c r="G82" s="1351" t="s">
        <v>310</v>
      </c>
      <c r="H82" s="2130" t="s">
        <v>2049</v>
      </c>
      <c r="I82" s="1351" t="s">
        <v>2050</v>
      </c>
      <c r="J82" s="552" t="s">
        <v>1720</v>
      </c>
      <c r="K82" s="552" t="s">
        <v>1721</v>
      </c>
      <c r="L82" s="552" t="s">
        <v>1722</v>
      </c>
      <c r="M82" s="552" t="s">
        <v>1723</v>
      </c>
      <c r="N82" s="552" t="s">
        <v>1724</v>
      </c>
      <c r="Z82" s="1997"/>
      <c r="AA82" s="2051"/>
      <c r="AG82" s="1121"/>
      <c r="AK82" s="2051"/>
    </row>
    <row r="83" spans="1:37" ht="38.25">
      <c r="A83" s="2128" t="s">
        <v>2069</v>
      </c>
      <c r="B83" s="2132"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2052</v>
      </c>
      <c r="B84" s="2132"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1">
        <v>0.3</v>
      </c>
      <c r="J84" s="1064">
        <f t="shared" si="24"/>
        <v>0</v>
      </c>
      <c r="K84" s="1064">
        <f t="shared" si="25"/>
        <v>0</v>
      </c>
      <c r="L84" s="1064">
        <v>0</v>
      </c>
      <c r="M84" s="1064">
        <f t="shared" si="26"/>
        <v>0</v>
      </c>
      <c r="N84" s="1064">
        <f t="shared" si="26"/>
        <v>0</v>
      </c>
      <c r="Z84" s="1997"/>
      <c r="AA84" s="2051"/>
      <c r="AG84" s="1121"/>
      <c r="AK84" s="2051"/>
    </row>
    <row r="85" spans="1:37" ht="36">
      <c r="A85" s="3363" t="s">
        <v>3269</v>
      </c>
      <c r="B85" s="2132">
        <f>估价对象房地状况!G17</f>
        <v>0</v>
      </c>
      <c r="C85" s="2043"/>
      <c r="D85" s="1065">
        <f t="shared" si="22"/>
        <v>0</v>
      </c>
      <c r="E85" s="747"/>
      <c r="F85" s="1813"/>
      <c r="G85" s="1063"/>
      <c r="H85" s="1066" t="str">
        <f t="shared" si="23"/>
        <v>——</v>
      </c>
      <c r="I85" s="3361">
        <v>0.1</v>
      </c>
      <c r="J85" s="1064">
        <f t="shared" si="24"/>
        <v>0</v>
      </c>
      <c r="K85" s="1064">
        <f t="shared" si="25"/>
        <v>0</v>
      </c>
      <c r="L85" s="1064">
        <v>0</v>
      </c>
      <c r="M85" s="1064">
        <f t="shared" si="26"/>
        <v>0</v>
      </c>
      <c r="N85" s="1064">
        <f t="shared" si="26"/>
        <v>0</v>
      </c>
      <c r="Z85" s="1997"/>
      <c r="AA85" s="2051"/>
      <c r="AG85" s="1121"/>
      <c r="AK85" s="2051"/>
    </row>
    <row r="86" spans="1:37" ht="14.25">
      <c r="A86" s="2128" t="s">
        <v>2066</v>
      </c>
      <c r="B86" s="2132">
        <f>估价对象房地状况!G22</f>
        <v>0</v>
      </c>
      <c r="C86" s="2043"/>
      <c r="D86" s="1065">
        <f t="shared" si="22"/>
        <v>0</v>
      </c>
      <c r="E86" s="747"/>
      <c r="F86" s="1813"/>
      <c r="G86" s="1063"/>
      <c r="H86" s="1066" t="str">
        <f t="shared" si="23"/>
        <v>——</v>
      </c>
      <c r="I86" s="3361">
        <v>0.05</v>
      </c>
      <c r="J86" s="1064">
        <f t="shared" si="24"/>
        <v>0</v>
      </c>
      <c r="K86" s="1064">
        <f t="shared" si="25"/>
        <v>0</v>
      </c>
      <c r="L86" s="1064">
        <v>0</v>
      </c>
      <c r="M86" s="1064">
        <f t="shared" si="26"/>
        <v>0</v>
      </c>
      <c r="N86" s="1064">
        <f t="shared" si="26"/>
        <v>0</v>
      </c>
      <c r="Z86" s="1997"/>
      <c r="AA86" s="2051"/>
      <c r="AG86" s="1121"/>
      <c r="AK86" s="2051"/>
    </row>
    <row r="87" spans="1:37" ht="25.5">
      <c r="A87" s="2128" t="s">
        <v>2058</v>
      </c>
      <c r="B87" s="1326" t="str">
        <f>估价对象房地状况!G19</f>
        <v>估价对象所在区域公共配套设施齐备情况</v>
      </c>
      <c r="C87" s="2043"/>
      <c r="D87" s="1065">
        <f t="shared" si="22"/>
        <v>0</v>
      </c>
      <c r="E87" s="747"/>
      <c r="F87" s="1813"/>
      <c r="G87" s="1063"/>
      <c r="H87" s="1066" t="str">
        <f t="shared" si="23"/>
        <v>——</v>
      </c>
      <c r="I87" s="3361">
        <v>0.06</v>
      </c>
      <c r="J87" s="1064">
        <f t="shared" si="24"/>
        <v>0</v>
      </c>
      <c r="K87" s="1064">
        <f t="shared" si="25"/>
        <v>0</v>
      </c>
      <c r="L87" s="1064">
        <v>0</v>
      </c>
      <c r="M87" s="1064">
        <f t="shared" si="26"/>
        <v>0</v>
      </c>
      <c r="N87" s="1064">
        <f t="shared" si="26"/>
        <v>0</v>
      </c>
    </row>
    <row r="88" spans="1:37" ht="25.5">
      <c r="A88" s="2128" t="s">
        <v>2059</v>
      </c>
      <c r="B88" s="1326" t="str">
        <f>估价对象房地状况!G20</f>
        <v>估价对象所在区域基础设施水平</v>
      </c>
      <c r="C88" s="2043"/>
      <c r="D88" s="1065">
        <f t="shared" si="22"/>
        <v>0</v>
      </c>
      <c r="E88" s="747"/>
      <c r="F88" s="1813"/>
      <c r="G88" s="1063"/>
      <c r="H88" s="1066" t="str">
        <f t="shared" si="23"/>
        <v>——</v>
      </c>
      <c r="I88" s="3361">
        <v>0.12</v>
      </c>
      <c r="J88" s="1064">
        <f t="shared" si="24"/>
        <v>0</v>
      </c>
      <c r="K88" s="1064">
        <f t="shared" si="25"/>
        <v>0</v>
      </c>
      <c r="L88" s="1064">
        <v>0</v>
      </c>
      <c r="M88" s="1064">
        <f t="shared" si="26"/>
        <v>0</v>
      </c>
      <c r="N88" s="1064">
        <f t="shared" si="26"/>
        <v>0</v>
      </c>
    </row>
    <row r="89" spans="1:37" ht="24">
      <c r="A89" s="2128" t="s">
        <v>2056</v>
      </c>
      <c r="B89" s="2134" t="s">
        <v>2070</v>
      </c>
      <c r="C89" s="2043"/>
      <c r="D89" s="1065">
        <f t="shared" si="22"/>
        <v>0</v>
      </c>
      <c r="E89" s="747"/>
      <c r="F89" s="1813"/>
      <c r="G89" s="1063"/>
      <c r="H89" s="1066" t="str">
        <f t="shared" si="23"/>
        <v>——</v>
      </c>
      <c r="I89" s="3361">
        <v>0.06</v>
      </c>
      <c r="J89" s="1064">
        <f t="shared" si="24"/>
        <v>0</v>
      </c>
      <c r="K89" s="1064">
        <f t="shared" si="25"/>
        <v>0</v>
      </c>
      <c r="L89" s="1064">
        <v>0</v>
      </c>
      <c r="M89" s="1064">
        <f t="shared" si="26"/>
        <v>0</v>
      </c>
      <c r="N89" s="1064">
        <f t="shared" si="26"/>
        <v>0</v>
      </c>
    </row>
    <row r="90" spans="1:37" ht="39" thickBot="1">
      <c r="A90" s="2136" t="s">
        <v>2071</v>
      </c>
      <c r="B90" s="2141" t="str">
        <f>估价对象房地状况!G18</f>
        <v>该园区内是否有污染型企业，绿化情况，卫生条件，整体环境状况判断</v>
      </c>
      <c r="C90" s="2043"/>
      <c r="D90" s="1065">
        <f t="shared" si="22"/>
        <v>0</v>
      </c>
      <c r="E90" s="748"/>
      <c r="F90" s="1813"/>
      <c r="G90" s="1063"/>
      <c r="H90" s="1066" t="str">
        <f t="shared" si="23"/>
        <v>——</v>
      </c>
      <c r="I90" s="3362">
        <v>0.05</v>
      </c>
      <c r="J90" s="1064">
        <f t="shared" si="24"/>
        <v>0</v>
      </c>
      <c r="K90" s="1064">
        <f t="shared" si="25"/>
        <v>0</v>
      </c>
      <c r="L90" s="1064">
        <v>0</v>
      </c>
      <c r="M90" s="1064">
        <f t="shared" si="26"/>
        <v>0</v>
      </c>
      <c r="N90" s="1064">
        <f t="shared" si="26"/>
        <v>0</v>
      </c>
    </row>
    <row r="91" spans="1:37" ht="15">
      <c r="A91" s="3371" t="s">
        <v>2606</v>
      </c>
      <c r="B91" s="3372">
        <f>1+E93</f>
        <v>1</v>
      </c>
      <c r="C91" s="3365"/>
      <c r="D91" s="3366"/>
      <c r="E91" s="1813"/>
      <c r="F91" s="1813"/>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6"/>
      <c r="C93" s="2043"/>
      <c r="D93" s="3360">
        <f>SUMIF($J$92:$N$92,C93,J93:N93)</f>
        <v>0</v>
      </c>
      <c r="E93" s="3376">
        <f>ROUND(SUM(D93:D101),4)</f>
        <v>0</v>
      </c>
      <c r="F93" s="1813"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一般</v>
      </c>
      <c r="C94" s="2043"/>
      <c r="D94" s="3360">
        <f t="shared" ref="D94:D101" si="30">SUMIF($J$60:$N$60,C94,J94:N94)</f>
        <v>0</v>
      </c>
      <c r="E94" s="3377"/>
      <c r="F94" s="1813"/>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t="str">
        <f>估价对象房地状况!C19</f>
        <v>一般</v>
      </c>
      <c r="C95" s="2043"/>
      <c r="D95" s="3360">
        <f t="shared" si="30"/>
        <v>0</v>
      </c>
      <c r="E95" s="3377"/>
      <c r="F95" s="1813"/>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3"/>
      <c r="D96" s="3360">
        <f t="shared" si="30"/>
        <v>0</v>
      </c>
      <c r="E96" s="3377"/>
      <c r="F96" s="1813"/>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3"/>
      <c r="D97" s="3360">
        <f t="shared" si="30"/>
        <v>0</v>
      </c>
      <c r="E97" s="3377"/>
      <c r="F97" s="1813"/>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3"/>
      <c r="D98" s="3360">
        <f t="shared" si="30"/>
        <v>0</v>
      </c>
      <c r="E98" s="3377"/>
      <c r="F98" s="1813"/>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一般</v>
      </c>
      <c r="C99" s="2043"/>
      <c r="D99" s="3360">
        <f t="shared" si="30"/>
        <v>0</v>
      </c>
      <c r="E99" s="3377"/>
      <c r="F99" s="1813"/>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3"/>
      <c r="D100" s="3360">
        <f t="shared" si="30"/>
        <v>0</v>
      </c>
      <c r="E100" s="3377"/>
      <c r="F100" s="1813"/>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3"/>
      <c r="D101" s="3360">
        <f t="shared" si="30"/>
        <v>0</v>
      </c>
      <c r="E101" s="3378"/>
      <c r="F101" s="1813"/>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50" t="s">
        <v>3293</v>
      </c>
      <c r="B103" s="3750"/>
      <c r="C103" s="3750"/>
      <c r="D103" s="3750"/>
      <c r="E103" s="3750"/>
      <c r="F103" s="3750"/>
      <c r="G103" s="3750"/>
      <c r="H103" s="3750"/>
      <c r="I103" s="3750"/>
      <c r="J103" s="3750"/>
      <c r="K103" s="3384"/>
      <c r="L103" s="3384"/>
      <c r="M103" s="3384"/>
      <c r="N103" s="3384"/>
    </row>
    <row r="104" spans="1:14">
      <c r="A104" s="3751" t="s">
        <v>3294</v>
      </c>
      <c r="B104" s="3751" t="s">
        <v>3295</v>
      </c>
      <c r="C104" s="3385" t="s">
        <v>3296</v>
      </c>
      <c r="D104" s="3386"/>
      <c r="E104" s="3386"/>
      <c r="F104" s="3386"/>
      <c r="G104" s="3386"/>
      <c r="H104" s="3386"/>
      <c r="I104" s="3386"/>
      <c r="J104" s="3387"/>
      <c r="K104" s="3388"/>
      <c r="L104" s="3388"/>
      <c r="M104" s="3388"/>
      <c r="N104" s="3388"/>
    </row>
    <row r="105" spans="1:14">
      <c r="A105" s="3751"/>
      <c r="B105" s="3751"/>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37"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8"/>
      <c r="B111" s="3389" t="s">
        <v>3267</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9"/>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40" t="s">
        <v>3310</v>
      </c>
      <c r="B113" s="3740"/>
      <c r="C113" s="3740"/>
      <c r="D113" s="3740"/>
      <c r="E113" s="3740"/>
      <c r="F113" s="3740"/>
      <c r="G113" s="3740"/>
      <c r="H113" s="3740"/>
      <c r="I113" s="3740"/>
      <c r="J113" s="374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2.5</v>
      </c>
      <c r="C116" s="3394" t="s">
        <v>3312</v>
      </c>
      <c r="D116" s="3395">
        <f>SUMPRODUCT((A118:A122=F116)*(B117:M117=H116)*B118:M122)</f>
        <v>0.91400000000000003</v>
      </c>
      <c r="E116" s="1999" t="s">
        <v>3313</v>
      </c>
      <c r="F116" s="3396" t="str">
        <f>E2</f>
        <v>商业</v>
      </c>
      <c r="G116" s="1999" t="s">
        <v>3314</v>
      </c>
      <c r="H116" s="3396" t="str">
        <f>G2</f>
        <v>六级</v>
      </c>
      <c r="I116" s="1999"/>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3328</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3329</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3330</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2606</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估价对象为北京市陈庄子路3号院4号楼-1层B102房地产，为北京百肯商贸有限公司所有。根据《国有土地使用证》[]，估价对象（分摊）出让国有建设用地使用权面积为0平方米，建筑面积为820.57平方米。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1809</v>
      </c>
      <c r="C1" s="1224" t="s">
        <v>1661</v>
      </c>
      <c r="D1" s="1225"/>
      <c r="E1" s="3427"/>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1462</v>
      </c>
      <c r="F2" s="1882"/>
      <c r="G2" s="908"/>
      <c r="H2" s="908"/>
      <c r="I2" s="908"/>
      <c r="J2" s="908"/>
      <c r="K2" s="908"/>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820.57</v>
      </c>
      <c r="E3" s="1953"/>
      <c r="F3" s="909"/>
      <c r="G3" s="908"/>
      <c r="H3" s="908"/>
      <c r="I3" s="908"/>
      <c r="J3" s="908"/>
      <c r="K3" s="910"/>
      <c r="L3" s="2727"/>
      <c r="M3" s="2728"/>
      <c r="N3" s="2728"/>
      <c r="O3" s="2728"/>
      <c r="P3" s="699"/>
      <c r="Q3" s="699"/>
      <c r="R3" s="699"/>
      <c r="S3" s="699"/>
      <c r="T3" s="699"/>
      <c r="U3" s="699"/>
      <c r="V3" s="699"/>
      <c r="W3" s="699"/>
      <c r="X3" s="699"/>
      <c r="Y3" s="699"/>
      <c r="Z3" s="699"/>
      <c r="AA3" s="699"/>
      <c r="AB3" s="699"/>
      <c r="AC3" s="700"/>
    </row>
    <row r="4" spans="1:29" ht="15">
      <c r="A4" s="355" t="s">
        <v>1768</v>
      </c>
      <c r="B4" s="356"/>
      <c r="C4" s="3678" t="s">
        <v>1769</v>
      </c>
      <c r="D4" s="3679"/>
      <c r="E4" s="3680" t="s">
        <v>1770</v>
      </c>
      <c r="F4" s="3681"/>
      <c r="G4" s="3678" t="s">
        <v>1771</v>
      </c>
      <c r="H4" s="3679"/>
      <c r="I4" s="3678" t="s">
        <v>1772</v>
      </c>
      <c r="J4" s="3679"/>
      <c r="K4" s="559" t="s">
        <v>1773</v>
      </c>
      <c r="L4" s="2708"/>
      <c r="M4" s="2709"/>
      <c r="N4" s="2709"/>
      <c r="O4" s="2709"/>
      <c r="P4" s="3762" t="s">
        <v>1774</v>
      </c>
      <c r="Q4" s="3763"/>
      <c r="R4" s="3766" t="s">
        <v>1770</v>
      </c>
      <c r="S4" s="3767"/>
      <c r="T4" s="3766" t="s">
        <v>1771</v>
      </c>
      <c r="U4" s="3767"/>
      <c r="V4" s="3768" t="s">
        <v>1772</v>
      </c>
      <c r="W4" s="3768"/>
      <c r="X4" s="1957"/>
      <c r="Y4" s="3766" t="s">
        <v>1774</v>
      </c>
      <c r="Z4" s="3767"/>
      <c r="AA4" s="3770" t="s">
        <v>1770</v>
      </c>
      <c r="AB4" s="3770" t="s">
        <v>1771</v>
      </c>
      <c r="AC4" s="3759" t="s">
        <v>1772</v>
      </c>
    </row>
    <row r="5" spans="1:29" ht="15">
      <c r="A5" s="358"/>
      <c r="B5" s="359"/>
      <c r="C5" s="3696" t="s">
        <v>1672</v>
      </c>
      <c r="D5" s="3697"/>
      <c r="E5" s="3704" t="s">
        <v>1673</v>
      </c>
      <c r="F5" s="3705"/>
      <c r="G5" s="3696" t="s">
        <v>1674</v>
      </c>
      <c r="H5" s="3697"/>
      <c r="I5" s="3696" t="s">
        <v>1675</v>
      </c>
      <c r="J5" s="3697"/>
      <c r="K5" s="559"/>
      <c r="L5" s="2708"/>
      <c r="M5" s="2709"/>
      <c r="N5" s="2709"/>
      <c r="O5" s="2709"/>
      <c r="P5" s="3764"/>
      <c r="Q5" s="3685"/>
      <c r="R5" s="3690"/>
      <c r="S5" s="3691"/>
      <c r="T5" s="3690"/>
      <c r="U5" s="3691"/>
      <c r="V5" s="3673"/>
      <c r="W5" s="3673"/>
      <c r="X5" s="1355"/>
      <c r="Y5" s="3690"/>
      <c r="Z5" s="3691"/>
      <c r="AA5" s="3676"/>
      <c r="AB5" s="3676"/>
      <c r="AC5" s="3760"/>
    </row>
    <row r="6" spans="1:29" ht="15.75" thickBot="1">
      <c r="A6" s="360"/>
      <c r="B6" s="361"/>
      <c r="C6" s="3735" t="s">
        <v>1676</v>
      </c>
      <c r="D6" s="3695"/>
      <c r="E6" s="3736" t="s">
        <v>1676</v>
      </c>
      <c r="F6" s="3703"/>
      <c r="G6" s="3735" t="s">
        <v>1676</v>
      </c>
      <c r="H6" s="3695"/>
      <c r="I6" s="3735" t="s">
        <v>1676</v>
      </c>
      <c r="J6" s="3695"/>
      <c r="K6" s="559" t="s">
        <v>1677</v>
      </c>
      <c r="L6" s="2708"/>
      <c r="M6" s="2709"/>
      <c r="N6" s="2709"/>
      <c r="O6" s="2709"/>
      <c r="P6" s="3765"/>
      <c r="Q6" s="3687"/>
      <c r="R6" s="3690"/>
      <c r="S6" s="3691"/>
      <c r="T6" s="3692"/>
      <c r="U6" s="3693"/>
      <c r="V6" s="3673"/>
      <c r="W6" s="3673"/>
      <c r="X6" s="1355"/>
      <c r="Y6" s="3692"/>
      <c r="Z6" s="3693"/>
      <c r="AA6" s="3677"/>
      <c r="AB6" s="3677"/>
      <c r="AC6" s="3761"/>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69"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69" t="s">
        <v>1682</v>
      </c>
      <c r="Q8" s="3699"/>
      <c r="R8" s="701" t="s">
        <v>14</v>
      </c>
      <c r="S8" s="702">
        <f t="shared" si="0"/>
        <v>100</v>
      </c>
      <c r="T8" s="701" t="s">
        <v>14</v>
      </c>
      <c r="U8" s="702">
        <f t="shared" si="1"/>
        <v>100</v>
      </c>
      <c r="V8" s="701" t="s">
        <v>14</v>
      </c>
      <c r="W8" s="702">
        <f t="shared" si="2"/>
        <v>100</v>
      </c>
      <c r="X8" s="703"/>
      <c r="Y8" s="3698" t="s">
        <v>1682</v>
      </c>
      <c r="Z8" s="3699"/>
      <c r="AA8" s="704">
        <f t="shared" ref="AA8:AA47" si="3">D8/F8</f>
        <v>1</v>
      </c>
      <c r="AB8" s="704">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674"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1958">
        <f t="shared" si="5"/>
        <v>1</v>
      </c>
    </row>
    <row r="10" spans="1:29" s="378" customFormat="1" ht="27">
      <c r="A10" s="374"/>
      <c r="B10" s="375" t="s">
        <v>1687</v>
      </c>
      <c r="C10" s="3428"/>
      <c r="D10" s="127">
        <v>100</v>
      </c>
      <c r="E10" s="3428"/>
      <c r="F10" s="127">
        <f>SUMIF(66:66,E10,67:67)-SUMIF(66:66,C10,67:67)+100</f>
        <v>100</v>
      </c>
      <c r="G10" s="3429"/>
      <c r="H10" s="127">
        <f>SUMIF(66:66,G10,67:67)-SUMIF(66:66,C10,67:67)+100</f>
        <v>100</v>
      </c>
      <c r="I10" s="3428"/>
      <c r="J10" s="127">
        <f>SUMIF(66:66,I10,67:67)-SUMIF(66:66,C10,67:67)+100</f>
        <v>100</v>
      </c>
      <c r="K10" s="560"/>
      <c r="L10" s="2712"/>
      <c r="M10" s="2713"/>
      <c r="N10" s="2713"/>
      <c r="O10" s="2713"/>
      <c r="P10" s="3674"/>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74"/>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0"/>
      <c r="M12" s="2711"/>
      <c r="N12" s="2711"/>
      <c r="O12" s="2711"/>
      <c r="P12" s="3674"/>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5"/>
      <c r="M13" s="2709"/>
      <c r="N13" s="2709"/>
      <c r="O13" s="2709"/>
      <c r="P13" s="3674"/>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5"/>
      <c r="M14" s="2709"/>
      <c r="N14" s="2709"/>
      <c r="O14" s="2709"/>
      <c r="P14" s="3674"/>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8">
        <f t="shared" si="5"/>
        <v>1</v>
      </c>
    </row>
    <row r="15" spans="1:29" ht="15">
      <c r="A15" s="391" t="s">
        <v>1689</v>
      </c>
      <c r="B15" s="577" t="s">
        <v>1810</v>
      </c>
      <c r="C15" s="1960"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664" t="s">
        <v>1690</v>
      </c>
      <c r="Q15" s="1352" t="str">
        <f t="shared" si="6"/>
        <v>办公集聚程度</v>
      </c>
      <c r="R15" s="705" t="s">
        <v>14</v>
      </c>
      <c r="S15" s="706">
        <f t="shared" si="0"/>
        <v>100</v>
      </c>
      <c r="T15" s="705" t="s">
        <v>14</v>
      </c>
      <c r="U15" s="706">
        <f t="shared" si="1"/>
        <v>100</v>
      </c>
      <c r="V15" s="705" t="s">
        <v>14</v>
      </c>
      <c r="W15" s="706">
        <f t="shared" si="2"/>
        <v>100</v>
      </c>
      <c r="X15" s="1355"/>
      <c r="Y15" s="3666" t="s">
        <v>1690</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5"/>
      <c r="M16" s="2709"/>
      <c r="N16" s="2709"/>
      <c r="O16" s="2709"/>
      <c r="P16" s="3665"/>
      <c r="Q16" s="1352"/>
      <c r="R16" s="705"/>
      <c r="S16" s="706"/>
      <c r="T16" s="705"/>
      <c r="U16" s="706"/>
      <c r="V16" s="705"/>
      <c r="W16" s="706"/>
      <c r="X16" s="1355"/>
      <c r="Y16" s="3667"/>
      <c r="Z16" s="1356"/>
      <c r="AA16" s="1353">
        <v>1</v>
      </c>
      <c r="AB16" s="1353">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665"/>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5"/>
      <c r="M18" s="2709"/>
      <c r="N18" s="2709"/>
      <c r="O18" s="2709"/>
      <c r="P18" s="3665"/>
      <c r="Q18" s="1352"/>
      <c r="R18" s="705"/>
      <c r="S18" s="706"/>
      <c r="T18" s="705"/>
      <c r="U18" s="706"/>
      <c r="V18" s="705"/>
      <c r="W18" s="706"/>
      <c r="X18" s="1355"/>
      <c r="Y18" s="3667"/>
      <c r="Z18" s="1356"/>
      <c r="AA18" s="1353">
        <v>1</v>
      </c>
      <c r="AB18" s="1353">
        <v>1</v>
      </c>
      <c r="AC18" s="1961">
        <v>1</v>
      </c>
    </row>
    <row r="19" spans="1:29" ht="15">
      <c r="A19" s="379"/>
      <c r="B19" s="579" t="s">
        <v>1811</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665"/>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5"/>
      <c r="M20" s="2709"/>
      <c r="N20" s="2709"/>
      <c r="O20" s="2709"/>
      <c r="P20" s="3665"/>
      <c r="Q20" s="1352"/>
      <c r="R20" s="705"/>
      <c r="S20" s="706"/>
      <c r="T20" s="705"/>
      <c r="U20" s="706"/>
      <c r="V20" s="705"/>
      <c r="W20" s="706"/>
      <c r="X20" s="1355"/>
      <c r="Y20" s="3667"/>
      <c r="Z20" s="1356"/>
      <c r="AA20" s="1353">
        <v>1</v>
      </c>
      <c r="AB20" s="1353">
        <v>1</v>
      </c>
      <c r="AC20" s="1961">
        <v>1</v>
      </c>
    </row>
    <row r="21" spans="1:29" ht="15">
      <c r="A21" s="379"/>
      <c r="B21" s="581" t="s">
        <v>1812</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665"/>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5"/>
      <c r="M22" s="2709"/>
      <c r="N22" s="2709"/>
      <c r="O22" s="2709"/>
      <c r="P22" s="3665"/>
      <c r="Q22" s="1352"/>
      <c r="R22" s="705"/>
      <c r="S22" s="706"/>
      <c r="T22" s="705"/>
      <c r="U22" s="706"/>
      <c r="V22" s="705"/>
      <c r="W22" s="706"/>
      <c r="X22" s="1355"/>
      <c r="Y22" s="3667"/>
      <c r="Z22" s="1356"/>
      <c r="AA22" s="1353">
        <v>1</v>
      </c>
      <c r="AB22" s="1353">
        <v>1</v>
      </c>
      <c r="AC22" s="1961">
        <v>1</v>
      </c>
    </row>
    <row r="23" spans="1:29" ht="15">
      <c r="A23" s="379"/>
      <c r="B23" s="579" t="s">
        <v>1813</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665"/>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5"/>
      <c r="M24" s="2709"/>
      <c r="N24" s="2709"/>
      <c r="O24" s="2709"/>
      <c r="P24" s="3665"/>
      <c r="Q24" s="1352"/>
      <c r="R24" s="705"/>
      <c r="S24" s="706"/>
      <c r="T24" s="705"/>
      <c r="U24" s="706"/>
      <c r="V24" s="705"/>
      <c r="W24" s="706"/>
      <c r="X24" s="1355"/>
      <c r="Y24" s="3667"/>
      <c r="Z24" s="1356"/>
      <c r="AA24" s="1353">
        <v>1</v>
      </c>
      <c r="AB24" s="1353">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5"/>
      <c r="M25" s="2709"/>
      <c r="N25" s="2709"/>
      <c r="O25" s="2709"/>
      <c r="P25" s="3665"/>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5"/>
      <c r="M26" s="2709"/>
      <c r="N26" s="2709"/>
      <c r="O26" s="2709"/>
      <c r="P26" s="3665"/>
      <c r="Q26" s="1352"/>
      <c r="R26" s="705"/>
      <c r="S26" s="706"/>
      <c r="T26" s="705"/>
      <c r="U26" s="706"/>
      <c r="V26" s="705"/>
      <c r="W26" s="706"/>
      <c r="X26" s="1355"/>
      <c r="Y26" s="3667"/>
      <c r="Z26" s="1356"/>
      <c r="AA26" s="1353">
        <v>1</v>
      </c>
      <c r="AB26" s="1353">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5"/>
      <c r="M27" s="2709"/>
      <c r="N27" s="2709"/>
      <c r="O27" s="2709"/>
      <c r="P27" s="3665"/>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0"/>
      <c r="M28" s="2711"/>
      <c r="N28" s="2711"/>
      <c r="O28" s="2711"/>
      <c r="P28" s="3665"/>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5"/>
      <c r="M29" s="2709"/>
      <c r="N29" s="2709"/>
      <c r="O29" s="2709"/>
      <c r="P29" s="3665"/>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5"/>
      <c r="M30" s="2709"/>
      <c r="N30" s="2709"/>
      <c r="O30" s="2709"/>
      <c r="P30" s="3665"/>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5"/>
      <c r="M31" s="2709"/>
      <c r="N31" s="2709"/>
      <c r="O31" s="2709"/>
      <c r="P31" s="3665"/>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5"/>
      <c r="M32" s="2709"/>
      <c r="N32" s="2709"/>
      <c r="O32" s="2709"/>
      <c r="P32" s="3665"/>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5"/>
      <c r="M33" s="2709"/>
      <c r="N33" s="2709"/>
      <c r="O33" s="2709"/>
      <c r="P33" s="3668" t="s">
        <v>1695</v>
      </c>
      <c r="Q33" s="1352" t="str">
        <f t="shared" si="11"/>
        <v>建筑类型</v>
      </c>
      <c r="R33" s="705" t="s">
        <v>14</v>
      </c>
      <c r="S33" s="706">
        <f t="shared" si="12"/>
        <v>100</v>
      </c>
      <c r="T33" s="705" t="s">
        <v>14</v>
      </c>
      <c r="U33" s="706">
        <f t="shared" si="13"/>
        <v>100</v>
      </c>
      <c r="V33" s="705" t="s">
        <v>14</v>
      </c>
      <c r="W33" s="706">
        <f t="shared" si="14"/>
        <v>100</v>
      </c>
      <c r="X33" s="1355"/>
      <c r="Y33" s="3671" t="s">
        <v>1695</v>
      </c>
      <c r="Z33" s="1356" t="str">
        <f t="shared" si="15"/>
        <v>建筑类型</v>
      </c>
      <c r="AA33" s="1353">
        <f t="shared" si="3"/>
        <v>1</v>
      </c>
      <c r="AB33" s="1353">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669" t="s">
        <v>1695</v>
      </c>
      <c r="Q39" s="1352" t="str">
        <f t="shared" si="11"/>
        <v>物业管理</v>
      </c>
      <c r="R39" s="705" t="s">
        <v>14</v>
      </c>
      <c r="S39" s="706">
        <f t="shared" si="12"/>
        <v>100</v>
      </c>
      <c r="T39" s="705" t="s">
        <v>14</v>
      </c>
      <c r="U39" s="706">
        <f t="shared" si="13"/>
        <v>100</v>
      </c>
      <c r="V39" s="705" t="s">
        <v>14</v>
      </c>
      <c r="W39" s="706">
        <f t="shared" si="14"/>
        <v>100</v>
      </c>
      <c r="X39" s="1355"/>
      <c r="Y39" s="3671" t="s">
        <v>1695</v>
      </c>
      <c r="Z39" s="1356" t="str">
        <f t="shared" si="15"/>
        <v>物业管理</v>
      </c>
      <c r="AA39" s="1353">
        <f t="shared" si="3"/>
        <v>1</v>
      </c>
      <c r="AB39" s="1353">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1">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5"/>
      <c r="M44" s="2709"/>
      <c r="N44" s="2709"/>
      <c r="O44" s="2709"/>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1">
        <f t="shared" si="5"/>
        <v>1</v>
      </c>
    </row>
    <row r="48" spans="1:29" ht="15">
      <c r="A48" s="430" t="s">
        <v>1707</v>
      </c>
      <c r="B48" s="431"/>
      <c r="C48" s="1154" t="s">
        <v>0</v>
      </c>
      <c r="D48" s="1155"/>
      <c r="E48" s="1156"/>
      <c r="F48" s="1157"/>
      <c r="G48" s="1158"/>
      <c r="H48" s="1159"/>
      <c r="I48" s="1156"/>
      <c r="J48" s="436"/>
      <c r="K48" s="714"/>
      <c r="L48" s="2717"/>
      <c r="M48" s="2709"/>
      <c r="N48" s="2709"/>
      <c r="O48" s="2709"/>
      <c r="P48" s="3674" t="str">
        <f>A48</f>
        <v>成交单价（元/平方米）</v>
      </c>
      <c r="Q48" s="3659"/>
      <c r="R48" s="3660">
        <f>E48</f>
        <v>0</v>
      </c>
      <c r="S48" s="3660"/>
      <c r="T48" s="3660">
        <f>G48</f>
        <v>0</v>
      </c>
      <c r="U48" s="3660"/>
      <c r="V48" s="3660">
        <f>I48</f>
        <v>0</v>
      </c>
      <c r="W48" s="3660"/>
      <c r="X48" s="397"/>
      <c r="Y48" s="712"/>
      <c r="Z48" s="397"/>
      <c r="AA48" s="397"/>
      <c r="AB48" s="397"/>
      <c r="AC48" s="578"/>
    </row>
    <row r="49" spans="1:29" ht="15.75" thickBot="1">
      <c r="A49" s="437" t="s">
        <v>1792</v>
      </c>
      <c r="B49" s="438"/>
      <c r="C49" s="1160" t="e">
        <f>R50</f>
        <v>#DIV/0!</v>
      </c>
      <c r="D49" s="2315" t="s">
        <v>2136</v>
      </c>
      <c r="E49" s="1161" t="e">
        <f>R49</f>
        <v>#DIV/0!</v>
      </c>
      <c r="F49" s="2316"/>
      <c r="G49" s="1160" t="e">
        <f>T49</f>
        <v>#DIV/0!</v>
      </c>
      <c r="H49" s="2316"/>
      <c r="I49" s="1161" t="e">
        <f>V49</f>
        <v>#DIV/0!</v>
      </c>
      <c r="J49" s="2316"/>
      <c r="K49" s="2318">
        <f>F49+H49+J49</f>
        <v>0</v>
      </c>
      <c r="L49" s="2717"/>
      <c r="M49" s="2709"/>
      <c r="N49" s="2709"/>
      <c r="O49" s="2709"/>
      <c r="P49" s="3674" t="str">
        <f>A49</f>
        <v>比较价值（元/平方米）</v>
      </c>
      <c r="Q49" s="3659"/>
      <c r="R49" s="3660" t="e">
        <f>IF(F1="售价",ROUND(PRODUCT(R48,AA7:AA47),0),ROUND(PRODUCT(R48,AA7:AA47),1))</f>
        <v>#DIV/0!</v>
      </c>
      <c r="S49" s="3660"/>
      <c r="T49" s="3660" t="e">
        <f>IF(F1="售价",ROUND(PRODUCT(T48,AB7:AB47),0),ROUND(PRODUCT(T48,AB7:AB47),1))</f>
        <v>#DIV/0!</v>
      </c>
      <c r="U49" s="3660"/>
      <c r="V49" s="3660" t="e">
        <f>IF(F1="售价",ROUND(PRODUCT(V48,AC7:AC47),0),ROUND(PRODUCT(V48,AC7:AC47),1))</f>
        <v>#DIV/0!</v>
      </c>
      <c r="W49" s="366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7"/>
      <c r="M50" s="2709"/>
      <c r="N50" s="2709"/>
      <c r="O50" s="2709"/>
      <c r="P50" s="3756" t="str">
        <f>A50</f>
        <v>估价对象XX用房的比较价值（楼面单价，元/平方米）</v>
      </c>
      <c r="Q50" s="3757"/>
      <c r="R50" s="3758" t="e">
        <f>IF(F1="售价",ROUND(IF(D49="简单平均",AVERAGE(R49:V49),R49*F49+T49*H49+V49*J49),0),ROUND(IF(D49="简单平均",AVERAGE(R49:V49),R49*F49+T49*H49+V49*J49),1))</f>
        <v>#DIV/0!</v>
      </c>
      <c r="S50" s="3758"/>
      <c r="T50" s="3758"/>
      <c r="U50" s="3758"/>
      <c r="V50" s="3758"/>
      <c r="W50" s="3758"/>
      <c r="X50" s="1945"/>
      <c r="Y50" s="1945"/>
      <c r="Z50" s="1945"/>
      <c r="AA50" s="1945"/>
      <c r="AB50" s="1945"/>
      <c r="AC50" s="1946"/>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1797</v>
      </c>
      <c r="B58" s="690"/>
      <c r="C58" s="695"/>
      <c r="D58" s="695"/>
      <c r="E58" s="695"/>
      <c r="F58" s="696"/>
      <c r="G58" s="696"/>
      <c r="H58" s="695"/>
      <c r="I58" s="695"/>
      <c r="J58" s="695"/>
      <c r="K58" s="697"/>
      <c r="L58" s="942"/>
      <c r="M58" s="940"/>
      <c r="N58" s="2762"/>
      <c r="O58" s="2762"/>
      <c r="P58" s="2751"/>
      <c r="Q58" s="2732"/>
      <c r="R58" s="2718"/>
      <c r="S58" s="2718"/>
      <c r="T58" s="2718"/>
      <c r="U58" s="2718"/>
      <c r="V58" s="2718"/>
      <c r="W58" s="2718"/>
      <c r="X58" s="2718"/>
      <c r="Y58" s="2718"/>
      <c r="Z58" s="2718"/>
      <c r="AA58" s="2718"/>
      <c r="AB58" s="2718"/>
      <c r="AC58" s="2718"/>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2"/>
      <c r="Q59" s="2734"/>
      <c r="R59" s="2734"/>
      <c r="S59" s="2734"/>
      <c r="T59" s="2734"/>
      <c r="U59" s="2734"/>
      <c r="V59" s="2734"/>
      <c r="W59" s="2734"/>
      <c r="X59" s="2734"/>
      <c r="Y59" s="2734"/>
      <c r="Z59" s="2734"/>
      <c r="AA59" s="2734"/>
      <c r="AB59" s="2734"/>
      <c r="AC59" s="2734"/>
    </row>
    <row r="60" spans="1:29" s="108" customFormat="1" ht="15">
      <c r="A60" s="458"/>
      <c r="B60" s="459"/>
      <c r="C60" s="1183">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1715</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1680</v>
      </c>
      <c r="B62" s="459"/>
      <c r="C62" s="471" t="s">
        <v>1775</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1718</v>
      </c>
      <c r="B64" s="477" t="s">
        <v>1684</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1687</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1689</v>
      </c>
      <c r="B77" s="477" t="s">
        <v>1820</v>
      </c>
      <c r="C77" s="522" t="s">
        <v>1720</v>
      </c>
      <c r="D77" s="522" t="s">
        <v>1721</v>
      </c>
      <c r="E77" s="522" t="s">
        <v>1722</v>
      </c>
      <c r="F77" s="522" t="s">
        <v>1723</v>
      </c>
      <c r="G77" s="522" t="s">
        <v>1724</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1725</v>
      </c>
      <c r="C79" s="527" t="s">
        <v>1720</v>
      </c>
      <c r="D79" s="527" t="s">
        <v>1721</v>
      </c>
      <c r="E79" s="527" t="s">
        <v>1722</v>
      </c>
      <c r="F79" s="527" t="s">
        <v>1723</v>
      </c>
      <c r="G79" s="527" t="s">
        <v>1724</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1726</v>
      </c>
      <c r="C81" s="527" t="s">
        <v>1720</v>
      </c>
      <c r="D81" s="527" t="s">
        <v>1721</v>
      </c>
      <c r="E81" s="527" t="s">
        <v>1722</v>
      </c>
      <c r="F81" s="527" t="s">
        <v>1723</v>
      </c>
      <c r="G81" s="527" t="s">
        <v>1724</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1812</v>
      </c>
      <c r="C83" s="608" t="s">
        <v>1798</v>
      </c>
      <c r="D83" s="608" t="s">
        <v>1799</v>
      </c>
      <c r="E83" s="608" t="s">
        <v>1800</v>
      </c>
      <c r="F83" s="608" t="s">
        <v>1801</v>
      </c>
      <c r="G83" s="608" t="s">
        <v>1802</v>
      </c>
      <c r="H83" s="488"/>
      <c r="I83" s="488"/>
      <c r="J83" s="488"/>
      <c r="K83" s="488"/>
      <c r="L83" s="488"/>
      <c r="M83" s="1129"/>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1821</v>
      </c>
      <c r="C85" s="527" t="s">
        <v>1720</v>
      </c>
      <c r="D85" s="527" t="s">
        <v>1721</v>
      </c>
      <c r="E85" s="527" t="s">
        <v>1722</v>
      </c>
      <c r="F85" s="527" t="s">
        <v>1723</v>
      </c>
      <c r="G85" s="527" t="s">
        <v>1724</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1822</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6"/>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7"/>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1693</v>
      </c>
      <c r="B101" s="477" t="s">
        <v>1735</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1737</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1739</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1823</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1740</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1741</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1824</v>
      </c>
      <c r="C119" s="532"/>
      <c r="D119" s="532"/>
      <c r="E119" s="532"/>
      <c r="F119" s="532"/>
      <c r="G119" s="532"/>
      <c r="H119" s="532"/>
      <c r="I119" s="532"/>
      <c r="J119" s="532"/>
      <c r="K119" s="532"/>
      <c r="L119" s="1967"/>
      <c r="M119" s="1968"/>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1807</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1743</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7"/>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6" t="s">
        <v>1825</v>
      </c>
      <c r="C1" s="1224" t="s">
        <v>1661</v>
      </c>
      <c r="D1" s="1225"/>
      <c r="E1" s="3427"/>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820.57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913"/>
      <c r="M4" s="914"/>
      <c r="N4" s="914"/>
      <c r="O4" s="914"/>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913"/>
      <c r="M5" s="914"/>
      <c r="N5" s="914"/>
      <c r="O5" s="914"/>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559" t="s">
        <v>1677</v>
      </c>
      <c r="L6" s="913"/>
      <c r="M6" s="914"/>
      <c r="N6" s="914"/>
      <c r="O6" s="914"/>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1682</v>
      </c>
      <c r="Q8" s="3699"/>
      <c r="R8" s="701" t="s">
        <v>14</v>
      </c>
      <c r="S8" s="702">
        <f t="shared" si="0"/>
        <v>100</v>
      </c>
      <c r="T8" s="701" t="s">
        <v>14</v>
      </c>
      <c r="U8" s="702">
        <f t="shared" si="1"/>
        <v>100</v>
      </c>
      <c r="V8" s="701" t="s">
        <v>14</v>
      </c>
      <c r="W8" s="702">
        <f t="shared" si="2"/>
        <v>100</v>
      </c>
      <c r="X8" s="703"/>
      <c r="Y8" s="3698" t="s">
        <v>1682</v>
      </c>
      <c r="Z8" s="3699"/>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9"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9"/>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1690</v>
      </c>
      <c r="Q15" s="1352" t="str">
        <f t="shared" si="6"/>
        <v>产业集聚程度</v>
      </c>
      <c r="R15" s="705" t="s">
        <v>14</v>
      </c>
      <c r="S15" s="706">
        <f t="shared" si="0"/>
        <v>100</v>
      </c>
      <c r="T15" s="705" t="s">
        <v>14</v>
      </c>
      <c r="U15" s="706">
        <f t="shared" si="1"/>
        <v>100</v>
      </c>
      <c r="V15" s="705" t="s">
        <v>14</v>
      </c>
      <c r="W15" s="706">
        <f t="shared" si="2"/>
        <v>100</v>
      </c>
      <c r="X15" s="1355"/>
      <c r="Y15" s="366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1" t="s">
        <v>1695</v>
      </c>
      <c r="Q29" s="1352" t="str">
        <f t="shared" si="11"/>
        <v>建筑类型</v>
      </c>
      <c r="R29" s="705" t="s">
        <v>14</v>
      </c>
      <c r="S29" s="706">
        <f t="shared" si="12"/>
        <v>100</v>
      </c>
      <c r="T29" s="705" t="s">
        <v>14</v>
      </c>
      <c r="U29" s="706">
        <f t="shared" si="13"/>
        <v>100</v>
      </c>
      <c r="V29" s="705" t="s">
        <v>14</v>
      </c>
      <c r="W29" s="706">
        <f t="shared" si="14"/>
        <v>100</v>
      </c>
      <c r="X29" s="1355"/>
      <c r="Y29" s="367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1695</v>
      </c>
      <c r="Q35" s="1352" t="str">
        <f t="shared" si="11"/>
        <v>市政基础设施</v>
      </c>
      <c r="R35" s="705" t="s">
        <v>14</v>
      </c>
      <c r="S35" s="706">
        <f t="shared" si="12"/>
        <v>100</v>
      </c>
      <c r="T35" s="705" t="s">
        <v>14</v>
      </c>
      <c r="U35" s="706">
        <f t="shared" si="13"/>
        <v>100</v>
      </c>
      <c r="V35" s="705" t="s">
        <v>14</v>
      </c>
      <c r="W35" s="706">
        <f t="shared" si="14"/>
        <v>100</v>
      </c>
      <c r="X35" s="1355"/>
      <c r="Y35" s="367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59" t="str">
        <f>A41</f>
        <v>成交单价（元/平方米）</v>
      </c>
      <c r="Q41" s="3659"/>
      <c r="R41" s="3660">
        <f>E41</f>
        <v>0</v>
      </c>
      <c r="S41" s="3660"/>
      <c r="T41" s="3660">
        <f>G41</f>
        <v>0</v>
      </c>
      <c r="U41" s="3660"/>
      <c r="V41" s="3660">
        <f>I41</f>
        <v>0</v>
      </c>
      <c r="W41" s="3660"/>
      <c r="X41" s="690"/>
      <c r="Y41" s="712"/>
      <c r="Z41" s="690"/>
      <c r="AA41" s="690"/>
      <c r="AB41" s="690"/>
      <c r="AC41" s="690"/>
    </row>
    <row r="42" spans="1:29" ht="15.75" thickBot="1">
      <c r="A42" s="437" t="s">
        <v>1792</v>
      </c>
      <c r="B42" s="438"/>
      <c r="C42" s="1160" t="e">
        <f>R43</f>
        <v>#DIV/0!</v>
      </c>
      <c r="D42" s="2315" t="s">
        <v>2136</v>
      </c>
      <c r="E42" s="1161" t="e">
        <f>R42</f>
        <v>#DIV/0!</v>
      </c>
      <c r="F42" s="2316"/>
      <c r="G42" s="1160" t="e">
        <f>T42</f>
        <v>#DIV/0!</v>
      </c>
      <c r="H42" s="2316"/>
      <c r="I42" s="1161" t="e">
        <f>V42</f>
        <v>#DIV/0!</v>
      </c>
      <c r="J42" s="2316"/>
      <c r="K42" s="2318">
        <f>F42+H42+J42</f>
        <v>0</v>
      </c>
      <c r="L42" s="926"/>
      <c r="M42" s="927"/>
      <c r="N42" s="914"/>
      <c r="O42" s="927"/>
      <c r="P42" s="3659" t="str">
        <f>A42</f>
        <v>比较价值（元/平方米）</v>
      </c>
      <c r="Q42" s="3659"/>
      <c r="R42" s="3660" t="e">
        <f>IF(F1="售价",ROUND(PRODUCT(R41,AA7:AA40),0),ROUND(PRODUCT(R41,AA7:AA40),1))</f>
        <v>#DIV/0!</v>
      </c>
      <c r="S42" s="3660"/>
      <c r="T42" s="3660" t="e">
        <f>IF(F1="售价",ROUND(PRODUCT(T41,AB7:AB40),0),ROUND(PRODUCT(T41,AB7:AB40),1))</f>
        <v>#DIV/0!</v>
      </c>
      <c r="U42" s="3660"/>
      <c r="V42" s="3660" t="e">
        <f>IF(F1="售价",ROUND(PRODUCT(V41,AC7:AC40),0),ROUND(PRODUCT(V41,AC7:AC40),1))</f>
        <v>#DIV/0!</v>
      </c>
      <c r="W42" s="366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18"/>
      <c r="B44" s="2718"/>
      <c r="C44" s="2718"/>
      <c r="D44" s="2718"/>
      <c r="E44" s="2718"/>
      <c r="F44" s="2718"/>
      <c r="G44" s="2722"/>
      <c r="H44" s="2718"/>
      <c r="I44" s="2718"/>
      <c r="J44" s="2718"/>
      <c r="K44" s="2723"/>
      <c r="L44" s="889"/>
      <c r="M44" s="927"/>
      <c r="N44" s="927"/>
      <c r="O44" s="927"/>
    </row>
    <row r="45" spans="1:29">
      <c r="A45" s="2718"/>
      <c r="B45" s="2718"/>
      <c r="C45" s="2718"/>
      <c r="D45" s="2718"/>
      <c r="E45" s="2718"/>
      <c r="F45" s="2718"/>
      <c r="G45" s="2718"/>
      <c r="H45" s="2718"/>
      <c r="I45" s="2718"/>
      <c r="J45" s="2718"/>
      <c r="K45" s="2723"/>
      <c r="L45" s="889"/>
      <c r="M45" s="927"/>
      <c r="N45" s="927"/>
      <c r="O45" s="927"/>
    </row>
    <row r="46" spans="1:29"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9"/>
      <c r="M46" s="927"/>
      <c r="N46" s="927"/>
      <c r="O46" s="927"/>
    </row>
    <row r="47" spans="1:29"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9"/>
      <c r="M47" s="927"/>
      <c r="N47" s="927"/>
      <c r="O47" s="927"/>
    </row>
    <row r="48" spans="1:29"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30"/>
      <c r="M48" s="928"/>
      <c r="N48" s="928"/>
      <c r="O48" s="928"/>
    </row>
    <row r="49" spans="1:17" s="451" customFormat="1">
      <c r="A49" s="2721"/>
      <c r="B49" s="2724"/>
      <c r="C49" s="2725"/>
      <c r="D49" s="2721"/>
      <c r="E49" s="2721"/>
      <c r="F49" s="2721"/>
      <c r="G49" s="2721"/>
      <c r="H49" s="2721"/>
      <c r="I49" s="2721"/>
      <c r="J49" s="2721"/>
      <c r="K49" s="2726"/>
      <c r="L49" s="930"/>
      <c r="M49" s="928"/>
      <c r="N49" s="928"/>
      <c r="O49" s="928"/>
    </row>
    <row r="50" spans="1:17">
      <c r="A50" s="2718"/>
      <c r="B50" s="2724"/>
      <c r="C50" s="2725"/>
      <c r="D50" s="2718"/>
      <c r="E50" s="2718"/>
      <c r="F50" s="2718"/>
      <c r="G50" s="2718"/>
      <c r="H50" s="2718"/>
      <c r="I50" s="2718"/>
      <c r="J50" s="2718"/>
      <c r="K50" s="2723"/>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3"/>
      <c r="O54" s="2764"/>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7"/>
      <c r="F1" s="1878"/>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7"/>
      <c r="M2" s="2728"/>
      <c r="N2" s="2728"/>
      <c r="O2" s="2728"/>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7"/>
      <c r="M3" s="2728" t="e">
        <f ca="1">IF(C2="——",IF(B37="元/平方米",ROUND(C39*D3/10000,0),ROUND(F3*C39/10000,0)),IF(B37="元/平方米",ROUND(C39*D3/10000,0),ROUND(F3*C39/10000,0))-D2)</f>
        <v>#DIV/0!</v>
      </c>
      <c r="N3" s="2728"/>
      <c r="O3" s="2728"/>
      <c r="P3" s="1165"/>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08"/>
      <c r="M4" s="2709"/>
      <c r="N4" s="2709"/>
      <c r="O4" s="2709"/>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2708"/>
      <c r="M5" s="2709"/>
      <c r="N5" s="2709"/>
      <c r="O5" s="2709"/>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559" t="s">
        <v>1677</v>
      </c>
      <c r="L6" s="2708"/>
      <c r="M6" s="2709"/>
      <c r="N6" s="2709"/>
      <c r="O6" s="2709"/>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8" t="s">
        <v>1679</v>
      </c>
      <c r="Q7" s="3700"/>
      <c r="R7" s="701" t="s">
        <v>14</v>
      </c>
      <c r="S7" s="702">
        <f t="shared" ref="S7:S14" si="0">F7</f>
        <v>0</v>
      </c>
      <c r="T7" s="701" t="s">
        <v>14</v>
      </c>
      <c r="U7" s="702">
        <f t="shared" ref="U7:U14" si="1">H7</f>
        <v>0</v>
      </c>
      <c r="V7" s="701" t="s">
        <v>14</v>
      </c>
      <c r="W7" s="702">
        <f t="shared" ref="W7:W14"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8" t="s">
        <v>1682</v>
      </c>
      <c r="Q8" s="3699"/>
      <c r="R8" s="701" t="s">
        <v>14</v>
      </c>
      <c r="S8" s="702">
        <f t="shared" si="0"/>
        <v>100</v>
      </c>
      <c r="T8" s="701" t="s">
        <v>14</v>
      </c>
      <c r="U8" s="702">
        <f t="shared" si="1"/>
        <v>100</v>
      </c>
      <c r="V8" s="701" t="s">
        <v>14</v>
      </c>
      <c r="W8" s="702">
        <f t="shared" si="2"/>
        <v>100</v>
      </c>
      <c r="X8" s="703"/>
      <c r="Y8" s="3698" t="s">
        <v>1682</v>
      </c>
      <c r="Z8" s="3699"/>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59" t="s">
        <v>1685</v>
      </c>
      <c r="Q9" s="1343" t="str">
        <f t="shared" ref="Q9:Q14" si="6">B9</f>
        <v>用途</v>
      </c>
      <c r="R9" s="701" t="s">
        <v>14</v>
      </c>
      <c r="S9" s="702">
        <f t="shared" si="0"/>
        <v>100</v>
      </c>
      <c r="T9" s="701" t="s">
        <v>14</v>
      </c>
      <c r="U9" s="702">
        <f t="shared" si="1"/>
        <v>100</v>
      </c>
      <c r="V9" s="701" t="s">
        <v>14</v>
      </c>
      <c r="W9" s="702">
        <f t="shared" si="2"/>
        <v>100</v>
      </c>
      <c r="X9" s="703"/>
      <c r="Y9" s="3560" t="s">
        <v>1686</v>
      </c>
      <c r="Z9" s="52" t="str">
        <f t="shared" ref="Z9:Z14" si="7">Q9</f>
        <v>用途</v>
      </c>
      <c r="AA9" s="704">
        <f t="shared" si="3"/>
        <v>1</v>
      </c>
      <c r="AB9" s="704">
        <f t="shared" si="4"/>
        <v>1</v>
      </c>
      <c r="AC9" s="704">
        <f t="shared" si="5"/>
        <v>1</v>
      </c>
    </row>
    <row r="10" spans="1:29" s="378" customFormat="1" ht="27">
      <c r="A10" s="589"/>
      <c r="B10" s="590" t="s">
        <v>1687</v>
      </c>
      <c r="C10" s="3428"/>
      <c r="D10" s="127">
        <v>100</v>
      </c>
      <c r="E10" s="3428"/>
      <c r="F10" s="127">
        <f>SUMIF(55:55,E10,56:56)-SUMIF(55:55,C10,56:56)+100</f>
        <v>100</v>
      </c>
      <c r="G10" s="3429"/>
      <c r="H10" s="127">
        <f>SUMIF(55:55,G10,56:56)-SUMIF(55:55,C10,56:56)+100</f>
        <v>100</v>
      </c>
      <c r="I10" s="3428"/>
      <c r="J10" s="127">
        <f>SUMIF(55:55,I10,56:56)-SUMIF(55:55,C10,56:56)+100</f>
        <v>100</v>
      </c>
      <c r="K10" s="560"/>
      <c r="L10" s="2712"/>
      <c r="M10" s="2713"/>
      <c r="N10" s="2713"/>
      <c r="O10" s="2713"/>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55" t="s">
        <v>1689</v>
      </c>
      <c r="B14" s="577" t="s">
        <v>1832</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66" t="s">
        <v>1690</v>
      </c>
      <c r="Q14" s="1352" t="str">
        <f t="shared" si="6"/>
        <v>交通便捷度</v>
      </c>
      <c r="R14" s="705" t="s">
        <v>14</v>
      </c>
      <c r="S14" s="706">
        <f t="shared" si="0"/>
        <v>100</v>
      </c>
      <c r="T14" s="705" t="s">
        <v>14</v>
      </c>
      <c r="U14" s="706">
        <f t="shared" si="1"/>
        <v>100</v>
      </c>
      <c r="V14" s="705" t="s">
        <v>14</v>
      </c>
      <c r="W14" s="706">
        <f t="shared" si="2"/>
        <v>100</v>
      </c>
      <c r="X14" s="1355"/>
      <c r="Y14" s="366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5"/>
      <c r="M15" s="2709"/>
      <c r="N15" s="2709"/>
      <c r="O15" s="2709"/>
      <c r="P15" s="3667"/>
      <c r="Q15" s="1352"/>
      <c r="R15" s="705"/>
      <c r="S15" s="706"/>
      <c r="T15" s="705"/>
      <c r="U15" s="706"/>
      <c r="V15" s="705"/>
      <c r="W15" s="706"/>
      <c r="X15" s="1355"/>
      <c r="Y15" s="3667"/>
      <c r="Z15" s="1356"/>
      <c r="AA15" s="1353">
        <v>1</v>
      </c>
      <c r="AB15" s="1353">
        <v>1</v>
      </c>
      <c r="AC15" s="1353">
        <v>1</v>
      </c>
    </row>
    <row r="16" spans="1:29" ht="15">
      <c r="A16" s="358"/>
      <c r="B16" s="579" t="s">
        <v>1811</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5"/>
      <c r="M17" s="2709"/>
      <c r="N17" s="2709"/>
      <c r="O17" s="2709"/>
      <c r="P17" s="3667"/>
      <c r="Q17" s="1352"/>
      <c r="R17" s="705"/>
      <c r="S17" s="706"/>
      <c r="T17" s="705"/>
      <c r="U17" s="706"/>
      <c r="V17" s="705"/>
      <c r="W17" s="706"/>
      <c r="X17" s="1355"/>
      <c r="Y17" s="3667"/>
      <c r="Z17" s="1356"/>
      <c r="AA17" s="1353">
        <v>1</v>
      </c>
      <c r="AB17" s="1353">
        <v>1</v>
      </c>
      <c r="AC17" s="1353">
        <v>1</v>
      </c>
    </row>
    <row r="18" spans="1:29" ht="15">
      <c r="A18" s="358"/>
      <c r="B18" s="581"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5"/>
      <c r="M19" s="2709"/>
      <c r="N19" s="2709"/>
      <c r="O19" s="2709"/>
      <c r="P19" s="3667"/>
      <c r="Q19" s="1352"/>
      <c r="R19" s="705"/>
      <c r="S19" s="706"/>
      <c r="T19" s="705"/>
      <c r="U19" s="706"/>
      <c r="V19" s="705"/>
      <c r="W19" s="706"/>
      <c r="X19" s="1355"/>
      <c r="Y19" s="3667"/>
      <c r="Z19" s="1356"/>
      <c r="AA19" s="1353">
        <v>1</v>
      </c>
      <c r="AB19" s="1353">
        <v>1</v>
      </c>
      <c r="AC19" s="1353">
        <v>1</v>
      </c>
    </row>
    <row r="20" spans="1:29" ht="15">
      <c r="A20" s="358"/>
      <c r="B20" s="579"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5"/>
      <c r="M21" s="2709"/>
      <c r="N21" s="2709"/>
      <c r="O21" s="2709"/>
      <c r="P21" s="3667"/>
      <c r="Q21" s="1352"/>
      <c r="R21" s="705"/>
      <c r="S21" s="706"/>
      <c r="T21" s="705"/>
      <c r="U21" s="706"/>
      <c r="V21" s="705"/>
      <c r="W21" s="706"/>
      <c r="X21" s="1355"/>
      <c r="Y21" s="366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7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71" t="s">
        <v>1695</v>
      </c>
      <c r="Q32" s="1352" t="str">
        <f t="shared" si="11"/>
        <v>车位类型</v>
      </c>
      <c r="R32" s="705" t="s">
        <v>14</v>
      </c>
      <c r="S32" s="706">
        <f t="shared" si="12"/>
        <v>100</v>
      </c>
      <c r="T32" s="705" t="s">
        <v>14</v>
      </c>
      <c r="U32" s="706">
        <f t="shared" si="13"/>
        <v>100</v>
      </c>
      <c r="V32" s="705" t="s">
        <v>14</v>
      </c>
      <c r="W32" s="706">
        <f t="shared" si="14"/>
        <v>100</v>
      </c>
      <c r="X32" s="1355"/>
      <c r="Y32" s="367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1843</v>
      </c>
      <c r="B37" s="1972" t="s">
        <v>3352</v>
      </c>
      <c r="C37" s="1154" t="s">
        <v>0</v>
      </c>
      <c r="D37" s="1155"/>
      <c r="E37" s="1156"/>
      <c r="F37" s="1157"/>
      <c r="G37" s="1158"/>
      <c r="H37" s="1159"/>
      <c r="I37" s="1156"/>
      <c r="J37" s="1159"/>
      <c r="K37" s="568"/>
      <c r="L37" s="2717"/>
      <c r="M37" s="2718"/>
      <c r="N37" s="2709"/>
      <c r="O37" s="2718"/>
      <c r="P37" s="3659" t="str">
        <f>A37</f>
        <v>成交单价</v>
      </c>
      <c r="Q37" s="3659"/>
      <c r="R37" s="3660">
        <f>E37</f>
        <v>0</v>
      </c>
      <c r="S37" s="3660"/>
      <c r="T37" s="3660">
        <f>G37</f>
        <v>0</v>
      </c>
      <c r="U37" s="3660"/>
      <c r="V37" s="3660">
        <f>I37</f>
        <v>0</v>
      </c>
      <c r="W37" s="3660"/>
      <c r="X37" s="690"/>
      <c r="Y37" s="712"/>
      <c r="Z37" s="690"/>
      <c r="AA37" s="690"/>
      <c r="AB37" s="690"/>
      <c r="AC37" s="690"/>
    </row>
    <row r="38" spans="1:29" ht="15.75" thickBot="1">
      <c r="A38" s="437" t="s">
        <v>1844</v>
      </c>
      <c r="B38" s="438" t="str">
        <f>B37</f>
        <v>元/平方米</v>
      </c>
      <c r="C38" s="1160" t="e">
        <f>R39</f>
        <v>#DIV/0!</v>
      </c>
      <c r="D38" s="2315" t="s">
        <v>2136</v>
      </c>
      <c r="E38" s="1161" t="e">
        <f>R38</f>
        <v>#DIV/0!</v>
      </c>
      <c r="F38" s="2316"/>
      <c r="G38" s="1160" t="e">
        <f>T38</f>
        <v>#DIV/0!</v>
      </c>
      <c r="H38" s="2316"/>
      <c r="I38" s="1161" t="e">
        <f>V38</f>
        <v>#DIV/0!</v>
      </c>
      <c r="J38" s="2316"/>
      <c r="K38" s="2318">
        <f>F38+H38+J38</f>
        <v>0</v>
      </c>
      <c r="L38" s="2717"/>
      <c r="M38" s="2718"/>
      <c r="N38" s="2718"/>
      <c r="O38" s="2718"/>
      <c r="P38" s="3659" t="str">
        <f>A38</f>
        <v>比较价值（元/平方米）</v>
      </c>
      <c r="Q38" s="3659"/>
      <c r="R38" s="3660" t="e">
        <f>IF(F1="售价",ROUND(PRODUCT(R37,AA7:AA36),0),ROUND(PRODUCT(R37,AA7:AA36),1))</f>
        <v>#DIV/0!</v>
      </c>
      <c r="S38" s="3660"/>
      <c r="T38" s="3660" t="e">
        <f>IF(F1="售价",ROUND(PRODUCT(T37,AB7:AB36),0),ROUND(PRODUCT(T37,AB7:AB36),1))</f>
        <v>#DIV/0!</v>
      </c>
      <c r="U38" s="3660"/>
      <c r="V38" s="3660" t="e">
        <f>IF(F1="售价",ROUND(PRODUCT(V37,AC7:AC36),0),ROUND(PRODUCT(V37,AC7:AC36),1))</f>
        <v>#DIV/0!</v>
      </c>
      <c r="W38" s="366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7"/>
      <c r="M39" s="2718"/>
      <c r="N39" s="2718"/>
      <c r="O39" s="2718"/>
      <c r="P39" s="3661" t="str">
        <f>A39</f>
        <v>估价对象XX用房的比较价值（楼面单价，元/平方米）</v>
      </c>
      <c r="Q39" s="3662"/>
      <c r="R39" s="3772" t="e">
        <f>IF(F1="售价",ROUND(IF(D38="简单平均",AVERAGE(R38:W38),R38*F38+T38*H38+V38*J38),0),ROUND(IF(D38="简单平均",AVERAGE(R38:V38),R38*F38+T38*H38+V38*J38),1))</f>
        <v>#DIV/0!</v>
      </c>
      <c r="S39" s="3772"/>
      <c r="T39" s="3772"/>
      <c r="U39" s="3772"/>
      <c r="V39" s="3772"/>
      <c r="W39" s="3772"/>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6" t="s">
        <v>1849</v>
      </c>
      <c r="B47" s="927"/>
      <c r="C47" s="940"/>
      <c r="D47" s="940"/>
      <c r="E47" s="940"/>
      <c r="F47" s="1167"/>
      <c r="G47" s="1167"/>
      <c r="H47" s="940"/>
      <c r="I47" s="940"/>
      <c r="J47" s="940"/>
      <c r="K47" s="941"/>
      <c r="L47" s="942"/>
      <c r="M47" s="940"/>
      <c r="N47" s="2762"/>
      <c r="O47" s="2762"/>
      <c r="P47" s="2751"/>
      <c r="Q47" s="2732"/>
      <c r="R47" s="2718"/>
      <c r="S47" s="2718"/>
      <c r="T47" s="2718"/>
      <c r="U47" s="2718"/>
      <c r="V47" s="2718"/>
      <c r="W47" s="2718"/>
      <c r="X47" s="2718"/>
      <c r="Y47" s="2718"/>
      <c r="Z47" s="2718"/>
      <c r="AA47" s="2718"/>
      <c r="AB47" s="2718"/>
      <c r="AC47" s="2718"/>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2"/>
      <c r="Q48" s="2734"/>
      <c r="R48" s="2734"/>
      <c r="S48" s="2734"/>
      <c r="T48" s="2734"/>
      <c r="U48" s="2734"/>
      <c r="V48" s="2734"/>
      <c r="W48" s="2734"/>
      <c r="X48" s="2734"/>
      <c r="Y48" s="2734"/>
      <c r="Z48" s="2734"/>
      <c r="AA48" s="2734"/>
      <c r="AB48" s="2734"/>
      <c r="AC48" s="2734"/>
    </row>
    <row r="49" spans="1:29" s="108" customFormat="1" ht="15">
      <c r="A49" s="458"/>
      <c r="B49" s="459"/>
      <c r="C49" s="1177">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1715</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1680</v>
      </c>
      <c r="B51" s="459"/>
      <c r="C51" s="471" t="s">
        <v>1775</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1718</v>
      </c>
      <c r="B53" s="477" t="s">
        <v>1684</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1687</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1726</v>
      </c>
      <c r="C65" s="527" t="s">
        <v>1720</v>
      </c>
      <c r="D65" s="527" t="s">
        <v>1721</v>
      </c>
      <c r="E65" s="527" t="s">
        <v>1722</v>
      </c>
      <c r="F65" s="527" t="s">
        <v>1723</v>
      </c>
      <c r="G65" s="527" t="s">
        <v>1724</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1812</v>
      </c>
      <c r="C67" s="608" t="s">
        <v>1798</v>
      </c>
      <c r="D67" s="608" t="s">
        <v>1799</v>
      </c>
      <c r="E67" s="608" t="s">
        <v>1800</v>
      </c>
      <c r="F67" s="608" t="s">
        <v>1801</v>
      </c>
      <c r="G67" s="608" t="s">
        <v>1802</v>
      </c>
      <c r="H67" s="488"/>
      <c r="I67" s="488"/>
      <c r="J67" s="488"/>
      <c r="K67" s="488"/>
      <c r="L67" s="488"/>
      <c r="M67" s="1129"/>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1732</v>
      </c>
      <c r="C69" s="527" t="s">
        <v>1720</v>
      </c>
      <c r="D69" s="527" t="s">
        <v>1721</v>
      </c>
      <c r="E69" s="527" t="s">
        <v>1722</v>
      </c>
      <c r="F69" s="527" t="s">
        <v>1723</v>
      </c>
      <c r="G69" s="527" t="s">
        <v>1724</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1851</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1693</v>
      </c>
      <c r="B79" s="477" t="s">
        <v>1852</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1853</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1739</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1855</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1857</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1858</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7"/>
      <c r="F1" s="1878"/>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1462</v>
      </c>
      <c r="F2" s="1882"/>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08"/>
      <c r="M4" s="2709"/>
      <c r="N4" s="2709"/>
      <c r="O4" s="2709"/>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2708"/>
      <c r="M5" s="2709"/>
      <c r="N5" s="2709"/>
      <c r="O5" s="2709"/>
      <c r="P5" s="3684"/>
      <c r="Q5" s="3685"/>
      <c r="R5" s="3690"/>
      <c r="S5" s="3691"/>
      <c r="T5" s="3690"/>
      <c r="U5" s="3691"/>
      <c r="V5" s="3673"/>
      <c r="W5" s="3673"/>
      <c r="X5" s="1355"/>
      <c r="Y5" s="3690"/>
      <c r="Z5" s="3691"/>
      <c r="AA5" s="3676"/>
      <c r="AB5" s="3676"/>
      <c r="AC5" s="3676"/>
    </row>
    <row r="6" spans="1:29" ht="15.75" thickBot="1">
      <c r="A6" s="360"/>
      <c r="B6" s="361"/>
      <c r="C6" s="3735" t="s">
        <v>1676</v>
      </c>
      <c r="D6" s="3695"/>
      <c r="E6" s="3736" t="s">
        <v>1676</v>
      </c>
      <c r="F6" s="3703"/>
      <c r="G6" s="3735" t="s">
        <v>1676</v>
      </c>
      <c r="H6" s="3695"/>
      <c r="I6" s="3735" t="s">
        <v>1676</v>
      </c>
      <c r="J6" s="3695"/>
      <c r="K6" s="559" t="s">
        <v>1677</v>
      </c>
      <c r="L6" s="2708"/>
      <c r="M6" s="2709"/>
      <c r="N6" s="2709"/>
      <c r="O6" s="2709"/>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SUMIF(46:46,YEAR(E7)&amp;"-"&amp;MONTH(E7),47:47)</f>
        <v>0</v>
      </c>
      <c r="G7" s="1973"/>
      <c r="H7" s="365">
        <f>SUMIF(46:46,YEAR(G7)&amp;"-"&amp;MONTH(G7),47:47)</f>
        <v>0</v>
      </c>
      <c r="I7" s="366"/>
      <c r="J7" s="365">
        <f>SUMIF(46:46,YEAR(I7)&amp;"-"&amp;MONTH(I7),47:47)</f>
        <v>0</v>
      </c>
      <c r="K7" s="560"/>
      <c r="L7" s="2710"/>
      <c r="M7" s="2711"/>
      <c r="N7" s="2711"/>
      <c r="O7" s="2711"/>
      <c r="P7" s="3698" t="s">
        <v>1679</v>
      </c>
      <c r="Q7" s="3700"/>
      <c r="R7" s="701" t="s">
        <v>14</v>
      </c>
      <c r="S7" s="702">
        <f t="shared" ref="S7:S14" si="0">F7</f>
        <v>0</v>
      </c>
      <c r="T7" s="701" t="s">
        <v>14</v>
      </c>
      <c r="U7" s="702">
        <f t="shared" ref="U7:U14" si="1">H7</f>
        <v>0</v>
      </c>
      <c r="V7" s="701" t="s">
        <v>14</v>
      </c>
      <c r="W7" s="702">
        <f t="shared" ref="W7:W14" si="2">J7</f>
        <v>0</v>
      </c>
      <c r="X7" s="703"/>
      <c r="Y7" s="3698" t="s">
        <v>1679</v>
      </c>
      <c r="Z7" s="3699"/>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8" t="s">
        <v>1682</v>
      </c>
      <c r="Q8" s="3699"/>
      <c r="R8" s="701" t="s">
        <v>14</v>
      </c>
      <c r="S8" s="702">
        <f t="shared" si="0"/>
        <v>100</v>
      </c>
      <c r="T8" s="701" t="s">
        <v>14</v>
      </c>
      <c r="U8" s="702">
        <f t="shared" si="1"/>
        <v>100</v>
      </c>
      <c r="V8" s="701" t="s">
        <v>14</v>
      </c>
      <c r="W8" s="702">
        <f t="shared" si="2"/>
        <v>100</v>
      </c>
      <c r="X8" s="703"/>
      <c r="Y8" s="3698" t="s">
        <v>1682</v>
      </c>
      <c r="Z8" s="3699"/>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59" t="s">
        <v>1685</v>
      </c>
      <c r="Q9" s="1343" t="str">
        <f t="shared" ref="Q9:Q14" si="6">B9</f>
        <v>用途</v>
      </c>
      <c r="R9" s="701" t="s">
        <v>14</v>
      </c>
      <c r="S9" s="702">
        <f t="shared" si="0"/>
        <v>100</v>
      </c>
      <c r="T9" s="701" t="s">
        <v>14</v>
      </c>
      <c r="U9" s="702">
        <f t="shared" si="1"/>
        <v>100</v>
      </c>
      <c r="V9" s="701" t="s">
        <v>14</v>
      </c>
      <c r="W9" s="702">
        <f t="shared" si="2"/>
        <v>100</v>
      </c>
      <c r="X9" s="703"/>
      <c r="Y9" s="3560" t="s">
        <v>1686</v>
      </c>
      <c r="Z9" s="52" t="str">
        <f t="shared" ref="Z9:Z14" si="7">Q9</f>
        <v>用途</v>
      </c>
      <c r="AA9" s="704">
        <f t="shared" si="3"/>
        <v>1</v>
      </c>
      <c r="AB9" s="704">
        <f t="shared" si="4"/>
        <v>1</v>
      </c>
      <c r="AC9" s="704">
        <f t="shared" si="5"/>
        <v>1</v>
      </c>
    </row>
    <row r="10" spans="1:29" s="378" customFormat="1" ht="27">
      <c r="A10" s="374"/>
      <c r="B10" s="375" t="s">
        <v>1687</v>
      </c>
      <c r="C10" s="3428"/>
      <c r="D10" s="127">
        <v>100</v>
      </c>
      <c r="E10" s="3428"/>
      <c r="F10" s="376">
        <f>SUMIF(53:53,E10,54:54)-SUMIF(53:53,C10,54:54)+100</f>
        <v>100</v>
      </c>
      <c r="G10" s="3428"/>
      <c r="H10" s="127">
        <f>SUMIF(53:53,G10,54:54)-SUMIF(53:53,C10,54:54)+100</f>
        <v>100</v>
      </c>
      <c r="I10" s="3428"/>
      <c r="J10" s="127">
        <f>SUMIF(53:53,I10,54:54)-SUMIF(53:53,C10,54:54)+100</f>
        <v>100</v>
      </c>
      <c r="K10" s="560"/>
      <c r="L10" s="2712"/>
      <c r="M10" s="2713"/>
      <c r="N10" s="2713"/>
      <c r="O10" s="2766"/>
      <c r="P10" s="3659"/>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59"/>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5"/>
      <c r="M13" s="2709"/>
      <c r="N13" s="2709"/>
      <c r="O13" s="2767"/>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
      <c r="A14" s="391" t="s">
        <v>1689</v>
      </c>
      <c r="B14" s="61" t="s">
        <v>1832</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66" t="s">
        <v>1690</v>
      </c>
      <c r="Q14" s="1352" t="str">
        <f t="shared" si="6"/>
        <v>交通便捷度</v>
      </c>
      <c r="R14" s="705" t="s">
        <v>14</v>
      </c>
      <c r="S14" s="706">
        <f t="shared" si="0"/>
        <v>100</v>
      </c>
      <c r="T14" s="705" t="s">
        <v>14</v>
      </c>
      <c r="U14" s="706">
        <f t="shared" si="1"/>
        <v>100</v>
      </c>
      <c r="V14" s="705" t="s">
        <v>14</v>
      </c>
      <c r="W14" s="706">
        <f t="shared" si="2"/>
        <v>100</v>
      </c>
      <c r="X14" s="1355"/>
      <c r="Y14" s="366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5"/>
      <c r="M15" s="2709"/>
      <c r="N15" s="2709"/>
      <c r="O15" s="2767"/>
      <c r="P15" s="3667"/>
      <c r="Q15" s="1352"/>
      <c r="R15" s="705"/>
      <c r="S15" s="706"/>
      <c r="T15" s="705"/>
      <c r="U15" s="706"/>
      <c r="V15" s="705"/>
      <c r="W15" s="706"/>
      <c r="X15" s="1355"/>
      <c r="Y15" s="3667"/>
      <c r="Z15" s="1356"/>
      <c r="AA15" s="1353">
        <v>1</v>
      </c>
      <c r="AB15" s="1353">
        <v>1</v>
      </c>
      <c r="AC15" s="1353">
        <v>1</v>
      </c>
    </row>
    <row r="16" spans="1:29" ht="15">
      <c r="A16" s="379"/>
      <c r="B16" s="402" t="s">
        <v>1811</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5"/>
      <c r="M17" s="2709"/>
      <c r="N17" s="2709"/>
      <c r="O17" s="2767"/>
      <c r="P17" s="3667"/>
      <c r="Q17" s="1352"/>
      <c r="R17" s="705"/>
      <c r="S17" s="706"/>
      <c r="T17" s="705"/>
      <c r="U17" s="706"/>
      <c r="V17" s="705"/>
      <c r="W17" s="706"/>
      <c r="X17" s="1355"/>
      <c r="Y17" s="3667"/>
      <c r="Z17" s="1356"/>
      <c r="AA17" s="1353">
        <v>1</v>
      </c>
      <c r="AB17" s="1353">
        <v>1</v>
      </c>
      <c r="AC17" s="1353">
        <v>1</v>
      </c>
    </row>
    <row r="18" spans="1:29" ht="15">
      <c r="A18" s="379"/>
      <c r="B18" s="1131"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5"/>
      <c r="M19" s="2709"/>
      <c r="N19" s="2709"/>
      <c r="O19" s="2767"/>
      <c r="P19" s="3667"/>
      <c r="Q19" s="1352"/>
      <c r="R19" s="705"/>
      <c r="S19" s="706"/>
      <c r="T19" s="705"/>
      <c r="U19" s="706"/>
      <c r="V19" s="705"/>
      <c r="W19" s="706"/>
      <c r="X19" s="1355"/>
      <c r="Y19" s="3667"/>
      <c r="Z19" s="1356"/>
      <c r="AA19" s="1353">
        <v>1</v>
      </c>
      <c r="AB19" s="1353">
        <v>1</v>
      </c>
      <c r="AC19" s="1353">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5"/>
      <c r="M21" s="2709"/>
      <c r="N21" s="2709"/>
      <c r="O21" s="2767"/>
      <c r="P21" s="3667"/>
      <c r="Q21" s="1352"/>
      <c r="R21" s="705"/>
      <c r="S21" s="706"/>
      <c r="T21" s="705"/>
      <c r="U21" s="706"/>
      <c r="V21" s="705"/>
      <c r="W21" s="706"/>
      <c r="X21" s="1355"/>
      <c r="Y21" s="366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0"/>
      <c r="M25" s="2711"/>
      <c r="N25" s="2711"/>
      <c r="O25" s="2765"/>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15"/>
      <c r="M26" s="2709"/>
      <c r="N26" s="2709"/>
      <c r="O26" s="2767"/>
      <c r="P26" s="377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71" t="s">
        <v>1695</v>
      </c>
      <c r="Q32" s="1352">
        <f t="shared" si="11"/>
        <v>111</v>
      </c>
      <c r="R32" s="705" t="s">
        <v>14</v>
      </c>
      <c r="S32" s="706">
        <f t="shared" si="12"/>
        <v>100</v>
      </c>
      <c r="T32" s="705" t="s">
        <v>14</v>
      </c>
      <c r="U32" s="706">
        <f t="shared" si="13"/>
        <v>100</v>
      </c>
      <c r="V32" s="705" t="s">
        <v>14</v>
      </c>
      <c r="W32" s="706">
        <f t="shared" si="14"/>
        <v>100</v>
      </c>
      <c r="X32" s="1355"/>
      <c r="Y32" s="3671" t="s">
        <v>1695</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5"/>
      <c r="M34" s="2709"/>
      <c r="N34" s="2709"/>
      <c r="O34" s="2767"/>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7"/>
      <c r="M35" s="2718"/>
      <c r="N35" s="2709"/>
      <c r="O35" s="2718"/>
      <c r="P35" s="3659" t="str">
        <f>A35</f>
        <v>成交单价（元/平方米）</v>
      </c>
      <c r="Q35" s="3659"/>
      <c r="R35" s="3660">
        <f>E35</f>
        <v>0</v>
      </c>
      <c r="S35" s="3660"/>
      <c r="T35" s="3660">
        <f>G35</f>
        <v>0</v>
      </c>
      <c r="U35" s="3660"/>
      <c r="V35" s="3660">
        <f>I35</f>
        <v>0</v>
      </c>
      <c r="W35" s="3660"/>
      <c r="X35" s="690"/>
      <c r="Y35" s="712"/>
      <c r="Z35" s="690"/>
      <c r="AA35" s="690"/>
      <c r="AB35" s="690"/>
      <c r="AC35" s="690"/>
    </row>
    <row r="36" spans="1:30" ht="15.75" thickBot="1">
      <c r="A36" s="437" t="s">
        <v>1792</v>
      </c>
      <c r="B36" s="438"/>
      <c r="C36" s="1160" t="e">
        <f>R37</f>
        <v>#DIV/0!</v>
      </c>
      <c r="D36" s="2315" t="s">
        <v>2136</v>
      </c>
      <c r="E36" s="1161" t="e">
        <f>R36</f>
        <v>#DIV/0!</v>
      </c>
      <c r="F36" s="2316"/>
      <c r="G36" s="1160" t="e">
        <f>T36</f>
        <v>#DIV/0!</v>
      </c>
      <c r="H36" s="2316"/>
      <c r="I36" s="1161" t="e">
        <f>V36</f>
        <v>#DIV/0!</v>
      </c>
      <c r="J36" s="2316"/>
      <c r="K36" s="2318">
        <f>F36+H36+J36</f>
        <v>0</v>
      </c>
      <c r="L36" s="2717"/>
      <c r="M36" s="2718"/>
      <c r="N36" s="2709"/>
      <c r="O36" s="2718"/>
      <c r="P36" s="3659" t="str">
        <f>A36</f>
        <v>比较价值（元/平方米）</v>
      </c>
      <c r="Q36" s="3659"/>
      <c r="R36" s="3660" t="e">
        <f>IF(F1="售价",ROUND(PRODUCT(R35,AA7:AA34),0),ROUND(PRODUCT(R35,AA7:AA34),1))</f>
        <v>#DIV/0!</v>
      </c>
      <c r="S36" s="3660"/>
      <c r="T36" s="3660" t="e">
        <f>IF(F1="售价",ROUND(PRODUCT(T35,AB7:AB34),0),ROUND(PRODUCT(T35,AB7:AB34),1))</f>
        <v>#DIV/0!</v>
      </c>
      <c r="U36" s="3660"/>
      <c r="V36" s="3660" t="e">
        <f>IF(F1="售价",ROUND(PRODUCT(V35,AC7:AC34),0),ROUND(PRODUCT(V35,AC7:AC34),1))</f>
        <v>#DIV/0!</v>
      </c>
      <c r="W36" s="366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7"/>
      <c r="M37" s="2718"/>
      <c r="N37" s="2718"/>
      <c r="O37" s="2718"/>
      <c r="P37" s="3661" t="str">
        <f>A37</f>
        <v>估价对象XX用房的比较价值（楼面单价，元/平方米）</v>
      </c>
      <c r="Q37" s="3662"/>
      <c r="R37" s="3772" t="e">
        <f>IF(F1="售价",ROUND(IF(D36="简单平均",AVERAGE(R36:W36),R36*F36+T36*H36+V36*J36),0),ROUND(IF(D36="简单平均",AVERAGE(R36:V36),R36*F36+T36*H36+V36*J36),1))</f>
        <v>#DIV/0!</v>
      </c>
      <c r="S37" s="3772"/>
      <c r="T37" s="3772"/>
      <c r="U37" s="3772"/>
      <c r="V37" s="3772"/>
      <c r="W37" s="3772"/>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1797</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3">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1715</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1680</v>
      </c>
      <c r="B49" s="459"/>
      <c r="C49" s="471" t="s">
        <v>1775</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1718</v>
      </c>
      <c r="B51" s="477" t="s">
        <v>1684</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1687</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1862</v>
      </c>
      <c r="C63" s="527" t="s">
        <v>1720</v>
      </c>
      <c r="D63" s="527" t="s">
        <v>1721</v>
      </c>
      <c r="E63" s="527" t="s">
        <v>1722</v>
      </c>
      <c r="F63" s="527" t="s">
        <v>1723</v>
      </c>
      <c r="G63" s="527" t="s">
        <v>1724</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1812</v>
      </c>
      <c r="C65" s="608" t="s">
        <v>1798</v>
      </c>
      <c r="D65" s="608" t="s">
        <v>1799</v>
      </c>
      <c r="E65" s="608" t="s">
        <v>1800</v>
      </c>
      <c r="F65" s="608" t="s">
        <v>1801</v>
      </c>
      <c r="G65" s="608" t="s">
        <v>1802</v>
      </c>
      <c r="H65" s="488"/>
      <c r="I65" s="488"/>
      <c r="J65" s="488"/>
      <c r="K65" s="488"/>
      <c r="L65" s="488"/>
      <c r="M65" s="1129"/>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1732</v>
      </c>
      <c r="C67" s="527" t="s">
        <v>1720</v>
      </c>
      <c r="D67" s="527" t="s">
        <v>1721</v>
      </c>
      <c r="E67" s="527" t="s">
        <v>1722</v>
      </c>
      <c r="F67" s="527" t="s">
        <v>1723</v>
      </c>
      <c r="G67" s="527" t="s">
        <v>1724</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1851</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1693</v>
      </c>
      <c r="B77" s="477" t="s">
        <v>1739</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1855</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1863</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1865</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6"/>
      <c r="B98" s="936"/>
      <c r="C98" s="936"/>
      <c r="D98" s="936"/>
      <c r="E98" s="936"/>
      <c r="F98" s="936"/>
      <c r="G98" s="936"/>
      <c r="H98" s="936"/>
      <c r="I98" s="936"/>
      <c r="J98" s="936"/>
      <c r="K98" s="937"/>
      <c r="L98" s="938"/>
      <c r="M98" s="936"/>
      <c r="N98" s="2718"/>
      <c r="O98" s="2718"/>
      <c r="P98" s="2718"/>
      <c r="Q98" s="2718"/>
      <c r="R98" s="2718"/>
      <c r="S98" s="2718"/>
      <c r="T98" s="2718"/>
      <c r="U98" s="2718"/>
      <c r="V98" s="2718"/>
      <c r="W98" s="2718"/>
      <c r="X98" s="2718"/>
      <c r="Y98" s="2718"/>
      <c r="Z98" s="2718"/>
      <c r="AA98" s="2718"/>
      <c r="AB98" s="2718"/>
      <c r="AC98" s="2718"/>
      <c r="AD98" s="2718"/>
    </row>
    <row r="99" spans="1:30">
      <c r="A99" s="936"/>
      <c r="B99" s="936"/>
      <c r="C99" s="936"/>
      <c r="D99" s="936"/>
      <c r="E99" s="936"/>
      <c r="F99" s="936"/>
      <c r="G99" s="936"/>
      <c r="H99" s="936"/>
      <c r="I99" s="936"/>
      <c r="J99" s="936"/>
      <c r="K99" s="937"/>
      <c r="L99" s="938"/>
      <c r="M99" s="936"/>
      <c r="N99" s="2718"/>
      <c r="O99" s="2718"/>
      <c r="P99" s="2718"/>
      <c r="Q99" s="2718"/>
      <c r="R99" s="2718"/>
      <c r="S99" s="2718"/>
      <c r="T99" s="2718"/>
      <c r="U99" s="2718"/>
      <c r="V99" s="2718"/>
      <c r="W99" s="2718"/>
      <c r="X99" s="2718"/>
      <c r="Y99" s="2718"/>
      <c r="Z99" s="2718"/>
      <c r="AA99" s="2718"/>
      <c r="AB99" s="2718"/>
      <c r="AC99" s="2718"/>
      <c r="AD99" s="2718"/>
    </row>
    <row r="100" spans="1:30">
      <c r="A100" s="936"/>
      <c r="B100" s="936"/>
      <c r="C100" s="936"/>
      <c r="D100" s="936"/>
      <c r="E100" s="936"/>
      <c r="F100" s="936"/>
      <c r="G100" s="936"/>
      <c r="H100" s="936"/>
      <c r="I100" s="936"/>
      <c r="J100" s="936"/>
      <c r="K100" s="937"/>
      <c r="L100" s="938"/>
      <c r="M100" s="936"/>
      <c r="N100" s="2718"/>
      <c r="O100" s="2718"/>
      <c r="P100" s="2718"/>
      <c r="Q100" s="2718"/>
      <c r="R100" s="2718"/>
      <c r="S100" s="2718"/>
      <c r="T100" s="2718"/>
      <c r="U100" s="2718"/>
      <c r="V100" s="2718"/>
      <c r="W100" s="2718"/>
      <c r="X100" s="2718"/>
      <c r="Y100" s="2718"/>
      <c r="Z100" s="2718"/>
      <c r="AA100" s="2718"/>
      <c r="AB100" s="2718"/>
      <c r="AC100" s="2718"/>
      <c r="AD100" s="2718"/>
    </row>
    <row r="101" spans="1:30">
      <c r="A101" s="936"/>
      <c r="B101" s="936"/>
      <c r="C101" s="936"/>
      <c r="D101" s="936"/>
      <c r="E101" s="936"/>
      <c r="F101" s="936"/>
      <c r="G101" s="936"/>
      <c r="H101" s="936"/>
      <c r="I101" s="936"/>
      <c r="J101" s="936"/>
      <c r="K101" s="937"/>
      <c r="L101" s="938"/>
      <c r="M101" s="936"/>
      <c r="N101" s="2718"/>
      <c r="O101" s="2718"/>
      <c r="P101" s="2718"/>
      <c r="Q101" s="2718"/>
      <c r="R101" s="2718"/>
      <c r="S101" s="2718"/>
      <c r="T101" s="2718"/>
      <c r="U101" s="2718"/>
      <c r="V101" s="2718"/>
      <c r="W101" s="2718"/>
      <c r="X101" s="2718"/>
      <c r="Y101" s="2718"/>
      <c r="Z101" s="2718"/>
      <c r="AA101" s="2718"/>
      <c r="AB101" s="2718"/>
      <c r="AC101" s="2718"/>
      <c r="AD101" s="2718"/>
    </row>
    <row r="102" spans="1:30">
      <c r="A102" s="936"/>
      <c r="B102" s="936"/>
      <c r="C102" s="936"/>
      <c r="D102" s="936"/>
      <c r="E102" s="936"/>
      <c r="F102" s="936"/>
      <c r="G102" s="936"/>
      <c r="H102" s="936"/>
      <c r="I102" s="936"/>
      <c r="J102" s="936"/>
      <c r="K102" s="937"/>
      <c r="L102" s="938"/>
      <c r="M102" s="936"/>
      <c r="N102" s="2718"/>
      <c r="O102" s="2718"/>
      <c r="P102" s="2718"/>
      <c r="Q102" s="2718"/>
      <c r="R102" s="2718"/>
      <c r="S102" s="2718"/>
      <c r="T102" s="2718"/>
      <c r="U102" s="2718"/>
      <c r="V102" s="2718"/>
      <c r="W102" s="2718"/>
      <c r="X102" s="2718"/>
      <c r="Y102" s="2718"/>
      <c r="Z102" s="2718"/>
      <c r="AA102" s="2718"/>
      <c r="AB102" s="2718"/>
      <c r="AC102" s="2718"/>
      <c r="AD102" s="2718"/>
    </row>
    <row r="103" spans="1:30">
      <c r="A103" s="936"/>
      <c r="B103" s="936"/>
      <c r="C103" s="936"/>
      <c r="D103" s="936"/>
      <c r="E103" s="936"/>
      <c r="F103" s="936"/>
      <c r="G103" s="936"/>
      <c r="H103" s="936"/>
      <c r="I103" s="936"/>
      <c r="J103" s="936"/>
      <c r="K103" s="937"/>
      <c r="L103" s="938"/>
      <c r="M103" s="936"/>
      <c r="N103" s="936"/>
      <c r="O103" s="936"/>
      <c r="P103" s="2718"/>
      <c r="Q103" s="2718"/>
      <c r="R103" s="2718"/>
      <c r="S103" s="2718"/>
      <c r="T103" s="2718"/>
      <c r="U103" s="2718"/>
      <c r="V103" s="2718"/>
      <c r="W103" s="2718"/>
      <c r="X103" s="2718"/>
      <c r="Y103" s="2718"/>
      <c r="Z103" s="2718"/>
      <c r="AA103" s="2718"/>
      <c r="AB103" s="2718"/>
      <c r="AC103" s="2718"/>
      <c r="AD103" s="271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30" ht="15">
      <c r="A4" s="355" t="s">
        <v>1768</v>
      </c>
      <c r="B4" s="356"/>
      <c r="C4" s="3678" t="s">
        <v>1769</v>
      </c>
      <c r="D4" s="3679"/>
      <c r="E4" s="3680" t="s">
        <v>1770</v>
      </c>
      <c r="F4" s="3681"/>
      <c r="G4" s="3678" t="s">
        <v>1771</v>
      </c>
      <c r="H4" s="3679"/>
      <c r="I4" s="3678" t="s">
        <v>1772</v>
      </c>
      <c r="J4" s="3679"/>
      <c r="K4" s="559" t="s">
        <v>1773</v>
      </c>
      <c r="L4" s="2708"/>
      <c r="M4" s="2709"/>
      <c r="N4" s="2709"/>
      <c r="O4" s="2709"/>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30" ht="15">
      <c r="A5" s="358"/>
      <c r="B5" s="359"/>
      <c r="C5" s="3696" t="s">
        <v>1672</v>
      </c>
      <c r="D5" s="3697"/>
      <c r="E5" s="3704" t="s">
        <v>1673</v>
      </c>
      <c r="F5" s="3705"/>
      <c r="G5" s="3696" t="s">
        <v>1674</v>
      </c>
      <c r="H5" s="3697"/>
      <c r="I5" s="3696" t="s">
        <v>1675</v>
      </c>
      <c r="J5" s="3697"/>
      <c r="K5" s="559"/>
      <c r="L5" s="2708"/>
      <c r="M5" s="2709"/>
      <c r="N5" s="2709"/>
      <c r="O5" s="2709"/>
      <c r="P5" s="3684"/>
      <c r="Q5" s="3685"/>
      <c r="R5" s="3690"/>
      <c r="S5" s="3691"/>
      <c r="T5" s="3690"/>
      <c r="U5" s="3691"/>
      <c r="V5" s="3673"/>
      <c r="W5" s="3673"/>
      <c r="X5" s="1355"/>
      <c r="Y5" s="3690"/>
      <c r="Z5" s="3691"/>
      <c r="AA5" s="3676"/>
      <c r="AB5" s="3676"/>
      <c r="AC5" s="3676"/>
    </row>
    <row r="6" spans="1:30" ht="15.75" thickBot="1">
      <c r="A6" s="360"/>
      <c r="B6" s="361"/>
      <c r="C6" s="3735" t="s">
        <v>1676</v>
      </c>
      <c r="D6" s="3695"/>
      <c r="E6" s="3736" t="s">
        <v>1676</v>
      </c>
      <c r="F6" s="3703"/>
      <c r="G6" s="3735" t="s">
        <v>1676</v>
      </c>
      <c r="H6" s="3695"/>
      <c r="I6" s="3735" t="s">
        <v>1676</v>
      </c>
      <c r="J6" s="3695"/>
      <c r="K6" s="559" t="s">
        <v>1677</v>
      </c>
      <c r="L6" s="2708"/>
      <c r="M6" s="2709"/>
      <c r="N6" s="2709"/>
      <c r="O6" s="2709"/>
      <c r="P6" s="3686"/>
      <c r="Q6" s="3687"/>
      <c r="R6" s="3690"/>
      <c r="S6" s="3691"/>
      <c r="T6" s="3692"/>
      <c r="U6" s="3693"/>
      <c r="V6" s="3673"/>
      <c r="W6" s="3673"/>
      <c r="X6" s="1355"/>
      <c r="Y6" s="3692"/>
      <c r="Z6" s="3693"/>
      <c r="AA6" s="3677"/>
      <c r="AB6" s="3677"/>
      <c r="AC6" s="3677"/>
    </row>
    <row r="7" spans="1:30" s="108" customFormat="1" ht="15.75" thickBot="1">
      <c r="A7" s="362" t="s">
        <v>1678</v>
      </c>
      <c r="B7" s="363"/>
      <c r="C7" s="364">
        <f>'数据-取费表'!B2</f>
        <v>44931</v>
      </c>
      <c r="D7" s="365">
        <v>100</v>
      </c>
      <c r="E7" s="366"/>
      <c r="F7" s="367">
        <f>SUMIF(69:69,YEAR(E7)&amp;"-"&amp;INT((MONTH(E7)+2)/3),70:70)</f>
        <v>0</v>
      </c>
      <c r="G7" s="1973"/>
      <c r="H7" s="365">
        <f>SUMIF(69:69,YEAR(G7)&amp;"-"&amp;INT((MONTH(G7)+2)/3),70:70)</f>
        <v>0</v>
      </c>
      <c r="I7" s="1973"/>
      <c r="J7" s="365">
        <f>SUMIF(69:69,YEAR(I7)&amp;"-"&amp;INT((MONTH(I7)+2)/3),70:70)</f>
        <v>0</v>
      </c>
      <c r="K7" s="560"/>
      <c r="L7" s="2710"/>
      <c r="M7" s="2711"/>
      <c r="N7" s="2711"/>
      <c r="O7" s="2711"/>
      <c r="P7" s="3698"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8" t="s">
        <v>1682</v>
      </c>
      <c r="Q8" s="3699"/>
      <c r="R8" s="701" t="s">
        <v>14</v>
      </c>
      <c r="S8" s="702">
        <f t="shared" si="0"/>
        <v>0</v>
      </c>
      <c r="T8" s="701" t="s">
        <v>14</v>
      </c>
      <c r="U8" s="702">
        <f t="shared" si="1"/>
        <v>0</v>
      </c>
      <c r="V8" s="701" t="s">
        <v>14</v>
      </c>
      <c r="W8" s="702">
        <f t="shared" si="2"/>
        <v>0</v>
      </c>
      <c r="X8" s="703"/>
      <c r="Y8" s="3698" t="s">
        <v>1682</v>
      </c>
      <c r="Z8" s="3699"/>
      <c r="AA8" s="704" t="e">
        <f t="shared" ref="AA8:AA45" si="3">D8/F8</f>
        <v>#DIV/0!</v>
      </c>
      <c r="AB8" s="704" t="e">
        <f t="shared" ref="AB8:AB45" si="4">D8/H8</f>
        <v>#DIV/0!</v>
      </c>
      <c r="AC8" s="704"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0"/>
      <c r="M9" s="2711"/>
      <c r="N9" s="2711"/>
      <c r="O9" s="2765"/>
      <c r="P9" s="3659"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2"/>
      <c r="M10" s="2713"/>
      <c r="N10" s="2713"/>
      <c r="O10" s="2766"/>
      <c r="P10" s="3659"/>
      <c r="Q10" s="1343" t="str">
        <f t="shared" si="6"/>
        <v>土地使用年限（年）</v>
      </c>
      <c r="R10" s="701" t="s">
        <v>14</v>
      </c>
      <c r="S10" s="702">
        <f t="shared" si="0"/>
        <v>104</v>
      </c>
      <c r="T10" s="701" t="s">
        <v>14</v>
      </c>
      <c r="U10" s="702">
        <f t="shared" si="1"/>
        <v>104</v>
      </c>
      <c r="V10" s="701" t="s">
        <v>14</v>
      </c>
      <c r="W10" s="702">
        <f t="shared" si="2"/>
        <v>104</v>
      </c>
      <c r="X10" s="703"/>
      <c r="Y10" s="3560"/>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59"/>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15">
      <c r="A15" s="391" t="s">
        <v>1689</v>
      </c>
      <c r="B15" s="61" t="s">
        <v>1256</v>
      </c>
      <c r="C15" s="1895"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66" t="s">
        <v>1690</v>
      </c>
      <c r="Q15" s="1352" t="str">
        <f t="shared" si="6"/>
        <v>居住社区成熟度</v>
      </c>
      <c r="R15" s="705" t="s">
        <v>14</v>
      </c>
      <c r="S15" s="706">
        <f t="shared" si="0"/>
        <v>100</v>
      </c>
      <c r="T15" s="705" t="s">
        <v>14</v>
      </c>
      <c r="U15" s="706">
        <f t="shared" si="1"/>
        <v>100</v>
      </c>
      <c r="V15" s="705" t="s">
        <v>14</v>
      </c>
      <c r="W15" s="706">
        <f t="shared" si="2"/>
        <v>100</v>
      </c>
      <c r="X15" s="1355"/>
      <c r="Y15" s="3666" t="s">
        <v>1690</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5"/>
      <c r="M16" s="2709"/>
      <c r="N16" s="2709"/>
      <c r="O16" s="2767"/>
      <c r="P16" s="3667"/>
      <c r="Q16" s="1352"/>
      <c r="R16" s="705"/>
      <c r="S16" s="706"/>
      <c r="T16" s="705"/>
      <c r="U16" s="706"/>
      <c r="V16" s="705"/>
      <c r="W16" s="706"/>
      <c r="X16" s="1355"/>
      <c r="Y16" s="3667"/>
      <c r="Z16" s="1356"/>
      <c r="AA16" s="1353">
        <v>1</v>
      </c>
      <c r="AB16" s="1353">
        <v>1</v>
      </c>
      <c r="AC16" s="1353">
        <v>1</v>
      </c>
    </row>
    <row r="17" spans="1:29" ht="15">
      <c r="A17" s="379"/>
      <c r="B17" s="402" t="s">
        <v>1776</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5"/>
      <c r="M18" s="2709"/>
      <c r="N18" s="2709"/>
      <c r="O18" s="2767"/>
      <c r="P18" s="3667"/>
      <c r="Q18" s="1352"/>
      <c r="R18" s="705"/>
      <c r="S18" s="706"/>
      <c r="T18" s="705"/>
      <c r="U18" s="706"/>
      <c r="V18" s="705"/>
      <c r="W18" s="706"/>
      <c r="X18" s="1355"/>
      <c r="Y18" s="3667"/>
      <c r="Z18" s="1356"/>
      <c r="AA18" s="1353">
        <v>1</v>
      </c>
      <c r="AB18" s="1353">
        <v>1</v>
      </c>
      <c r="AC18" s="1353">
        <v>1</v>
      </c>
    </row>
    <row r="19" spans="1:29" ht="15">
      <c r="A19" s="379"/>
      <c r="B19" s="402" t="s">
        <v>1810</v>
      </c>
      <c r="C19" s="1954"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5"/>
      <c r="M20" s="2709"/>
      <c r="N20" s="2709"/>
      <c r="O20" s="2767"/>
      <c r="P20" s="3667"/>
      <c r="Q20" s="1352"/>
      <c r="R20" s="705"/>
      <c r="S20" s="706"/>
      <c r="T20" s="705"/>
      <c r="U20" s="706"/>
      <c r="V20" s="705"/>
      <c r="W20" s="706"/>
      <c r="X20" s="1355"/>
      <c r="Y20" s="3667"/>
      <c r="Z20" s="1356"/>
      <c r="AA20" s="1353">
        <v>1</v>
      </c>
      <c r="AB20" s="1353">
        <v>1</v>
      </c>
      <c r="AC20" s="1353">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5"/>
      <c r="M22" s="2709"/>
      <c r="N22" s="2709"/>
      <c r="O22" s="2767"/>
      <c r="P22" s="3667"/>
      <c r="Q22" s="1352"/>
      <c r="R22" s="705"/>
      <c r="S22" s="706"/>
      <c r="T22" s="705"/>
      <c r="U22" s="706"/>
      <c r="V22" s="705"/>
      <c r="W22" s="706"/>
      <c r="X22" s="1355"/>
      <c r="Y22" s="3667"/>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5"/>
      <c r="M24" s="2709"/>
      <c r="N24" s="2709"/>
      <c r="O24" s="2767"/>
      <c r="P24" s="3667"/>
      <c r="Q24" s="1352"/>
      <c r="R24" s="705"/>
      <c r="S24" s="706"/>
      <c r="T24" s="705"/>
      <c r="U24" s="706"/>
      <c r="V24" s="705"/>
      <c r="W24" s="706"/>
      <c r="X24" s="1355"/>
      <c r="Y24" s="3667"/>
      <c r="Z24" s="1356"/>
      <c r="AA24" s="1353"/>
      <c r="AB24" s="1353"/>
      <c r="AC24" s="1353"/>
    </row>
    <row r="25" spans="1:29" ht="27">
      <c r="A25" s="358"/>
      <c r="B25" s="1131" t="s">
        <v>1871</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5"/>
      <c r="M26" s="2709"/>
      <c r="N26" s="2709"/>
      <c r="O26" s="2767"/>
      <c r="P26" s="3667"/>
      <c r="Q26" s="1352"/>
      <c r="R26" s="705"/>
      <c r="S26" s="706"/>
      <c r="T26" s="705"/>
      <c r="U26" s="706"/>
      <c r="V26" s="705"/>
      <c r="W26" s="706"/>
      <c r="X26" s="1355"/>
      <c r="Y26" s="3667"/>
      <c r="Z26" s="1356"/>
      <c r="AA26" s="1353">
        <v>1</v>
      </c>
      <c r="AB26" s="1353">
        <v>1</v>
      </c>
      <c r="AC26" s="1353">
        <v>1</v>
      </c>
    </row>
    <row r="27" spans="1:29" s="108" customFormat="1" ht="15">
      <c r="A27" s="597"/>
      <c r="B27" s="1131"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0"/>
      <c r="M28" s="2711"/>
      <c r="N28" s="2711"/>
      <c r="O28" s="2765"/>
      <c r="P28" s="3667"/>
      <c r="Q28" s="1343"/>
      <c r="R28" s="701"/>
      <c r="S28" s="702"/>
      <c r="T28" s="701"/>
      <c r="U28" s="702"/>
      <c r="V28" s="701"/>
      <c r="W28" s="702"/>
      <c r="X28" s="703"/>
      <c r="Y28" s="3667"/>
      <c r="Z28" s="52"/>
      <c r="AA28" s="1353">
        <v>1</v>
      </c>
      <c r="AB28" s="1353">
        <v>1</v>
      </c>
      <c r="AC28" s="1353">
        <v>1</v>
      </c>
    </row>
    <row r="29" spans="1:29" s="108" customFormat="1" ht="15">
      <c r="A29" s="597"/>
      <c r="B29" s="1131"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0"/>
      <c r="M30" s="2711"/>
      <c r="N30" s="2711"/>
      <c r="O30" s="2765"/>
      <c r="P30" s="3667"/>
      <c r="Q30" s="1343"/>
      <c r="R30" s="701"/>
      <c r="S30" s="702"/>
      <c r="T30" s="701"/>
      <c r="U30" s="702"/>
      <c r="V30" s="701"/>
      <c r="W30" s="702"/>
      <c r="X30" s="703"/>
      <c r="Y30" s="366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5"/>
      <c r="M33" s="2709"/>
      <c r="N33" s="2709"/>
      <c r="O33" s="2767"/>
      <c r="P33" s="3667"/>
      <c r="Q33" s="1352"/>
      <c r="R33" s="705"/>
      <c r="S33" s="706"/>
      <c r="T33" s="705"/>
      <c r="U33" s="706"/>
      <c r="V33" s="705"/>
      <c r="W33" s="706"/>
      <c r="X33" s="1355"/>
      <c r="Y33" s="366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71" t="s">
        <v>1695</v>
      </c>
      <c r="Q36" s="1352">
        <f t="shared" si="8"/>
        <v>111</v>
      </c>
      <c r="R36" s="705" t="s">
        <v>14</v>
      </c>
      <c r="S36" s="706">
        <f t="shared" si="10"/>
        <v>100</v>
      </c>
      <c r="T36" s="705" t="s">
        <v>14</v>
      </c>
      <c r="U36" s="706">
        <f t="shared" si="11"/>
        <v>100</v>
      </c>
      <c r="V36" s="705" t="s">
        <v>14</v>
      </c>
      <c r="W36" s="706">
        <f t="shared" si="12"/>
        <v>100</v>
      </c>
      <c r="X36" s="1355"/>
      <c r="Y36" s="367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5"/>
      <c r="M39" s="2709"/>
      <c r="N39" s="2709"/>
      <c r="O39" s="2767"/>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5"/>
      <c r="M40" s="2709"/>
      <c r="N40" s="2709"/>
      <c r="O40" s="2767"/>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0"/>
      <c r="M41" s="2711"/>
      <c r="N41" s="2711"/>
      <c r="O41" s="2765"/>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5"/>
      <c r="M42" s="2709"/>
      <c r="N42" s="2709"/>
      <c r="O42" s="2767"/>
      <c r="P42" s="3671" t="s">
        <v>1695</v>
      </c>
      <c r="Q42" s="1352" t="str">
        <f t="shared" si="14"/>
        <v>工程地质条件</v>
      </c>
      <c r="R42" s="705" t="s">
        <v>14</v>
      </c>
      <c r="S42" s="706">
        <f t="shared" si="10"/>
        <v>100</v>
      </c>
      <c r="T42" s="705" t="s">
        <v>14</v>
      </c>
      <c r="U42" s="706">
        <f t="shared" si="11"/>
        <v>100</v>
      </c>
      <c r="V42" s="705" t="s">
        <v>14</v>
      </c>
      <c r="W42" s="706">
        <f t="shared" si="12"/>
        <v>100</v>
      </c>
      <c r="X42" s="1355"/>
      <c r="Y42" s="367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1843</v>
      </c>
      <c r="B46" s="1981" t="s">
        <v>1878</v>
      </c>
      <c r="C46" s="630" t="s">
        <v>0</v>
      </c>
      <c r="D46" s="432"/>
      <c r="E46" s="433"/>
      <c r="F46" s="434"/>
      <c r="G46" s="435"/>
      <c r="H46" s="436"/>
      <c r="I46" s="433"/>
      <c r="J46" s="436"/>
      <c r="K46" s="714"/>
      <c r="L46" s="2717"/>
      <c r="M46" s="2718"/>
      <c r="N46" s="2709"/>
      <c r="O46" s="2718"/>
      <c r="P46" s="3659" t="str">
        <f>A46</f>
        <v>成交单价</v>
      </c>
      <c r="Q46" s="3659"/>
      <c r="R46" s="3673">
        <f>E46</f>
        <v>0</v>
      </c>
      <c r="S46" s="3673"/>
      <c r="T46" s="3673">
        <f>G46</f>
        <v>0</v>
      </c>
      <c r="U46" s="3673"/>
      <c r="V46" s="3673">
        <f>I46</f>
        <v>0</v>
      </c>
      <c r="W46" s="3673"/>
      <c r="X46" s="690"/>
      <c r="Y46" s="712"/>
      <c r="Z46" s="690"/>
      <c r="AA46" s="690"/>
      <c r="AB46" s="690"/>
      <c r="AC46" s="690"/>
    </row>
    <row r="47" spans="1:29" ht="15.75" thickBot="1">
      <c r="A47" s="437" t="s">
        <v>1792</v>
      </c>
      <c r="B47" s="631"/>
      <c r="C47" s="440" t="e">
        <f>R48</f>
        <v>#DIV/0!</v>
      </c>
      <c r="D47" s="2315" t="s">
        <v>2136</v>
      </c>
      <c r="E47" s="440" t="e">
        <f>R47</f>
        <v>#DIV/0!</v>
      </c>
      <c r="F47" s="2316"/>
      <c r="G47" s="439" t="e">
        <f>T47</f>
        <v>#DIV/0!</v>
      </c>
      <c r="H47" s="2316"/>
      <c r="I47" s="440" t="e">
        <f>V47</f>
        <v>#DIV/0!</v>
      </c>
      <c r="J47" s="2316"/>
      <c r="K47" s="2318">
        <f>F47+H47+J47</f>
        <v>0</v>
      </c>
      <c r="L47" s="2717"/>
      <c r="M47" s="2718"/>
      <c r="N47" s="2718"/>
      <c r="O47" s="2718"/>
      <c r="P47" s="3659" t="str">
        <f>A47</f>
        <v>比较价值（元/平方米）</v>
      </c>
      <c r="Q47" s="3659"/>
      <c r="R47" s="3773" t="e">
        <f>ROUND(PRODUCT(R46,AA7:AA45),0)</f>
        <v>#DIV/0!</v>
      </c>
      <c r="S47" s="3773"/>
      <c r="T47" s="3773" t="e">
        <f>ROUND(PRODUCT(T46,AB7:AB45),0)</f>
        <v>#DIV/0!</v>
      </c>
      <c r="U47" s="3773"/>
      <c r="V47" s="3773" t="e">
        <f>ROUND(PRODUCT(V46,AC7:AC45),0)</f>
        <v>#DIV/0!</v>
      </c>
      <c r="W47" s="3773"/>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7"/>
      <c r="M48" s="2718"/>
      <c r="N48" s="2718"/>
      <c r="O48" s="2718"/>
      <c r="P48" s="3661" t="str">
        <f>A48</f>
        <v>估价对象XX用房的比较价值（楼面单价，元/平方米）</v>
      </c>
      <c r="Q48" s="3662"/>
      <c r="R48" s="3774" t="e">
        <f>ROUND(IF(D47="简单平均",AVERAGE(R47:W47),R47*F47+T47*H47+V47*J47),0)</f>
        <v>#DIV/0!</v>
      </c>
      <c r="S48" s="3774"/>
      <c r="T48" s="3774"/>
      <c r="U48" s="3774"/>
      <c r="V48" s="3774"/>
      <c r="W48" s="3774"/>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1880</v>
      </c>
      <c r="B55" s="633" t="s">
        <v>1881</v>
      </c>
      <c r="C55" s="1982" t="s">
        <v>1882</v>
      </c>
      <c r="D55" s="1983" t="s">
        <v>1883</v>
      </c>
      <c r="E55" s="634" t="s">
        <v>1884</v>
      </c>
      <c r="F55" s="890" t="s">
        <v>1885</v>
      </c>
      <c r="G55" s="3678" t="s">
        <v>1886</v>
      </c>
      <c r="H55" s="3775"/>
      <c r="I55" s="135" t="s">
        <v>1887</v>
      </c>
      <c r="J55" s="1984" t="str">
        <f>项目基本情况!F35</f>
        <v>大兴区</v>
      </c>
      <c r="K55" s="1985" t="s">
        <v>1888</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1889</v>
      </c>
      <c r="B56" s="637" t="e">
        <f>C48</f>
        <v>#DIV/0!</v>
      </c>
      <c r="C56" s="638">
        <v>1</v>
      </c>
      <c r="D56" s="944">
        <v>1</v>
      </c>
      <c r="E56" s="638">
        <f>'数据-汇总表'!E8+'数据-汇总表'!E9</f>
        <v>0</v>
      </c>
      <c r="F56" s="886" t="e">
        <f t="shared" ref="F56:F64" si="15">ROUND(B56*E56/10000,0)</f>
        <v>#DIV/0!</v>
      </c>
      <c r="G56" s="3674"/>
      <c r="H56" s="3659"/>
      <c r="I56" s="891">
        <v>1</v>
      </c>
      <c r="J56" s="894">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1890</v>
      </c>
      <c r="B57" s="218" t="e">
        <f>ROUND($C$48*C57*D57,0)</f>
        <v>#DIV/0!</v>
      </c>
      <c r="C57" s="171">
        <f t="shared" ref="C57:C64" si="16">IF($C$55="北京市系数",I57,J57)</f>
        <v>0.6</v>
      </c>
      <c r="D57" s="945">
        <v>0.25</v>
      </c>
      <c r="E57" s="642"/>
      <c r="F57" s="886" t="e">
        <f t="shared" si="15"/>
        <v>#DIV/0!</v>
      </c>
      <c r="G57" s="2999" t="s">
        <v>1891</v>
      </c>
      <c r="H57" s="887" t="str">
        <f>项目基本情况!B37</f>
        <v>六级</v>
      </c>
      <c r="I57" s="891">
        <f>SUMIF(修正!A57:A68,H57,修正!B57:B68)</f>
        <v>0.6</v>
      </c>
      <c r="J57" s="895"/>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1892</v>
      </c>
      <c r="B58" s="218" t="e">
        <f t="shared" ref="B58:B64" si="17">ROUND($C$48*C58*D58,0)</f>
        <v>#DIV/0!</v>
      </c>
      <c r="C58" s="171">
        <f t="shared" si="16"/>
        <v>0.3</v>
      </c>
      <c r="D58" s="945">
        <v>0.25</v>
      </c>
      <c r="E58" s="642"/>
      <c r="F58" s="886" t="e">
        <f t="shared" si="15"/>
        <v>#DIV/0!</v>
      </c>
      <c r="G58" s="3000"/>
      <c r="H58" s="887" t="str">
        <f>项目基本情况!B37</f>
        <v>六级</v>
      </c>
      <c r="I58" s="891">
        <f>SUMIF(修正!A57:A68,H58,修正!C57:C68)</f>
        <v>0.3</v>
      </c>
      <c r="J58" s="895"/>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1893</v>
      </c>
      <c r="B59" s="218" t="e">
        <f t="shared" si="17"/>
        <v>#DIV/0!</v>
      </c>
      <c r="C59" s="171">
        <f t="shared" si="16"/>
        <v>0.25</v>
      </c>
      <c r="D59" s="945">
        <v>0.25</v>
      </c>
      <c r="E59" s="642"/>
      <c r="F59" s="886" t="e">
        <f t="shared" si="15"/>
        <v>#DIV/0!</v>
      </c>
      <c r="G59" s="3000"/>
      <c r="H59" s="887" t="str">
        <f>项目基本情况!B37</f>
        <v>六级</v>
      </c>
      <c r="I59" s="891">
        <f>SUMIF(修正!A57:A68,H59,修正!D57:D68)</f>
        <v>0.25</v>
      </c>
      <c r="J59" s="895"/>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1894</v>
      </c>
      <c r="B60" s="218" t="e">
        <f t="shared" si="17"/>
        <v>#DIV/0!</v>
      </c>
      <c r="C60" s="171">
        <f t="shared" si="16"/>
        <v>0</v>
      </c>
      <c r="D60" s="945">
        <v>0.25</v>
      </c>
      <c r="E60" s="217">
        <f>'数据-汇总表'!E11</f>
        <v>0</v>
      </c>
      <c r="F60" s="886" t="e">
        <f t="shared" si="15"/>
        <v>#DIV/0!</v>
      </c>
      <c r="G60" s="1986" t="s">
        <v>1895</v>
      </c>
      <c r="H60" s="887">
        <f>项目基本情况!C37</f>
        <v>0</v>
      </c>
      <c r="I60" s="891">
        <f>SUMIF(修正!A57:A68,H60,修正!E57:E68)</f>
        <v>0</v>
      </c>
      <c r="J60" s="895"/>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1900</v>
      </c>
      <c r="B63" s="218" t="e">
        <f t="shared" si="17"/>
        <v>#DIV/0!</v>
      </c>
      <c r="C63" s="171">
        <f t="shared" si="16"/>
        <v>0.15</v>
      </c>
      <c r="D63" s="945">
        <v>0.25</v>
      </c>
      <c r="E63" s="217">
        <f>'数据-汇总表'!E14</f>
        <v>0</v>
      </c>
      <c r="F63" s="886" t="e">
        <f t="shared" si="15"/>
        <v>#DIV/0!</v>
      </c>
      <c r="G63" s="1986" t="s">
        <v>1891</v>
      </c>
      <c r="H63" s="887" t="str">
        <f>项目基本情况!B37</f>
        <v>六级</v>
      </c>
      <c r="I63" s="891">
        <f>SUMIF(修正!A57:A68,H63,修正!G57:G68)</f>
        <v>0.15</v>
      </c>
      <c r="J63" s="895"/>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1901</v>
      </c>
      <c r="B64" s="218" t="e">
        <f t="shared" si="17"/>
        <v>#DIV/0!</v>
      </c>
      <c r="C64" s="171">
        <f t="shared" si="16"/>
        <v>0</v>
      </c>
      <c r="D64" s="945">
        <v>0.25</v>
      </c>
      <c r="E64" s="217">
        <f>'数据-汇总表'!E15</f>
        <v>0</v>
      </c>
      <c r="F64" s="886" t="e">
        <f t="shared" si="15"/>
        <v>#DIV/0!</v>
      </c>
      <c r="G64" s="1987" t="s">
        <v>1895</v>
      </c>
      <c r="H64" s="897">
        <f>项目基本情况!C37</f>
        <v>0</v>
      </c>
      <c r="I64" s="893">
        <f>SUMIF(修正!A57:A68,H64,修正!G57:G68)</f>
        <v>0</v>
      </c>
      <c r="J64" s="896"/>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1902</v>
      </c>
      <c r="B65" s="644" t="s">
        <v>22</v>
      </c>
      <c r="C65" s="644" t="s">
        <v>23</v>
      </c>
      <c r="D65" s="644" t="s">
        <v>392</v>
      </c>
      <c r="E65" s="644">
        <f>IF(B46="楼面地价",SUM(E56:E64),'数据-汇总表'!D3)</f>
        <v>0</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7"/>
      <c r="K66" s="888"/>
      <c r="L66" s="889"/>
      <c r="M66" s="927"/>
      <c r="N66" s="927"/>
      <c r="O66" s="927"/>
      <c r="P66" s="2718"/>
      <c r="Q66" s="2718"/>
      <c r="R66" s="2718"/>
      <c r="S66" s="2718"/>
      <c r="T66" s="2718"/>
      <c r="U66" s="2718"/>
      <c r="V66" s="2718"/>
      <c r="W66" s="2718"/>
      <c r="X66" s="2718"/>
      <c r="Y66" s="2718"/>
      <c r="Z66" s="2718"/>
      <c r="AA66" s="2718"/>
      <c r="AB66" s="2718"/>
      <c r="AC66" s="2718"/>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8"/>
      <c r="Q67" s="2718"/>
      <c r="R67" s="2718"/>
      <c r="S67" s="2718"/>
      <c r="T67" s="2718"/>
      <c r="U67" s="2718"/>
      <c r="V67" s="2718"/>
      <c r="W67" s="2718"/>
      <c r="X67" s="2718"/>
      <c r="Y67" s="2718"/>
      <c r="Z67" s="2718"/>
      <c r="AA67" s="2718"/>
      <c r="AB67" s="2718"/>
      <c r="AC67" s="2718"/>
    </row>
    <row r="68" spans="1:29" ht="21.75" thickBot="1">
      <c r="A68" s="694" t="s">
        <v>1797</v>
      </c>
      <c r="B68" s="690"/>
      <c r="C68" s="695"/>
      <c r="D68" s="695"/>
      <c r="E68" s="695"/>
      <c r="F68" s="696"/>
      <c r="G68" s="696"/>
      <c r="H68" s="695"/>
      <c r="I68" s="695"/>
      <c r="J68" s="940"/>
      <c r="K68" s="941"/>
      <c r="L68" s="942"/>
      <c r="M68" s="940"/>
      <c r="N68" s="2762"/>
      <c r="O68" s="2762"/>
      <c r="P68" s="2762"/>
      <c r="Q68" s="2732"/>
      <c r="R68" s="2718"/>
      <c r="S68" s="2718"/>
      <c r="T68" s="2718"/>
      <c r="U68" s="2718"/>
      <c r="V68" s="2718"/>
      <c r="W68" s="2718"/>
      <c r="X68" s="2718"/>
      <c r="Y68" s="2718"/>
      <c r="Z68" s="2718"/>
      <c r="AA68" s="2718"/>
      <c r="AB68" s="2718"/>
      <c r="AC68" s="2718"/>
    </row>
    <row r="69" spans="1:29" s="457" customFormat="1" ht="15">
      <c r="A69" s="1988"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69"/>
      <c r="Q69" s="2734"/>
      <c r="R69" s="2734"/>
      <c r="S69" s="2734"/>
      <c r="T69" s="2734"/>
      <c r="U69" s="2734"/>
      <c r="V69" s="2734"/>
      <c r="W69" s="2734"/>
      <c r="X69" s="2734"/>
      <c r="Y69" s="2734"/>
      <c r="Z69" s="2734"/>
      <c r="AA69" s="2734"/>
      <c r="AB69" s="2734"/>
      <c r="AC69" s="2734"/>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2"/>
      <c r="Q70" s="2654"/>
      <c r="R70" s="2654"/>
      <c r="S70" s="2654"/>
      <c r="T70" s="2654"/>
      <c r="U70" s="2654"/>
      <c r="V70" s="2654"/>
      <c r="W70" s="2654"/>
      <c r="X70" s="2654"/>
      <c r="Y70" s="2654"/>
      <c r="Z70" s="2654"/>
      <c r="AA70" s="2654"/>
      <c r="AB70" s="2654"/>
      <c r="AC70" s="2654"/>
    </row>
    <row r="71" spans="1:29" s="108" customFormat="1" ht="15.75" thickBot="1">
      <c r="A71" s="464" t="s">
        <v>1715</v>
      </c>
      <c r="B71" s="465"/>
      <c r="C71" s="466"/>
      <c r="D71" s="467"/>
      <c r="E71" s="467"/>
      <c r="F71" s="467"/>
      <c r="G71" s="467"/>
      <c r="H71" s="467"/>
      <c r="I71" s="467"/>
      <c r="J71" s="467"/>
      <c r="K71" s="467"/>
      <c r="L71" s="467"/>
      <c r="M71" s="468"/>
      <c r="N71" s="467"/>
      <c r="O71" s="943"/>
      <c r="P71" s="2732"/>
      <c r="Q71" s="2732"/>
      <c r="R71" s="2654"/>
      <c r="S71" s="2654"/>
      <c r="T71" s="2654"/>
      <c r="U71" s="2654"/>
      <c r="V71" s="2654"/>
      <c r="W71" s="2654"/>
      <c r="X71" s="2654"/>
      <c r="Y71" s="2654"/>
      <c r="Z71" s="2654"/>
      <c r="AA71" s="2654"/>
      <c r="AB71" s="2654"/>
      <c r="AC71" s="2654"/>
    </row>
    <row r="72" spans="1:29" s="108" customFormat="1" ht="15">
      <c r="A72" s="470" t="s">
        <v>1680</v>
      </c>
      <c r="B72" s="459"/>
      <c r="C72" s="471" t="s">
        <v>1775</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1718</v>
      </c>
      <c r="B74" s="477" t="s">
        <v>1684</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1687</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1689</v>
      </c>
      <c r="B87" s="477" t="s">
        <v>1719</v>
      </c>
      <c r="C87" s="522" t="s">
        <v>1720</v>
      </c>
      <c r="D87" s="522" t="s">
        <v>1721</v>
      </c>
      <c r="E87" s="522" t="s">
        <v>1722</v>
      </c>
      <c r="F87" s="522" t="s">
        <v>1723</v>
      </c>
      <c r="G87" s="522" t="s">
        <v>1724</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1905</v>
      </c>
      <c r="C89" s="527" t="s">
        <v>1720</v>
      </c>
      <c r="D89" s="527" t="s">
        <v>1721</v>
      </c>
      <c r="E89" s="527" t="s">
        <v>1722</v>
      </c>
      <c r="F89" s="527" t="s">
        <v>1723</v>
      </c>
      <c r="G89" s="527" t="s">
        <v>1724</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1820</v>
      </c>
      <c r="C91" s="527" t="s">
        <v>1720</v>
      </c>
      <c r="D91" s="527" t="s">
        <v>1721</v>
      </c>
      <c r="E91" s="527" t="s">
        <v>1722</v>
      </c>
      <c r="F91" s="527" t="s">
        <v>1723</v>
      </c>
      <c r="G91" s="527" t="s">
        <v>1724</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1725</v>
      </c>
      <c r="C93" s="527" t="s">
        <v>1720</v>
      </c>
      <c r="D93" s="527" t="s">
        <v>1721</v>
      </c>
      <c r="E93" s="527" t="s">
        <v>1722</v>
      </c>
      <c r="F93" s="527" t="s">
        <v>1723</v>
      </c>
      <c r="G93" s="527" t="s">
        <v>1724</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1814</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1872</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1913</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1914</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1915</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1916</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7"/>
      <c r="M3" s="2728"/>
      <c r="N3" s="2728"/>
      <c r="O3" s="2728"/>
      <c r="P3" s="699"/>
      <c r="Q3" s="699"/>
      <c r="R3" s="699"/>
      <c r="S3" s="699"/>
      <c r="T3" s="699"/>
      <c r="U3" s="699"/>
      <c r="V3" s="699"/>
      <c r="W3" s="699"/>
      <c r="X3" s="699"/>
      <c r="Y3" s="699"/>
      <c r="Z3" s="699"/>
      <c r="AA3" s="699"/>
      <c r="AB3" s="716"/>
      <c r="AC3" s="713"/>
    </row>
    <row r="4" spans="1:29" ht="15">
      <c r="A4" s="355" t="s">
        <v>1768</v>
      </c>
      <c r="B4" s="356"/>
      <c r="C4" s="3678" t="s">
        <v>1769</v>
      </c>
      <c r="D4" s="3679"/>
      <c r="E4" s="3680" t="s">
        <v>1770</v>
      </c>
      <c r="F4" s="3681"/>
      <c r="G4" s="3678" t="s">
        <v>1771</v>
      </c>
      <c r="H4" s="3679"/>
      <c r="I4" s="3678" t="s">
        <v>1772</v>
      </c>
      <c r="J4" s="3679"/>
      <c r="K4" s="559" t="s">
        <v>1773</v>
      </c>
      <c r="L4" s="2708"/>
      <c r="M4" s="2709"/>
      <c r="N4" s="2709"/>
      <c r="O4" s="2709"/>
      <c r="P4" s="3682" t="s">
        <v>1774</v>
      </c>
      <c r="Q4" s="3683"/>
      <c r="R4" s="3688" t="s">
        <v>1770</v>
      </c>
      <c r="S4" s="3689"/>
      <c r="T4" s="3688" t="s">
        <v>1771</v>
      </c>
      <c r="U4" s="3689"/>
      <c r="V4" s="3673" t="s">
        <v>1772</v>
      </c>
      <c r="W4" s="3673"/>
      <c r="X4" s="1355"/>
      <c r="Y4" s="3688" t="s">
        <v>1774</v>
      </c>
      <c r="Z4" s="3689"/>
      <c r="AA4" s="3675" t="s">
        <v>1770</v>
      </c>
      <c r="AB4" s="3676" t="s">
        <v>1771</v>
      </c>
      <c r="AC4" s="3675" t="s">
        <v>1772</v>
      </c>
    </row>
    <row r="5" spans="1:29" ht="15">
      <c r="A5" s="358"/>
      <c r="B5" s="359"/>
      <c r="C5" s="3696" t="s">
        <v>1672</v>
      </c>
      <c r="D5" s="3697"/>
      <c r="E5" s="3704" t="s">
        <v>1673</v>
      </c>
      <c r="F5" s="3705"/>
      <c r="G5" s="3696" t="s">
        <v>1674</v>
      </c>
      <c r="H5" s="3697"/>
      <c r="I5" s="3696" t="s">
        <v>1675</v>
      </c>
      <c r="J5" s="3697"/>
      <c r="K5" s="559"/>
      <c r="L5" s="2708"/>
      <c r="M5" s="2709"/>
      <c r="N5" s="2709"/>
      <c r="O5" s="2709"/>
      <c r="P5" s="3684"/>
      <c r="Q5" s="3685"/>
      <c r="R5" s="3690"/>
      <c r="S5" s="3691"/>
      <c r="T5" s="3690"/>
      <c r="U5" s="3691"/>
      <c r="V5" s="3673"/>
      <c r="W5" s="3673"/>
      <c r="X5" s="1355"/>
      <c r="Y5" s="3690"/>
      <c r="Z5" s="3691"/>
      <c r="AA5" s="3676"/>
      <c r="AB5" s="3676"/>
      <c r="AC5" s="3676"/>
    </row>
    <row r="6" spans="1:29" ht="15.75" thickBot="1">
      <c r="A6" s="360"/>
      <c r="B6" s="361"/>
      <c r="C6" s="3776" t="s">
        <v>1918</v>
      </c>
      <c r="D6" s="3777"/>
      <c r="E6" s="3778" t="s">
        <v>1918</v>
      </c>
      <c r="F6" s="3779"/>
      <c r="G6" s="3776" t="s">
        <v>1918</v>
      </c>
      <c r="H6" s="3777"/>
      <c r="I6" s="3776" t="s">
        <v>1918</v>
      </c>
      <c r="J6" s="3777"/>
      <c r="K6" s="559" t="s">
        <v>1677</v>
      </c>
      <c r="L6" s="2708"/>
      <c r="M6" s="2709"/>
      <c r="N6" s="2709"/>
      <c r="O6" s="2709"/>
      <c r="P6" s="3686"/>
      <c r="Q6" s="3687"/>
      <c r="R6" s="3690"/>
      <c r="S6" s="3691"/>
      <c r="T6" s="3692"/>
      <c r="U6" s="3693"/>
      <c r="V6" s="3673"/>
      <c r="W6" s="3673"/>
      <c r="X6" s="1355"/>
      <c r="Y6" s="3692"/>
      <c r="Z6" s="3693"/>
      <c r="AA6" s="3677"/>
      <c r="AB6" s="3677"/>
      <c r="AC6" s="3677"/>
    </row>
    <row r="7" spans="1:29" s="108" customFormat="1" ht="15.75" thickBot="1">
      <c r="A7" s="362" t="s">
        <v>1678</v>
      </c>
      <c r="B7" s="363"/>
      <c r="C7" s="364">
        <f>'数据-取费表'!B2</f>
        <v>44931</v>
      </c>
      <c r="D7" s="365">
        <v>100</v>
      </c>
      <c r="E7" s="366"/>
      <c r="F7" s="367">
        <f>SUMIF(65:65,YEAR(E7)&amp;"-"&amp;INT((MONTH(E7)+2)/3),66:66)</f>
        <v>0</v>
      </c>
      <c r="G7" s="1973"/>
      <c r="H7" s="365">
        <f>SUMIF(65:65,YEAR(G7)&amp;"-"&amp;INT((MONTH(G7)+2)/3),66:66)</f>
        <v>0</v>
      </c>
      <c r="I7" s="1973"/>
      <c r="J7" s="365">
        <f>SUMIF(65:65,YEAR(I7)&amp;"-"&amp;INT((MONTH(I7)+2)/3),66:66)</f>
        <v>0</v>
      </c>
      <c r="K7" s="560"/>
      <c r="L7" s="2710"/>
      <c r="M7" s="2711"/>
      <c r="N7" s="2711"/>
      <c r="O7" s="2711"/>
      <c r="P7" s="3698" t="s">
        <v>1679</v>
      </c>
      <c r="Q7" s="3700"/>
      <c r="R7" s="701" t="s">
        <v>14</v>
      </c>
      <c r="S7" s="702">
        <f t="shared" ref="S7:S15" si="0">F7</f>
        <v>0</v>
      </c>
      <c r="T7" s="701" t="s">
        <v>14</v>
      </c>
      <c r="U7" s="702">
        <f t="shared" ref="U7:U15" si="1">H7</f>
        <v>0</v>
      </c>
      <c r="V7" s="701" t="s">
        <v>14</v>
      </c>
      <c r="W7" s="702">
        <f t="shared" ref="W7:W15" si="2">J7</f>
        <v>0</v>
      </c>
      <c r="X7" s="703"/>
      <c r="Y7" s="3698" t="s">
        <v>1679</v>
      </c>
      <c r="Z7" s="3699"/>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8" t="s">
        <v>1682</v>
      </c>
      <c r="Q8" s="3699"/>
      <c r="R8" s="701" t="s">
        <v>14</v>
      </c>
      <c r="S8" s="702">
        <f t="shared" si="0"/>
        <v>0</v>
      </c>
      <c r="T8" s="701" t="s">
        <v>14</v>
      </c>
      <c r="U8" s="702">
        <f t="shared" si="1"/>
        <v>0</v>
      </c>
      <c r="V8" s="701" t="s">
        <v>14</v>
      </c>
      <c r="W8" s="702">
        <f t="shared" si="2"/>
        <v>0</v>
      </c>
      <c r="X8" s="703"/>
      <c r="Y8" s="3698" t="s">
        <v>1682</v>
      </c>
      <c r="Z8" s="3699"/>
      <c r="AA8" s="704" t="e">
        <f t="shared" ref="AA8:AA40" si="3">D8/F8</f>
        <v>#DIV/0!</v>
      </c>
      <c r="AB8" s="704" t="e">
        <f t="shared" ref="AB8:AB40" si="4">D8/H8</f>
        <v>#DIV/0!</v>
      </c>
      <c r="AC8" s="704"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0"/>
      <c r="M9" s="2711"/>
      <c r="N9" s="2711"/>
      <c r="O9" s="2765"/>
      <c r="P9" s="3659" t="s">
        <v>1685</v>
      </c>
      <c r="Q9" s="1343" t="str">
        <f t="shared" ref="Q9:Q15" si="6">B9</f>
        <v>用途</v>
      </c>
      <c r="R9" s="701" t="s">
        <v>14</v>
      </c>
      <c r="S9" s="702">
        <f t="shared" si="0"/>
        <v>100</v>
      </c>
      <c r="T9" s="701" t="s">
        <v>14</v>
      </c>
      <c r="U9" s="702">
        <f t="shared" si="1"/>
        <v>100</v>
      </c>
      <c r="V9" s="701" t="s">
        <v>14</v>
      </c>
      <c r="W9" s="702">
        <f t="shared" si="2"/>
        <v>100</v>
      </c>
      <c r="X9" s="703"/>
      <c r="Y9" s="3560"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2"/>
      <c r="M10" s="2713"/>
      <c r="N10" s="2713"/>
      <c r="O10" s="2766"/>
      <c r="P10" s="3659"/>
      <c r="Q10" s="1343" t="str">
        <f t="shared" si="6"/>
        <v>土地使用年限（年）</v>
      </c>
      <c r="R10" s="701" t="s">
        <v>14</v>
      </c>
      <c r="S10" s="702">
        <f t="shared" si="0"/>
        <v>104</v>
      </c>
      <c r="T10" s="701" t="s">
        <v>14</v>
      </c>
      <c r="U10" s="702">
        <f t="shared" si="1"/>
        <v>104</v>
      </c>
      <c r="V10" s="701" t="s">
        <v>14</v>
      </c>
      <c r="W10" s="702">
        <f t="shared" si="2"/>
        <v>104</v>
      </c>
      <c r="X10" s="703"/>
      <c r="Y10" s="3560"/>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59"/>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59"/>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59"/>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59"/>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66" t="s">
        <v>1690</v>
      </c>
      <c r="Q15" s="1352" t="str">
        <f t="shared" si="6"/>
        <v>产业集聚程度</v>
      </c>
      <c r="R15" s="705" t="s">
        <v>14</v>
      </c>
      <c r="S15" s="706">
        <f t="shared" si="0"/>
        <v>100</v>
      </c>
      <c r="T15" s="705" t="s">
        <v>14</v>
      </c>
      <c r="U15" s="706">
        <f t="shared" si="1"/>
        <v>100</v>
      </c>
      <c r="V15" s="705" t="s">
        <v>14</v>
      </c>
      <c r="W15" s="706">
        <f t="shared" si="2"/>
        <v>100</v>
      </c>
      <c r="X15" s="1355"/>
      <c r="Y15" s="3666" t="s">
        <v>1690</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5"/>
      <c r="M16" s="2709"/>
      <c r="N16" s="2709"/>
      <c r="O16" s="2767"/>
      <c r="P16" s="3667"/>
      <c r="Q16" s="1352"/>
      <c r="R16" s="705"/>
      <c r="S16" s="706"/>
      <c r="T16" s="705"/>
      <c r="U16" s="706"/>
      <c r="V16" s="705"/>
      <c r="W16" s="706"/>
      <c r="X16" s="1355"/>
      <c r="Y16" s="3667"/>
      <c r="Z16" s="1356"/>
      <c r="AA16" s="1353">
        <v>1</v>
      </c>
      <c r="AB16" s="1353">
        <v>1</v>
      </c>
      <c r="AC16" s="1353">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5"/>
      <c r="M18" s="2709"/>
      <c r="N18" s="2709"/>
      <c r="O18" s="2767"/>
      <c r="P18" s="3667"/>
      <c r="Q18" s="1352"/>
      <c r="R18" s="705"/>
      <c r="S18" s="706"/>
      <c r="T18" s="705"/>
      <c r="U18" s="706"/>
      <c r="V18" s="705"/>
      <c r="W18" s="706"/>
      <c r="X18" s="1355"/>
      <c r="Y18" s="3667"/>
      <c r="Z18" s="1356"/>
      <c r="AA18" s="1353">
        <v>1</v>
      </c>
      <c r="AB18" s="1353">
        <v>1</v>
      </c>
      <c r="AC18" s="1353">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5"/>
      <c r="M20" s="2709"/>
      <c r="N20" s="2709"/>
      <c r="O20" s="2767"/>
      <c r="P20" s="3667"/>
      <c r="Q20" s="1352"/>
      <c r="R20" s="705"/>
      <c r="S20" s="706"/>
      <c r="T20" s="705"/>
      <c r="U20" s="706"/>
      <c r="V20" s="705"/>
      <c r="W20" s="706"/>
      <c r="X20" s="1355"/>
      <c r="Y20" s="3667"/>
      <c r="Z20" s="1356"/>
      <c r="AA20" s="1353"/>
      <c r="AB20" s="1353"/>
      <c r="AC20" s="1353"/>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5"/>
      <c r="M22" s="2709"/>
      <c r="N22" s="2709"/>
      <c r="O22" s="2767"/>
      <c r="P22" s="3667"/>
      <c r="Q22" s="1352"/>
      <c r="R22" s="705"/>
      <c r="S22" s="706"/>
      <c r="T22" s="705"/>
      <c r="U22" s="706"/>
      <c r="V22" s="705"/>
      <c r="W22" s="706"/>
      <c r="X22" s="1355"/>
      <c r="Y22" s="3667"/>
      <c r="Z22" s="1356"/>
      <c r="AA22" s="1353">
        <v>1</v>
      </c>
      <c r="AB22" s="1353">
        <v>1</v>
      </c>
      <c r="AC22" s="1353">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0"/>
      <c r="M24" s="2711"/>
      <c r="N24" s="2711"/>
      <c r="O24" s="2765"/>
      <c r="P24" s="3667"/>
      <c r="Q24" s="1343"/>
      <c r="R24" s="701"/>
      <c r="S24" s="702"/>
      <c r="T24" s="701"/>
      <c r="U24" s="702"/>
      <c r="V24" s="701"/>
      <c r="W24" s="702"/>
      <c r="X24" s="703"/>
      <c r="Y24" s="3667"/>
      <c r="Z24" s="52"/>
      <c r="AA24" s="704">
        <v>1</v>
      </c>
      <c r="AB24" s="704">
        <v>1</v>
      </c>
      <c r="AC24" s="704">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0"/>
      <c r="M26" s="2711"/>
      <c r="N26" s="2711"/>
      <c r="O26" s="2765"/>
      <c r="P26" s="3667"/>
      <c r="Q26" s="1343"/>
      <c r="R26" s="701"/>
      <c r="S26" s="702"/>
      <c r="T26" s="701"/>
      <c r="U26" s="702"/>
      <c r="V26" s="701"/>
      <c r="W26" s="702"/>
      <c r="X26" s="703"/>
      <c r="Y26" s="366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5"/>
      <c r="M29" s="2709"/>
      <c r="N29" s="2709"/>
      <c r="O29" s="2767"/>
      <c r="P29" s="3667"/>
      <c r="Q29" s="1352"/>
      <c r="R29" s="705"/>
      <c r="S29" s="706"/>
      <c r="T29" s="705"/>
      <c r="U29" s="706"/>
      <c r="V29" s="705"/>
      <c r="W29" s="706"/>
      <c r="X29" s="1355"/>
      <c r="Y29" s="366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71" t="s">
        <v>1695</v>
      </c>
      <c r="Q32" s="1352">
        <f t="shared" si="8"/>
        <v>111</v>
      </c>
      <c r="R32" s="705" t="s">
        <v>14</v>
      </c>
      <c r="S32" s="706">
        <f t="shared" si="10"/>
        <v>100</v>
      </c>
      <c r="T32" s="705" t="s">
        <v>14</v>
      </c>
      <c r="U32" s="706">
        <f t="shared" si="11"/>
        <v>100</v>
      </c>
      <c r="V32" s="705" t="s">
        <v>14</v>
      </c>
      <c r="W32" s="706">
        <f t="shared" si="12"/>
        <v>100</v>
      </c>
      <c r="X32" s="1355"/>
      <c r="Y32" s="3671" t="s">
        <v>1695</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5"/>
      <c r="M35" s="2709"/>
      <c r="N35" s="2709"/>
      <c r="O35" s="2767"/>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0"/>
      <c r="M36" s="2711"/>
      <c r="N36" s="2711"/>
      <c r="O36" s="2765"/>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5"/>
      <c r="M37" s="2709"/>
      <c r="N37" s="2709"/>
      <c r="O37" s="2767"/>
      <c r="P37" s="3671" t="s">
        <v>1695</v>
      </c>
      <c r="Q37" s="1352" t="str">
        <f t="shared" si="14"/>
        <v>工程地质条件</v>
      </c>
      <c r="R37" s="705" t="s">
        <v>14</v>
      </c>
      <c r="S37" s="706">
        <f t="shared" si="10"/>
        <v>100</v>
      </c>
      <c r="T37" s="705" t="s">
        <v>14</v>
      </c>
      <c r="U37" s="706">
        <f t="shared" si="11"/>
        <v>100</v>
      </c>
      <c r="V37" s="705" t="s">
        <v>14</v>
      </c>
      <c r="W37" s="706">
        <f t="shared" si="12"/>
        <v>100</v>
      </c>
      <c r="X37" s="1355"/>
      <c r="Y37" s="367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1843</v>
      </c>
      <c r="B41" s="1981" t="s">
        <v>1921</v>
      </c>
      <c r="C41" s="630" t="s">
        <v>0</v>
      </c>
      <c r="D41" s="432"/>
      <c r="E41" s="433"/>
      <c r="F41" s="434"/>
      <c r="G41" s="435"/>
      <c r="H41" s="436"/>
      <c r="I41" s="433"/>
      <c r="J41" s="436"/>
      <c r="K41" s="714"/>
      <c r="L41" s="2717"/>
      <c r="M41" s="2709"/>
      <c r="N41" s="2709"/>
      <c r="O41" s="2718"/>
      <c r="P41" s="3659" t="str">
        <f>A41</f>
        <v>成交单价</v>
      </c>
      <c r="Q41" s="3659"/>
      <c r="R41" s="3673">
        <f>E41</f>
        <v>0</v>
      </c>
      <c r="S41" s="3673"/>
      <c r="T41" s="3673">
        <f>G41</f>
        <v>0</v>
      </c>
      <c r="U41" s="3673"/>
      <c r="V41" s="3673">
        <f>I41</f>
        <v>0</v>
      </c>
      <c r="W41" s="3673"/>
      <c r="X41" s="690"/>
      <c r="Y41" s="712"/>
      <c r="Z41" s="690"/>
      <c r="AA41" s="690"/>
      <c r="AB41" s="690"/>
      <c r="AC41" s="690"/>
    </row>
    <row r="42" spans="1:31" ht="15.75" thickBot="1">
      <c r="A42" s="437" t="s">
        <v>1792</v>
      </c>
      <c r="B42" s="631"/>
      <c r="C42" s="440" t="e">
        <f>R43</f>
        <v>#DIV/0!</v>
      </c>
      <c r="D42" s="2315" t="s">
        <v>2136</v>
      </c>
      <c r="E42" s="440" t="e">
        <f>R42</f>
        <v>#DIV/0!</v>
      </c>
      <c r="F42" s="2316"/>
      <c r="G42" s="439" t="e">
        <f>T42</f>
        <v>#DIV/0!</v>
      </c>
      <c r="H42" s="2316"/>
      <c r="I42" s="440" t="e">
        <f>V42</f>
        <v>#DIV/0!</v>
      </c>
      <c r="J42" s="2316"/>
      <c r="K42" s="2318">
        <f>F42+H42+J42</f>
        <v>0</v>
      </c>
      <c r="L42" s="2717"/>
      <c r="M42" s="2709"/>
      <c r="N42" s="2709"/>
      <c r="O42" s="2718"/>
      <c r="P42" s="3659" t="str">
        <f>A42</f>
        <v>比较价值（元/平方米）</v>
      </c>
      <c r="Q42" s="3659"/>
      <c r="R42" s="3773" t="e">
        <f>ROUND(PRODUCT(R41,AA7:AA40),0)</f>
        <v>#DIV/0!</v>
      </c>
      <c r="S42" s="3773"/>
      <c r="T42" s="3773" t="e">
        <f>ROUND(PRODUCT(T41,AB7:AB40),0)</f>
        <v>#DIV/0!</v>
      </c>
      <c r="U42" s="3773"/>
      <c r="V42" s="3773" t="e">
        <f>ROUND(PRODUCT(V41,AC7:AC40),0)</f>
        <v>#DIV/0!</v>
      </c>
      <c r="W42" s="3773"/>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7"/>
      <c r="M43" s="2709"/>
      <c r="N43" s="2709"/>
      <c r="O43" s="2718"/>
      <c r="P43" s="3661" t="str">
        <f>A43</f>
        <v>估价对象XX用房的比较价值（楼面单价，元/平方米）</v>
      </c>
      <c r="Q43" s="3662"/>
      <c r="R43" s="3774" t="e">
        <f>ROUND(IF(D42="简单平均",AVERAGE(R42:W42),R42*F42+T42*H42+V42*J42),0)</f>
        <v>#DIV/0!</v>
      </c>
      <c r="S43" s="3774"/>
      <c r="T43" s="3774"/>
      <c r="U43" s="3774"/>
      <c r="V43" s="3774"/>
      <c r="W43" s="3774"/>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1880</v>
      </c>
      <c r="B50" s="633" t="s">
        <v>1881</v>
      </c>
      <c r="C50" s="1982" t="s">
        <v>1882</v>
      </c>
      <c r="D50" s="1983" t="s">
        <v>1883</v>
      </c>
      <c r="E50" s="634" t="s">
        <v>1884</v>
      </c>
      <c r="F50" s="635" t="s">
        <v>1885</v>
      </c>
      <c r="G50" s="3678" t="s">
        <v>1886</v>
      </c>
      <c r="H50" s="3775"/>
      <c r="I50" s="1356" t="s">
        <v>1922</v>
      </c>
      <c r="J50" s="1356" t="str">
        <f>项目基本情况!F35</f>
        <v>大兴区</v>
      </c>
      <c r="K50" s="1985" t="s">
        <v>1888</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1889</v>
      </c>
      <c r="B51" s="637" t="e">
        <f>C43</f>
        <v>#DIV/0!</v>
      </c>
      <c r="C51" s="638">
        <v>1</v>
      </c>
      <c r="D51" s="944">
        <v>1</v>
      </c>
      <c r="E51" s="638">
        <f>'数据-汇总表'!E8+'数据-汇总表'!E9</f>
        <v>0</v>
      </c>
      <c r="F51" s="639" t="e">
        <f t="shared" ref="F51:F60" si="15">ROUND(B51*E51/10000,0)</f>
        <v>#DIV/0!</v>
      </c>
      <c r="G51" s="3674"/>
      <c r="H51" s="3659"/>
      <c r="I51" s="773">
        <v>1</v>
      </c>
      <c r="J51" s="773">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1890</v>
      </c>
      <c r="B52" s="218" t="e">
        <f>ROUND($C$43*C52*D52,0)</f>
        <v>#DIV/0!</v>
      </c>
      <c r="C52" s="171">
        <f t="shared" ref="C52:C60" si="16">IF($C$50="北京市系数",I52,J52)</f>
        <v>0.6</v>
      </c>
      <c r="D52" s="945">
        <v>0.25</v>
      </c>
      <c r="E52" s="642"/>
      <c r="F52" s="639" t="e">
        <f t="shared" si="15"/>
        <v>#DIV/0!</v>
      </c>
      <c r="G52" s="2999" t="s">
        <v>1891</v>
      </c>
      <c r="H52" s="887" t="str">
        <f>项目基本情况!B37</f>
        <v>六级</v>
      </c>
      <c r="I52" s="773">
        <f>SUMIF(修正!A57:A68,H52,修正!B57:B68)</f>
        <v>0.6</v>
      </c>
      <c r="J52" s="774"/>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1892</v>
      </c>
      <c r="B53" s="218" t="e">
        <f t="shared" ref="B53:B60" si="17">ROUND($C$43*C53*D53,0)</f>
        <v>#DIV/0!</v>
      </c>
      <c r="C53" s="171">
        <f t="shared" si="16"/>
        <v>0.3</v>
      </c>
      <c r="D53" s="945">
        <v>0.25</v>
      </c>
      <c r="E53" s="642"/>
      <c r="F53" s="639" t="e">
        <f t="shared" si="15"/>
        <v>#DIV/0!</v>
      </c>
      <c r="G53" s="3000"/>
      <c r="H53" s="887" t="str">
        <f>项目基本情况!B37</f>
        <v>六级</v>
      </c>
      <c r="I53" s="773">
        <f>SUMIF(修正!A57:A68,H53,修正!C57:C68)</f>
        <v>0.3</v>
      </c>
      <c r="J53" s="774"/>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1893</v>
      </c>
      <c r="B54" s="218" t="e">
        <f t="shared" si="17"/>
        <v>#DIV/0!</v>
      </c>
      <c r="C54" s="171">
        <f t="shared" si="16"/>
        <v>0.25</v>
      </c>
      <c r="D54" s="945">
        <v>0.25</v>
      </c>
      <c r="E54" s="642"/>
      <c r="F54" s="639" t="e">
        <f t="shared" si="15"/>
        <v>#DIV/0!</v>
      </c>
      <c r="G54" s="3000"/>
      <c r="H54" s="887" t="str">
        <f>项目基本情况!B37</f>
        <v>六级</v>
      </c>
      <c r="I54" s="773">
        <f>SUMIF(修正!A57:A68,H54,修正!D57:D68)</f>
        <v>0.25</v>
      </c>
      <c r="J54" s="774"/>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5"/>
      <c r="E55" s="642"/>
      <c r="F55" s="639"/>
      <c r="G55" s="3001"/>
      <c r="H55" s="887"/>
      <c r="I55" s="773"/>
      <c r="J55" s="774"/>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1894</v>
      </c>
      <c r="B56" s="218" t="e">
        <f t="shared" si="17"/>
        <v>#DIV/0!</v>
      </c>
      <c r="C56" s="171">
        <f t="shared" si="16"/>
        <v>0</v>
      </c>
      <c r="D56" s="945">
        <v>0.25</v>
      </c>
      <c r="E56" s="217">
        <f>'数据-汇总表'!E11</f>
        <v>0</v>
      </c>
      <c r="F56" s="639" t="e">
        <f t="shared" si="15"/>
        <v>#DIV/0!</v>
      </c>
      <c r="G56" s="1986" t="s">
        <v>1895</v>
      </c>
      <c r="H56" s="887">
        <f>项目基本情况!C37</f>
        <v>0</v>
      </c>
      <c r="I56" s="773">
        <f>SUMIF(修正!A57:A68,H56,修正!E57:E68)</f>
        <v>0</v>
      </c>
      <c r="J56" s="774"/>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1900</v>
      </c>
      <c r="B59" s="218" t="e">
        <f t="shared" si="17"/>
        <v>#DIV/0!</v>
      </c>
      <c r="C59" s="171">
        <f t="shared" si="16"/>
        <v>0.15</v>
      </c>
      <c r="D59" s="945">
        <v>0.25</v>
      </c>
      <c r="E59" s="217">
        <f>'数据-汇总表'!E14</f>
        <v>0</v>
      </c>
      <c r="F59" s="639" t="e">
        <f t="shared" si="15"/>
        <v>#DIV/0!</v>
      </c>
      <c r="G59" s="1986" t="s">
        <v>1891</v>
      </c>
      <c r="H59" s="887" t="str">
        <f>项目基本情况!B37</f>
        <v>六级</v>
      </c>
      <c r="I59" s="773">
        <f>SUMIF(修正!A57:A68,H59,修正!G57:G68)</f>
        <v>0.15</v>
      </c>
      <c r="J59" s="774"/>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1901</v>
      </c>
      <c r="B60" s="218" t="e">
        <f t="shared" si="17"/>
        <v>#DIV/0!</v>
      </c>
      <c r="C60" s="171">
        <f t="shared" si="16"/>
        <v>0</v>
      </c>
      <c r="D60" s="945">
        <v>0.25</v>
      </c>
      <c r="E60" s="217">
        <f>'数据-汇总表'!E15</f>
        <v>0</v>
      </c>
      <c r="F60" s="639" t="e">
        <f t="shared" si="15"/>
        <v>#DIV/0!</v>
      </c>
      <c r="G60" s="1987" t="s">
        <v>1895</v>
      </c>
      <c r="H60" s="897">
        <f>项目基本情况!C37</f>
        <v>0</v>
      </c>
      <c r="I60" s="773">
        <f>SUMIF(修正!A57:A68,H60,修正!G57:G68)</f>
        <v>0</v>
      </c>
      <c r="J60" s="774"/>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7"/>
      <c r="B62" s="929"/>
      <c r="C62" s="931"/>
      <c r="D62" s="927"/>
      <c r="E62" s="927"/>
      <c r="F62" s="927"/>
      <c r="G62" s="927"/>
      <c r="H62" s="927"/>
      <c r="I62" s="927"/>
      <c r="J62" s="927"/>
      <c r="K62" s="888"/>
      <c r="L62" s="889"/>
      <c r="M62" s="927"/>
      <c r="N62" s="927"/>
      <c r="O62" s="927"/>
      <c r="P62" s="2718"/>
      <c r="Q62" s="2718"/>
      <c r="R62" s="2718"/>
      <c r="S62" s="2718"/>
      <c r="T62" s="2718"/>
      <c r="U62" s="2718"/>
      <c r="V62" s="2718"/>
      <c r="W62" s="2718"/>
      <c r="X62" s="2718"/>
      <c r="Y62" s="2718"/>
      <c r="Z62" s="2718"/>
      <c r="AA62" s="2718"/>
      <c r="AB62" s="2718"/>
      <c r="AC62" s="2718"/>
      <c r="AD62" s="2718"/>
      <c r="AE62" s="2718"/>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8"/>
      <c r="Q63" s="2718"/>
      <c r="R63" s="2718"/>
      <c r="S63" s="2718"/>
      <c r="T63" s="2718"/>
      <c r="U63" s="2718"/>
      <c r="V63" s="2718"/>
      <c r="W63" s="2718"/>
      <c r="X63" s="2718"/>
      <c r="Y63" s="2718"/>
      <c r="Z63" s="2718"/>
      <c r="AA63" s="2718"/>
      <c r="AB63" s="2718"/>
      <c r="AC63" s="2718"/>
      <c r="AD63" s="2718"/>
      <c r="AE63" s="2718"/>
    </row>
    <row r="64" spans="1:31" ht="21.75" thickBot="1">
      <c r="A64" s="694" t="s">
        <v>1797</v>
      </c>
      <c r="B64" s="690"/>
      <c r="C64" s="695"/>
      <c r="D64" s="695"/>
      <c r="E64" s="695"/>
      <c r="F64" s="696"/>
      <c r="G64" s="696"/>
      <c r="H64" s="695"/>
      <c r="I64" s="695"/>
      <c r="J64" s="695"/>
      <c r="K64" s="697"/>
      <c r="L64" s="698"/>
      <c r="M64" s="695"/>
      <c r="N64" s="695"/>
      <c r="O64" s="940"/>
      <c r="P64" s="2762"/>
      <c r="Q64" s="2732"/>
      <c r="R64" s="2718"/>
      <c r="S64" s="2718"/>
      <c r="T64" s="2718"/>
      <c r="U64" s="2718"/>
      <c r="V64" s="2718"/>
      <c r="W64" s="2718"/>
      <c r="X64" s="2718"/>
      <c r="Y64" s="2718"/>
      <c r="Z64" s="2718"/>
      <c r="AA64" s="2718"/>
      <c r="AB64" s="2718"/>
      <c r="AC64" s="2718"/>
      <c r="AD64" s="2718"/>
      <c r="AE64" s="2718"/>
    </row>
    <row r="65" spans="1:31" s="457" customFormat="1" ht="15">
      <c r="A65" s="1988"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1715</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1680</v>
      </c>
      <c r="B68" s="459"/>
      <c r="C68" s="471" t="s">
        <v>1775</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1718</v>
      </c>
      <c r="B70" s="477" t="s">
        <v>1684</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1687</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1689</v>
      </c>
      <c r="B83" s="477" t="s">
        <v>1828</v>
      </c>
      <c r="C83" s="522" t="s">
        <v>1720</v>
      </c>
      <c r="D83" s="522" t="s">
        <v>1721</v>
      </c>
      <c r="E83" s="522" t="s">
        <v>1722</v>
      </c>
      <c r="F83" s="522" t="s">
        <v>1723</v>
      </c>
      <c r="G83" s="522" t="s">
        <v>1724</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1725</v>
      </c>
      <c r="C85" s="527" t="s">
        <v>1720</v>
      </c>
      <c r="D85" s="527" t="s">
        <v>1721</v>
      </c>
      <c r="E85" s="527" t="s">
        <v>1722</v>
      </c>
      <c r="F85" s="527" t="s">
        <v>1723</v>
      </c>
      <c r="G85" s="527" t="s">
        <v>1724</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1814</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1872</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1913</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1915</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1916</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2080</v>
      </c>
      <c r="B1" s="2145"/>
      <c r="C1" s="2145"/>
      <c r="D1" s="2145"/>
      <c r="E1" s="2145"/>
      <c r="F1" s="2786"/>
      <c r="G1" s="2786"/>
      <c r="H1" s="2786"/>
      <c r="I1" s="2786"/>
      <c r="J1" s="2786"/>
      <c r="K1" s="2786"/>
      <c r="L1" s="2786"/>
      <c r="M1" s="2786"/>
      <c r="N1" s="2786"/>
      <c r="O1" s="2786"/>
      <c r="P1" s="2786"/>
    </row>
    <row r="2" spans="1:16" ht="15.75">
      <c r="A2" s="2143" t="s">
        <v>2072</v>
      </c>
      <c r="B2" s="2595">
        <f ca="1">SUMIF(B6:B13,"&lt;&gt;#ref!",B6:B13)</f>
        <v>548</v>
      </c>
      <c r="C2" s="2143" t="s">
        <v>2073</v>
      </c>
      <c r="D2" s="2143" t="s">
        <v>2074</v>
      </c>
      <c r="E2" s="2605">
        <f ca="1">SUMIF(E6:E13,"&lt;&gt;#ref!",E6:E13)</f>
        <v>820.57</v>
      </c>
      <c r="F2" s="2786"/>
      <c r="G2" s="2786"/>
      <c r="H2" s="2786"/>
      <c r="I2" s="2786"/>
      <c r="J2" s="2786"/>
      <c r="K2" s="2786"/>
      <c r="L2" s="2786"/>
      <c r="M2" s="2786"/>
      <c r="N2" s="2786"/>
      <c r="O2" s="2786"/>
      <c r="P2" s="2786"/>
    </row>
    <row r="3" spans="1:16" ht="15.75">
      <c r="A3" s="2143" t="s">
        <v>2075</v>
      </c>
      <c r="B3" s="2595">
        <f ca="1">ROUND(B2*10000/E2,0)</f>
        <v>6678</v>
      </c>
      <c r="C3" s="2143" t="s">
        <v>2081</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2076</v>
      </c>
      <c r="B5" s="2603" t="s">
        <v>2077</v>
      </c>
      <c r="C5" s="2144"/>
      <c r="D5" s="2786"/>
      <c r="E5" s="2604" t="s">
        <v>2078</v>
      </c>
      <c r="F5" s="2786"/>
      <c r="G5" s="2786"/>
      <c r="H5" s="2786"/>
      <c r="I5" s="2786"/>
      <c r="J5" s="2786"/>
      <c r="K5" s="2786"/>
      <c r="L5" s="2786"/>
      <c r="M5" s="2786"/>
      <c r="N5" s="2786"/>
      <c r="O5" s="2786"/>
      <c r="P5" s="2786"/>
    </row>
    <row r="6" spans="1:16" ht="15.75">
      <c r="A6" s="2602" t="s">
        <v>2079</v>
      </c>
      <c r="B6" s="2595">
        <f ca="1">SUMIF(INDIRECT("'"&amp;A6&amp;"'"&amp;"!A:A"),"总价",INDIRECT("'"&amp;A6&amp;"'"&amp;"!B:B"))</f>
        <v>548</v>
      </c>
      <c r="C6" s="2143" t="s">
        <v>2073</v>
      </c>
      <c r="D6" s="2786"/>
      <c r="E6" s="2605">
        <f ca="1">SUMIF(INDIRECT("'"&amp;A6&amp;"'"&amp;"!C:C"),"建筑面积",INDIRECT("'"&amp;A6&amp;"'"&amp;"!D:D"))</f>
        <v>820.57</v>
      </c>
      <c r="F6" s="2786"/>
      <c r="G6" s="2786"/>
      <c r="H6" s="2786"/>
      <c r="I6" s="2786"/>
      <c r="J6" s="2786"/>
      <c r="K6" s="2786"/>
      <c r="L6" s="2786"/>
      <c r="M6" s="2786"/>
      <c r="N6" s="2786"/>
      <c r="O6" s="2786"/>
      <c r="P6" s="2786"/>
    </row>
    <row r="7" spans="1:16" ht="15.75">
      <c r="A7" s="2602"/>
      <c r="B7" s="2595" t="e">
        <f ca="1">SUMIF(INDIRECT("'"&amp;A7&amp;"'"&amp;"!A:A"),"总价",INDIRECT("'"&amp;A7&amp;"'"&amp;"!B:B"))</f>
        <v>#REF!</v>
      </c>
      <c r="C7" s="2143" t="s">
        <v>2073</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3" t="s">
        <v>2073</v>
      </c>
      <c r="D8" s="2786"/>
      <c r="E8" s="2605" t="e">
        <f t="shared" ca="1" si="0"/>
        <v>#REF!</v>
      </c>
      <c r="F8" s="2786"/>
      <c r="G8" s="2786"/>
      <c r="H8" s="2786"/>
      <c r="I8" s="2786"/>
      <c r="J8" s="2786"/>
      <c r="K8" s="2786"/>
      <c r="L8" s="2786"/>
      <c r="M8" s="2786"/>
      <c r="N8" s="2786"/>
      <c r="O8" s="2786"/>
      <c r="P8" s="2786"/>
    </row>
    <row r="9" spans="1:16" ht="15.75">
      <c r="A9" s="2602"/>
      <c r="B9" s="2595" t="e">
        <f t="shared" ca="1" si="1"/>
        <v>#REF!</v>
      </c>
      <c r="C9" s="2143" t="s">
        <v>2073</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3" t="s">
        <v>2073</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3" t="s">
        <v>2073</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3" t="s">
        <v>2073</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3" t="s">
        <v>2073</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89" t="s">
        <v>2601</v>
      </c>
      <c r="B20" s="3784" t="s">
        <v>2622</v>
      </c>
      <c r="C20" s="3096" t="s">
        <v>2433</v>
      </c>
      <c r="D20" s="3097"/>
      <c r="E20" s="3098">
        <v>1</v>
      </c>
      <c r="F20" s="3099" t="s">
        <v>2434</v>
      </c>
      <c r="G20" s="3099"/>
    </row>
    <row r="21" spans="1:13" ht="19.5" customHeight="1">
      <c r="A21" s="3790"/>
      <c r="B21" s="3783"/>
      <c r="C21" s="3100" t="s">
        <v>2435</v>
      </c>
      <c r="D21" s="3101"/>
      <c r="E21" s="3102">
        <v>1</v>
      </c>
      <c r="F21" s="3099" t="s">
        <v>2436</v>
      </c>
      <c r="G21" s="3099"/>
    </row>
    <row r="22" spans="1:13" ht="19.5" customHeight="1">
      <c r="A22" s="3790"/>
      <c r="B22" s="3783"/>
      <c r="C22" s="3100" t="s">
        <v>2437</v>
      </c>
      <c r="D22" s="3101"/>
      <c r="E22" s="3102">
        <v>0.9</v>
      </c>
      <c r="F22" s="3099" t="s">
        <v>2438</v>
      </c>
      <c r="G22" s="3099"/>
    </row>
    <row r="23" spans="1:13" ht="19.5" customHeight="1">
      <c r="A23" s="3790"/>
      <c r="B23" s="3783"/>
      <c r="C23" s="3100" t="s">
        <v>2439</v>
      </c>
      <c r="D23" s="3101"/>
      <c r="E23" s="3102">
        <v>0.9</v>
      </c>
      <c r="F23" s="3099" t="s">
        <v>2440</v>
      </c>
      <c r="G23" s="3099"/>
    </row>
    <row r="24" spans="1:13" ht="19.5" customHeight="1">
      <c r="A24" s="3790"/>
      <c r="B24" s="3783"/>
      <c r="C24" s="3100" t="s">
        <v>2441</v>
      </c>
      <c r="D24" s="3101"/>
      <c r="E24" s="3102">
        <v>0.8</v>
      </c>
      <c r="F24" s="3099" t="s">
        <v>2442</v>
      </c>
      <c r="G24" s="3099"/>
    </row>
    <row r="25" spans="1:13" ht="19.5" customHeight="1" thickBot="1">
      <c r="A25" s="3791"/>
      <c r="B25" s="3785"/>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86" t="s">
        <v>2625</v>
      </c>
      <c r="B27" s="3784" t="s">
        <v>2606</v>
      </c>
      <c r="C27" s="3096" t="s">
        <v>2446</v>
      </c>
      <c r="D27" s="3097"/>
      <c r="E27" s="3098">
        <v>1</v>
      </c>
      <c r="F27" s="3099" t="s">
        <v>2447</v>
      </c>
      <c r="G27" s="3099"/>
    </row>
    <row r="28" spans="1:13" ht="19.5" customHeight="1">
      <c r="A28" s="3787"/>
      <c r="B28" s="3783"/>
      <c r="C28" s="3100" t="s">
        <v>2448</v>
      </c>
      <c r="D28" s="3101"/>
      <c r="E28" s="3102">
        <v>1</v>
      </c>
      <c r="F28" s="3099" t="s">
        <v>2449</v>
      </c>
      <c r="G28" s="3099"/>
    </row>
    <row r="29" spans="1:13" ht="19.5" customHeight="1">
      <c r="A29" s="3787"/>
      <c r="B29" s="3783"/>
      <c r="C29" s="3100" t="s">
        <v>2450</v>
      </c>
      <c r="D29" s="3101"/>
      <c r="E29" s="3102">
        <v>0.8</v>
      </c>
      <c r="F29" s="3099" t="s">
        <v>2451</v>
      </c>
      <c r="G29" s="3099"/>
    </row>
    <row r="30" spans="1:13" ht="19.5" customHeight="1">
      <c r="A30" s="3787"/>
      <c r="B30" s="3783"/>
      <c r="C30" s="3100" t="s">
        <v>2452</v>
      </c>
      <c r="D30" s="3101"/>
      <c r="E30" s="3102">
        <v>0.8</v>
      </c>
      <c r="F30" s="3099" t="s">
        <v>2453</v>
      </c>
      <c r="G30" s="3099"/>
    </row>
    <row r="31" spans="1:13" ht="19.5" customHeight="1">
      <c r="A31" s="3787"/>
      <c r="B31" s="3783"/>
      <c r="C31" s="3100" t="s">
        <v>2454</v>
      </c>
      <c r="D31" s="3101"/>
      <c r="E31" s="3102">
        <v>0.8</v>
      </c>
      <c r="F31" s="3099" t="s">
        <v>2455</v>
      </c>
      <c r="G31" s="3099"/>
    </row>
    <row r="32" spans="1:13" ht="19.5" customHeight="1">
      <c r="A32" s="3787"/>
      <c r="B32" s="3783"/>
      <c r="C32" s="3100" t="s">
        <v>2456</v>
      </c>
      <c r="D32" s="3101"/>
      <c r="E32" s="3102">
        <v>0.7</v>
      </c>
      <c r="F32" s="3099" t="s">
        <v>2457</v>
      </c>
      <c r="G32" s="3099"/>
    </row>
    <row r="33" spans="1:7" ht="19.5" customHeight="1">
      <c r="A33" s="3787"/>
      <c r="B33" s="3783"/>
      <c r="C33" s="3100" t="s">
        <v>2458</v>
      </c>
      <c r="D33" s="3101"/>
      <c r="E33" s="3102">
        <v>0.8</v>
      </c>
      <c r="F33" s="3099" t="s">
        <v>2459</v>
      </c>
      <c r="G33" s="3099"/>
    </row>
    <row r="34" spans="1:7" ht="19.5" customHeight="1">
      <c r="A34" s="3787"/>
      <c r="B34" s="3783"/>
      <c r="C34" s="3100" t="s">
        <v>2460</v>
      </c>
      <c r="D34" s="3101"/>
      <c r="E34" s="3102">
        <v>0.6</v>
      </c>
      <c r="F34" s="3099" t="s">
        <v>2461</v>
      </c>
      <c r="G34" s="3099"/>
    </row>
    <row r="35" spans="1:7" ht="19.5" customHeight="1">
      <c r="A35" s="3787"/>
      <c r="B35" s="3783"/>
      <c r="C35" s="3100" t="s">
        <v>2462</v>
      </c>
      <c r="D35" s="3101"/>
      <c r="E35" s="3102">
        <v>0.2</v>
      </c>
      <c r="F35" s="3099" t="s">
        <v>2463</v>
      </c>
      <c r="G35" s="3099"/>
    </row>
    <row r="36" spans="1:7" ht="19.5" customHeight="1">
      <c r="A36" s="3787"/>
      <c r="B36" s="3783"/>
      <c r="C36" s="3100" t="s">
        <v>2464</v>
      </c>
      <c r="D36" s="3101"/>
      <c r="E36" s="3102">
        <v>0.2</v>
      </c>
      <c r="F36" s="3099" t="s">
        <v>2465</v>
      </c>
      <c r="G36" s="3099"/>
    </row>
    <row r="37" spans="1:7" ht="19.5" customHeight="1">
      <c r="A37" s="3787"/>
      <c r="B37" s="3781" t="s">
        <v>2626</v>
      </c>
      <c r="C37" s="3100" t="s">
        <v>2466</v>
      </c>
      <c r="D37" s="3101"/>
      <c r="E37" s="3102">
        <v>0.6</v>
      </c>
      <c r="F37" s="3099" t="s">
        <v>2467</v>
      </c>
      <c r="G37" s="3099"/>
    </row>
    <row r="38" spans="1:7" ht="19.5" customHeight="1">
      <c r="A38" s="3787"/>
      <c r="B38" s="3783"/>
      <c r="C38" s="3100" t="s">
        <v>2468</v>
      </c>
      <c r="D38" s="3101"/>
      <c r="E38" s="3102">
        <v>0.6</v>
      </c>
      <c r="F38" s="3099" t="s">
        <v>2469</v>
      </c>
      <c r="G38" s="3099"/>
    </row>
    <row r="39" spans="1:7" ht="19.5" customHeight="1" thickBot="1">
      <c r="A39" s="3788"/>
      <c r="B39" s="3785"/>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89" t="s">
        <v>2604</v>
      </c>
      <c r="B41" s="3784" t="s">
        <v>2628</v>
      </c>
      <c r="C41" s="3096" t="s">
        <v>2473</v>
      </c>
      <c r="D41" s="3097"/>
      <c r="E41" s="3098">
        <v>1</v>
      </c>
      <c r="F41" s="3099" t="s">
        <v>2474</v>
      </c>
      <c r="G41" s="3099"/>
    </row>
    <row r="42" spans="1:7" ht="19.5" customHeight="1">
      <c r="A42" s="3790"/>
      <c r="B42" s="3783"/>
      <c r="C42" s="3100" t="s">
        <v>2475</v>
      </c>
      <c r="D42" s="3101"/>
      <c r="E42" s="3102">
        <v>1</v>
      </c>
      <c r="F42" s="3099" t="s">
        <v>2476</v>
      </c>
      <c r="G42" s="3099"/>
    </row>
    <row r="43" spans="1:7" ht="19.5" customHeight="1">
      <c r="A43" s="3790"/>
      <c r="B43" s="3782"/>
      <c r="C43" s="3100" t="s">
        <v>2477</v>
      </c>
      <c r="D43" s="3101"/>
      <c r="E43" s="3102">
        <v>1.5</v>
      </c>
      <c r="F43" s="3099" t="s">
        <v>2478</v>
      </c>
      <c r="G43" s="3099"/>
    </row>
    <row r="44" spans="1:7" ht="19.5" customHeight="1">
      <c r="A44" s="3790"/>
      <c r="B44" s="3111" t="s">
        <v>2629</v>
      </c>
      <c r="C44" s="3100" t="s">
        <v>2630</v>
      </c>
      <c r="D44" s="3101"/>
      <c r="E44" s="3102">
        <v>2</v>
      </c>
      <c r="F44" s="3099" t="s">
        <v>2479</v>
      </c>
      <c r="G44" s="3099"/>
    </row>
    <row r="45" spans="1:7" ht="19.5" customHeight="1">
      <c r="A45" s="3790"/>
      <c r="B45" s="3781" t="s">
        <v>2631</v>
      </c>
      <c r="C45" s="3100" t="s">
        <v>2480</v>
      </c>
      <c r="D45" s="3101"/>
      <c r="E45" s="3102">
        <v>1</v>
      </c>
      <c r="F45" s="3099" t="s">
        <v>2481</v>
      </c>
      <c r="G45" s="3099"/>
    </row>
    <row r="46" spans="1:7" ht="19.5" customHeight="1">
      <c r="A46" s="3790"/>
      <c r="B46" s="3783"/>
      <c r="C46" s="3100" t="s">
        <v>2482</v>
      </c>
      <c r="D46" s="3101"/>
      <c r="E46" s="3102">
        <v>1</v>
      </c>
      <c r="F46" s="3099" t="s">
        <v>2483</v>
      </c>
      <c r="G46" s="3099"/>
    </row>
    <row r="47" spans="1:7" ht="19.5" customHeight="1">
      <c r="A47" s="3790"/>
      <c r="B47" s="3783"/>
      <c r="C47" s="3100" t="s">
        <v>2484</v>
      </c>
      <c r="D47" s="3101"/>
      <c r="E47" s="3102">
        <v>1</v>
      </c>
      <c r="F47" s="3099" t="s">
        <v>2485</v>
      </c>
      <c r="G47" s="3099"/>
    </row>
    <row r="48" spans="1:7" ht="19.5" customHeight="1">
      <c r="A48" s="3790"/>
      <c r="B48" s="3783"/>
      <c r="C48" s="3100" t="s">
        <v>2486</v>
      </c>
      <c r="D48" s="3101"/>
      <c r="E48" s="3102">
        <v>1</v>
      </c>
      <c r="F48" s="3099" t="s">
        <v>2487</v>
      </c>
      <c r="G48" s="3099"/>
    </row>
    <row r="49" spans="1:7" ht="19.5" customHeight="1">
      <c r="A49" s="3790"/>
      <c r="B49" s="3783"/>
      <c r="C49" s="3100" t="s">
        <v>2488</v>
      </c>
      <c r="D49" s="3101"/>
      <c r="E49" s="3102">
        <v>1</v>
      </c>
      <c r="F49" s="3099" t="s">
        <v>2489</v>
      </c>
      <c r="G49" s="3099"/>
    </row>
    <row r="50" spans="1:7" ht="19.5" customHeight="1">
      <c r="A50" s="3790"/>
      <c r="B50" s="3783"/>
      <c r="C50" s="3100" t="s">
        <v>2490</v>
      </c>
      <c r="D50" s="3101"/>
      <c r="E50" s="3102">
        <v>1</v>
      </c>
      <c r="F50" s="3099" t="s">
        <v>2491</v>
      </c>
      <c r="G50" s="3099"/>
    </row>
    <row r="51" spans="1:7" ht="19.5" customHeight="1" thickBot="1">
      <c r="A51" s="3791"/>
      <c r="B51" s="3785"/>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81" t="s">
        <v>2645</v>
      </c>
      <c r="C73" s="3085" t="s">
        <v>2646</v>
      </c>
      <c r="D73" s="3085" t="s">
        <v>2647</v>
      </c>
      <c r="E73" s="3111">
        <v>0.2</v>
      </c>
      <c r="F73" s="3111">
        <v>25</v>
      </c>
    </row>
    <row r="74" spans="1:7" ht="24">
      <c r="A74" s="3111">
        <v>2</v>
      </c>
      <c r="B74" s="3783"/>
      <c r="C74" s="3085" t="s">
        <v>2648</v>
      </c>
      <c r="D74" s="3085" t="s">
        <v>2649</v>
      </c>
      <c r="E74" s="3111">
        <v>0.2</v>
      </c>
      <c r="F74" s="3111">
        <v>25</v>
      </c>
    </row>
    <row r="75" spans="1:7" ht="24">
      <c r="A75" s="3111">
        <v>3</v>
      </c>
      <c r="B75" s="3783"/>
      <c r="C75" s="3085" t="s">
        <v>2650</v>
      </c>
      <c r="D75" s="3085" t="s">
        <v>2651</v>
      </c>
      <c r="E75" s="3111">
        <v>0.2</v>
      </c>
      <c r="F75" s="3111">
        <v>25</v>
      </c>
    </row>
    <row r="76" spans="1:7" ht="13.5">
      <c r="A76" s="3111">
        <v>4</v>
      </c>
      <c r="B76" s="3783"/>
      <c r="C76" s="3085" t="s">
        <v>2652</v>
      </c>
      <c r="D76" s="3085" t="s">
        <v>2653</v>
      </c>
      <c r="E76" s="3111">
        <v>0.15</v>
      </c>
      <c r="F76" s="3111">
        <v>20</v>
      </c>
    </row>
    <row r="77" spans="1:7" ht="24">
      <c r="A77" s="3111">
        <v>5</v>
      </c>
      <c r="B77" s="3783"/>
      <c r="C77" s="3085" t="s">
        <v>2654</v>
      </c>
      <c r="D77" s="3085" t="s">
        <v>2655</v>
      </c>
      <c r="E77" s="3111">
        <v>0.15</v>
      </c>
      <c r="F77" s="3111">
        <v>20</v>
      </c>
    </row>
    <row r="78" spans="1:7" ht="24">
      <c r="A78" s="3111">
        <v>6</v>
      </c>
      <c r="B78" s="3783"/>
      <c r="C78" s="3085" t="s">
        <v>2656</v>
      </c>
      <c r="D78" s="3085" t="s">
        <v>2657</v>
      </c>
      <c r="E78" s="3111">
        <v>0.15</v>
      </c>
      <c r="F78" s="3111">
        <v>20</v>
      </c>
    </row>
    <row r="79" spans="1:7" ht="24">
      <c r="A79" s="3111">
        <v>7</v>
      </c>
      <c r="B79" s="3783"/>
      <c r="C79" s="3085" t="s">
        <v>2658</v>
      </c>
      <c r="D79" s="3085" t="s">
        <v>2659</v>
      </c>
      <c r="E79" s="3111">
        <v>0.15</v>
      </c>
      <c r="F79" s="3111">
        <v>20</v>
      </c>
    </row>
    <row r="80" spans="1:7" ht="24">
      <c r="A80" s="3111">
        <v>8</v>
      </c>
      <c r="B80" s="3783"/>
      <c r="C80" s="3085" t="s">
        <v>2660</v>
      </c>
      <c r="D80" s="3085" t="s">
        <v>2661</v>
      </c>
      <c r="E80" s="3111">
        <v>0.1</v>
      </c>
      <c r="F80" s="3111">
        <v>15</v>
      </c>
    </row>
    <row r="81" spans="1:6" ht="24">
      <c r="A81" s="3111">
        <v>9</v>
      </c>
      <c r="B81" s="3783"/>
      <c r="C81" s="3085" t="s">
        <v>2662</v>
      </c>
      <c r="D81" s="3085" t="s">
        <v>2663</v>
      </c>
      <c r="E81" s="3111">
        <v>0.1</v>
      </c>
      <c r="F81" s="3111">
        <v>15</v>
      </c>
    </row>
    <row r="82" spans="1:6" ht="24">
      <c r="A82" s="3111">
        <v>10</v>
      </c>
      <c r="B82" s="3783"/>
      <c r="C82" s="3085" t="s">
        <v>2664</v>
      </c>
      <c r="D82" s="3085" t="s">
        <v>2665</v>
      </c>
      <c r="E82" s="3111">
        <v>0.1</v>
      </c>
      <c r="F82" s="3111">
        <v>15</v>
      </c>
    </row>
    <row r="83" spans="1:6" ht="24">
      <c r="A83" s="3111">
        <v>11</v>
      </c>
      <c r="B83" s="3783"/>
      <c r="C83" s="3085" t="s">
        <v>2666</v>
      </c>
      <c r="D83" s="3085" t="s">
        <v>2667</v>
      </c>
      <c r="E83" s="3111">
        <v>0.1</v>
      </c>
      <c r="F83" s="3111">
        <v>15</v>
      </c>
    </row>
    <row r="84" spans="1:6" ht="24">
      <c r="A84" s="3111">
        <v>12</v>
      </c>
      <c r="B84" s="3783"/>
      <c r="C84" s="3085" t="s">
        <v>2668</v>
      </c>
      <c r="D84" s="3085" t="s">
        <v>2669</v>
      </c>
      <c r="E84" s="3111">
        <v>0.1</v>
      </c>
      <c r="F84" s="3111">
        <v>15</v>
      </c>
    </row>
    <row r="85" spans="1:6" ht="13.5">
      <c r="A85" s="3111">
        <v>13</v>
      </c>
      <c r="B85" s="3783"/>
      <c r="C85" s="3085" t="s">
        <v>2670</v>
      </c>
      <c r="D85" s="3085" t="s">
        <v>2671</v>
      </c>
      <c r="E85" s="3111">
        <v>0.1</v>
      </c>
      <c r="F85" s="3111">
        <v>15</v>
      </c>
    </row>
    <row r="86" spans="1:6" ht="13.5">
      <c r="A86" s="3111">
        <v>14</v>
      </c>
      <c r="B86" s="3783"/>
      <c r="C86" s="3085" t="s">
        <v>2672</v>
      </c>
      <c r="D86" s="3085" t="s">
        <v>2673</v>
      </c>
      <c r="E86" s="3111">
        <v>0.1</v>
      </c>
      <c r="F86" s="3111">
        <v>15</v>
      </c>
    </row>
    <row r="87" spans="1:6" ht="13.5">
      <c r="A87" s="3111">
        <v>15</v>
      </c>
      <c r="B87" s="3783"/>
      <c r="C87" s="3085" t="s">
        <v>2674</v>
      </c>
      <c r="D87" s="3085" t="s">
        <v>2675</v>
      </c>
      <c r="E87" s="3111">
        <v>0.1</v>
      </c>
      <c r="F87" s="3111">
        <v>15</v>
      </c>
    </row>
    <row r="88" spans="1:6" ht="24">
      <c r="A88" s="3111">
        <v>16</v>
      </c>
      <c r="B88" s="3783"/>
      <c r="C88" s="3085" t="s">
        <v>2676</v>
      </c>
      <c r="D88" s="3085" t="s">
        <v>2677</v>
      </c>
      <c r="E88" s="3111">
        <v>0.1</v>
      </c>
      <c r="F88" s="3111">
        <v>15</v>
      </c>
    </row>
    <row r="89" spans="1:6" ht="24">
      <c r="A89" s="3111">
        <v>17</v>
      </c>
      <c r="B89" s="3782"/>
      <c r="C89" s="3085" t="s">
        <v>2678</v>
      </c>
      <c r="D89" s="3085" t="s">
        <v>2679</v>
      </c>
      <c r="E89" s="3111">
        <v>0.1</v>
      </c>
      <c r="F89" s="3111">
        <v>15</v>
      </c>
    </row>
    <row r="90" spans="1:6" ht="13.5">
      <c r="A90" s="3111">
        <v>18</v>
      </c>
      <c r="B90" s="3781" t="s">
        <v>2680</v>
      </c>
      <c r="C90" s="3085" t="s">
        <v>2681</v>
      </c>
      <c r="D90" s="3085" t="s">
        <v>2682</v>
      </c>
      <c r="E90" s="3111">
        <v>0.2</v>
      </c>
      <c r="F90" s="3111">
        <v>25</v>
      </c>
    </row>
    <row r="91" spans="1:6" ht="24">
      <c r="A91" s="3111">
        <v>19</v>
      </c>
      <c r="B91" s="3783"/>
      <c r="C91" s="3085" t="s">
        <v>2683</v>
      </c>
      <c r="D91" s="3085" t="s">
        <v>2684</v>
      </c>
      <c r="E91" s="3111">
        <v>0.2</v>
      </c>
      <c r="F91" s="3111">
        <v>25</v>
      </c>
    </row>
    <row r="92" spans="1:6" ht="13.5">
      <c r="A92" s="3111">
        <v>20</v>
      </c>
      <c r="B92" s="3783"/>
      <c r="C92" s="3085" t="s">
        <v>2685</v>
      </c>
      <c r="D92" s="3085" t="s">
        <v>2686</v>
      </c>
      <c r="E92" s="3111">
        <v>0.15</v>
      </c>
      <c r="F92" s="3111">
        <v>20</v>
      </c>
    </row>
    <row r="93" spans="1:6" ht="13.5">
      <c r="A93" s="3111">
        <v>21</v>
      </c>
      <c r="B93" s="3783"/>
      <c r="C93" s="3085" t="s">
        <v>2687</v>
      </c>
      <c r="D93" s="3085" t="s">
        <v>2688</v>
      </c>
      <c r="E93" s="3111">
        <v>0.15</v>
      </c>
      <c r="F93" s="3111">
        <v>20</v>
      </c>
    </row>
    <row r="94" spans="1:6" ht="13.5">
      <c r="A94" s="3111">
        <v>22</v>
      </c>
      <c r="B94" s="3783"/>
      <c r="C94" s="3085" t="s">
        <v>2689</v>
      </c>
      <c r="D94" s="3085" t="s">
        <v>2690</v>
      </c>
      <c r="E94" s="3111">
        <v>0.15</v>
      </c>
      <c r="F94" s="3111">
        <v>20</v>
      </c>
    </row>
    <row r="95" spans="1:6" ht="36">
      <c r="A95" s="3111">
        <v>23</v>
      </c>
      <c r="B95" s="3783"/>
      <c r="C95" s="3085" t="s">
        <v>2691</v>
      </c>
      <c r="D95" s="3085" t="s">
        <v>2692</v>
      </c>
      <c r="E95" s="3111">
        <v>0.15</v>
      </c>
      <c r="F95" s="3111">
        <v>20</v>
      </c>
    </row>
    <row r="96" spans="1:6" ht="13.5">
      <c r="A96" s="3111">
        <v>24</v>
      </c>
      <c r="B96" s="3783"/>
      <c r="C96" s="3085" t="s">
        <v>2693</v>
      </c>
      <c r="D96" s="3085" t="s">
        <v>2694</v>
      </c>
      <c r="E96" s="3111">
        <v>0.1</v>
      </c>
      <c r="F96" s="3111">
        <v>15</v>
      </c>
    </row>
    <row r="97" spans="1:6" ht="13.5">
      <c r="A97" s="3111">
        <v>25</v>
      </c>
      <c r="B97" s="3783"/>
      <c r="C97" s="3085" t="s">
        <v>2695</v>
      </c>
      <c r="D97" s="3085" t="s">
        <v>2696</v>
      </c>
      <c r="E97" s="3111">
        <v>0.1</v>
      </c>
      <c r="F97" s="3111">
        <v>15</v>
      </c>
    </row>
    <row r="98" spans="1:6" ht="24">
      <c r="A98" s="3111">
        <v>26</v>
      </c>
      <c r="B98" s="3783"/>
      <c r="C98" s="3085" t="s">
        <v>2697</v>
      </c>
      <c r="D98" s="3085" t="s">
        <v>2698</v>
      </c>
      <c r="E98" s="3111">
        <v>0.1</v>
      </c>
      <c r="F98" s="3111">
        <v>15</v>
      </c>
    </row>
    <row r="99" spans="1:6" ht="24">
      <c r="A99" s="3111">
        <v>27</v>
      </c>
      <c r="B99" s="3783"/>
      <c r="C99" s="3085" t="s">
        <v>2699</v>
      </c>
      <c r="D99" s="3085" t="s">
        <v>2700</v>
      </c>
      <c r="E99" s="3111">
        <v>0.1</v>
      </c>
      <c r="F99" s="3111">
        <v>15</v>
      </c>
    </row>
    <row r="100" spans="1:6" ht="13.5">
      <c r="A100" s="3111">
        <v>28</v>
      </c>
      <c r="B100" s="3783"/>
      <c r="C100" s="3085" t="s">
        <v>2701</v>
      </c>
      <c r="D100" s="3085" t="s">
        <v>2702</v>
      </c>
      <c r="E100" s="3111">
        <v>0.1</v>
      </c>
      <c r="F100" s="3111">
        <v>15</v>
      </c>
    </row>
    <row r="101" spans="1:6" ht="13.5">
      <c r="A101" s="3111">
        <v>29</v>
      </c>
      <c r="B101" s="3783"/>
      <c r="C101" s="3085" t="s">
        <v>2703</v>
      </c>
      <c r="D101" s="3085" t="s">
        <v>2704</v>
      </c>
      <c r="E101" s="3111">
        <v>0.1</v>
      </c>
      <c r="F101" s="3111">
        <v>15</v>
      </c>
    </row>
    <row r="102" spans="1:6" ht="13.5">
      <c r="A102" s="3111">
        <v>30</v>
      </c>
      <c r="B102" s="3783"/>
      <c r="C102" s="3085" t="s">
        <v>2705</v>
      </c>
      <c r="D102" s="3085" t="s">
        <v>2706</v>
      </c>
      <c r="E102" s="3111">
        <v>0.1</v>
      </c>
      <c r="F102" s="3111">
        <v>15</v>
      </c>
    </row>
    <row r="103" spans="1:6" ht="24">
      <c r="A103" s="3111">
        <v>31</v>
      </c>
      <c r="B103" s="3783"/>
      <c r="C103" s="3085" t="s">
        <v>2707</v>
      </c>
      <c r="D103" s="3085" t="s">
        <v>2708</v>
      </c>
      <c r="E103" s="3111">
        <v>0.1</v>
      </c>
      <c r="F103" s="3111">
        <v>15</v>
      </c>
    </row>
    <row r="104" spans="1:6" ht="24">
      <c r="A104" s="3111">
        <v>32</v>
      </c>
      <c r="B104" s="3783"/>
      <c r="C104" s="3085" t="s">
        <v>2709</v>
      </c>
      <c r="D104" s="3085" t="s">
        <v>2710</v>
      </c>
      <c r="E104" s="3111">
        <v>0.1</v>
      </c>
      <c r="F104" s="3111">
        <v>15</v>
      </c>
    </row>
    <row r="105" spans="1:6" ht="24">
      <c r="A105" s="3111">
        <v>33</v>
      </c>
      <c r="B105" s="3783"/>
      <c r="C105" s="3085" t="s">
        <v>2711</v>
      </c>
      <c r="D105" s="3085" t="s">
        <v>2712</v>
      </c>
      <c r="E105" s="3111">
        <v>0.1</v>
      </c>
      <c r="F105" s="3111">
        <v>15</v>
      </c>
    </row>
    <row r="106" spans="1:6" ht="24">
      <c r="A106" s="3111">
        <v>34</v>
      </c>
      <c r="B106" s="3782"/>
      <c r="C106" s="3085" t="s">
        <v>2713</v>
      </c>
      <c r="D106" s="3085" t="s">
        <v>2714</v>
      </c>
      <c r="E106" s="3111">
        <v>0.1</v>
      </c>
      <c r="F106" s="3111">
        <v>15</v>
      </c>
    </row>
    <row r="107" spans="1:6" ht="24">
      <c r="A107" s="3111">
        <v>35</v>
      </c>
      <c r="B107" s="3781" t="s">
        <v>2715</v>
      </c>
      <c r="C107" s="3111" t="s">
        <v>2716</v>
      </c>
      <c r="D107" s="3085" t="s">
        <v>2717</v>
      </c>
      <c r="E107" s="3111">
        <v>0.15</v>
      </c>
      <c r="F107" s="3111">
        <v>20</v>
      </c>
    </row>
    <row r="108" spans="1:6" ht="13.5">
      <c r="A108" s="3111">
        <v>36</v>
      </c>
      <c r="B108" s="3783"/>
      <c r="C108" s="3111" t="s">
        <v>2718</v>
      </c>
      <c r="D108" s="3085" t="s">
        <v>2719</v>
      </c>
      <c r="E108" s="3111">
        <v>0.15</v>
      </c>
      <c r="F108" s="3111">
        <v>20</v>
      </c>
    </row>
    <row r="109" spans="1:6" ht="13.5">
      <c r="A109" s="3111">
        <v>37</v>
      </c>
      <c r="B109" s="3783"/>
      <c r="C109" s="3111" t="s">
        <v>2720</v>
      </c>
      <c r="D109" s="3085" t="s">
        <v>2721</v>
      </c>
      <c r="E109" s="3111">
        <v>0.15</v>
      </c>
      <c r="F109" s="3111">
        <v>20</v>
      </c>
    </row>
    <row r="110" spans="1:6" ht="13.5">
      <c r="A110" s="3111">
        <v>38</v>
      </c>
      <c r="B110" s="3783"/>
      <c r="C110" s="3111" t="s">
        <v>2722</v>
      </c>
      <c r="D110" s="3085" t="s">
        <v>2723</v>
      </c>
      <c r="E110" s="3111">
        <v>0.1</v>
      </c>
      <c r="F110" s="3111">
        <v>15</v>
      </c>
    </row>
    <row r="111" spans="1:6" ht="24">
      <c r="A111" s="3111">
        <v>39</v>
      </c>
      <c r="B111" s="3783"/>
      <c r="C111" s="3111" t="s">
        <v>2724</v>
      </c>
      <c r="D111" s="3085" t="s">
        <v>2725</v>
      </c>
      <c r="E111" s="3111">
        <v>0.1</v>
      </c>
      <c r="F111" s="3111">
        <v>15</v>
      </c>
    </row>
    <row r="112" spans="1:6" ht="24">
      <c r="A112" s="3111">
        <v>40</v>
      </c>
      <c r="B112" s="3782"/>
      <c r="C112" s="3111" t="s">
        <v>2726</v>
      </c>
      <c r="D112" s="3085" t="s">
        <v>2727</v>
      </c>
      <c r="E112" s="3111">
        <v>0.1</v>
      </c>
      <c r="F112" s="3111">
        <v>15</v>
      </c>
    </row>
    <row r="113" spans="1:6" ht="13.5">
      <c r="A113" s="3111">
        <v>41</v>
      </c>
      <c r="B113" s="3780" t="s">
        <v>2728</v>
      </c>
      <c r="C113" s="3111" t="s">
        <v>2729</v>
      </c>
      <c r="D113" s="3085" t="s">
        <v>2730</v>
      </c>
      <c r="E113" s="3111">
        <v>0.1</v>
      </c>
      <c r="F113" s="3111">
        <v>15</v>
      </c>
    </row>
    <row r="114" spans="1:6" ht="13.5">
      <c r="A114" s="3111">
        <v>42</v>
      </c>
      <c r="B114" s="3780"/>
      <c r="C114" s="3111" t="s">
        <v>2731</v>
      </c>
      <c r="D114" s="3085" t="s">
        <v>2732</v>
      </c>
      <c r="E114" s="3111">
        <v>0.1</v>
      </c>
      <c r="F114" s="3111">
        <v>15</v>
      </c>
    </row>
    <row r="115" spans="1:6" ht="24">
      <c r="A115" s="3111">
        <v>43</v>
      </c>
      <c r="B115" s="3780"/>
      <c r="C115" s="3111" t="s">
        <v>2733</v>
      </c>
      <c r="D115" s="3085" t="s">
        <v>2734</v>
      </c>
      <c r="E115" s="3111">
        <v>0.1</v>
      </c>
      <c r="F115" s="3111">
        <v>15</v>
      </c>
    </row>
    <row r="116" spans="1:6" ht="13.5">
      <c r="A116" s="3111">
        <v>44</v>
      </c>
      <c r="B116" s="3781" t="s">
        <v>2735</v>
      </c>
      <c r="C116" s="3111" t="s">
        <v>2736</v>
      </c>
      <c r="D116" s="3085" t="s">
        <v>2737</v>
      </c>
      <c r="E116" s="3111">
        <v>0.1</v>
      </c>
      <c r="F116" s="3111">
        <v>15</v>
      </c>
    </row>
    <row r="117" spans="1:6" ht="24">
      <c r="A117" s="3111">
        <v>45</v>
      </c>
      <c r="B117" s="3782"/>
      <c r="C117" s="3085" t="s">
        <v>2738</v>
      </c>
      <c r="D117" s="3085" t="s">
        <v>2739</v>
      </c>
      <c r="E117" s="3111">
        <v>0.1</v>
      </c>
      <c r="F117" s="3111">
        <v>15</v>
      </c>
    </row>
    <row r="118" spans="1:6" ht="24">
      <c r="A118" s="3111">
        <v>46</v>
      </c>
      <c r="B118" s="3781" t="s">
        <v>2740</v>
      </c>
      <c r="C118" s="3111" t="s">
        <v>2741</v>
      </c>
      <c r="D118" s="3085" t="s">
        <v>2742</v>
      </c>
      <c r="E118" s="3111">
        <v>0.1</v>
      </c>
      <c r="F118" s="3111">
        <v>15</v>
      </c>
    </row>
    <row r="119" spans="1:6" ht="24">
      <c r="A119" s="3111">
        <v>47</v>
      </c>
      <c r="B119" s="3782"/>
      <c r="C119" s="3111" t="s">
        <v>2743</v>
      </c>
      <c r="D119" s="3085" t="s">
        <v>2744</v>
      </c>
      <c r="E119" s="3111">
        <v>0.1</v>
      </c>
      <c r="F119" s="3111">
        <v>15</v>
      </c>
    </row>
    <row r="120" spans="1:6" ht="13.5">
      <c r="A120" s="3111">
        <v>48</v>
      </c>
      <c r="B120" s="3781" t="s">
        <v>2745</v>
      </c>
      <c r="C120" s="3111" t="s">
        <v>2746</v>
      </c>
      <c r="D120" s="3085" t="s">
        <v>2747</v>
      </c>
      <c r="E120" s="3111">
        <v>0.1</v>
      </c>
      <c r="F120" s="3111">
        <v>15</v>
      </c>
    </row>
    <row r="121" spans="1:6" ht="13.5">
      <c r="A121" s="3111">
        <v>49</v>
      </c>
      <c r="B121" s="3782"/>
      <c r="C121" s="3111" t="s">
        <v>2748</v>
      </c>
      <c r="D121" s="3085" t="s">
        <v>2749</v>
      </c>
      <c r="E121" s="3111">
        <v>0.1</v>
      </c>
      <c r="F121" s="3111">
        <v>15</v>
      </c>
    </row>
    <row r="122" spans="1:6" ht="24">
      <c r="A122" s="3111">
        <v>50</v>
      </c>
      <c r="B122" s="3780" t="s">
        <v>2750</v>
      </c>
      <c r="C122" s="3111" t="s">
        <v>2751</v>
      </c>
      <c r="D122" s="3085" t="s">
        <v>2752</v>
      </c>
      <c r="E122" s="3111">
        <v>0.1</v>
      </c>
      <c r="F122" s="3111">
        <v>15</v>
      </c>
    </row>
    <row r="123" spans="1:6" ht="24">
      <c r="A123" s="3111">
        <v>51</v>
      </c>
      <c r="B123" s="3780"/>
      <c r="C123" s="3111" t="s">
        <v>2753</v>
      </c>
      <c r="D123" s="3085" t="s">
        <v>2754</v>
      </c>
      <c r="E123" s="3111">
        <v>0.1</v>
      </c>
      <c r="F123" s="3111">
        <v>15</v>
      </c>
    </row>
    <row r="124" spans="1:6" ht="24">
      <c r="A124" s="3111">
        <v>52</v>
      </c>
      <c r="B124" s="3780" t="s">
        <v>2755</v>
      </c>
      <c r="C124" s="3111" t="s">
        <v>2756</v>
      </c>
      <c r="D124" s="3085" t="s">
        <v>2757</v>
      </c>
      <c r="E124" s="3111">
        <v>0.1</v>
      </c>
      <c r="F124" s="3111">
        <v>15</v>
      </c>
    </row>
    <row r="125" spans="1:6" ht="24">
      <c r="A125" s="3111">
        <v>53</v>
      </c>
      <c r="B125" s="3780"/>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80" t="s">
        <v>2763</v>
      </c>
      <c r="C127" s="3111" t="s">
        <v>2764</v>
      </c>
      <c r="D127" s="3085" t="s">
        <v>2765</v>
      </c>
      <c r="E127" s="3111">
        <v>0.1</v>
      </c>
      <c r="F127" s="3111">
        <v>15</v>
      </c>
    </row>
    <row r="128" spans="1:6" ht="13.5">
      <c r="A128" s="3111">
        <v>56</v>
      </c>
      <c r="B128" s="3780"/>
      <c r="C128" s="3111" t="s">
        <v>2766</v>
      </c>
      <c r="D128" s="3085" t="s">
        <v>2767</v>
      </c>
      <c r="E128" s="3111">
        <v>0.1</v>
      </c>
      <c r="F128" s="3111">
        <v>15</v>
      </c>
    </row>
    <row r="129" spans="1:6" ht="24">
      <c r="A129" s="3111">
        <v>57</v>
      </c>
      <c r="B129" s="3780"/>
      <c r="C129" s="3111" t="s">
        <v>2768</v>
      </c>
      <c r="D129" s="3085" t="s">
        <v>2769</v>
      </c>
      <c r="E129" s="3111">
        <v>0.1</v>
      </c>
      <c r="F129" s="3111">
        <v>15</v>
      </c>
    </row>
    <row r="130" spans="1:6" ht="24">
      <c r="A130" s="3111">
        <v>58</v>
      </c>
      <c r="B130" s="3780" t="s">
        <v>2770</v>
      </c>
      <c r="C130" s="3111" t="s">
        <v>2771</v>
      </c>
      <c r="D130" s="3085" t="s">
        <v>2772</v>
      </c>
      <c r="E130" s="3111">
        <v>0.1</v>
      </c>
      <c r="F130" s="3111">
        <v>15</v>
      </c>
    </row>
    <row r="131" spans="1:6" ht="13.5">
      <c r="A131" s="3111">
        <v>59</v>
      </c>
      <c r="B131" s="3780"/>
      <c r="C131" s="3111" t="s">
        <v>2773</v>
      </c>
      <c r="D131" s="3085" t="s">
        <v>2774</v>
      </c>
      <c r="E131" s="3111">
        <v>0.1</v>
      </c>
      <c r="F131" s="3111">
        <v>15</v>
      </c>
    </row>
    <row r="132" spans="1:6" ht="13.5">
      <c r="A132" s="3111">
        <v>60</v>
      </c>
      <c r="B132" s="3781" t="s">
        <v>2775</v>
      </c>
      <c r="C132" s="3111" t="s">
        <v>2776</v>
      </c>
      <c r="D132" s="3085" t="s">
        <v>2777</v>
      </c>
      <c r="E132" s="3111">
        <v>0.1</v>
      </c>
      <c r="F132" s="3111">
        <v>15</v>
      </c>
    </row>
    <row r="133" spans="1:6" ht="13.5">
      <c r="A133" s="3111">
        <v>61</v>
      </c>
      <c r="B133" s="3782"/>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80" t="s">
        <v>2783</v>
      </c>
      <c r="C135" s="3111" t="s">
        <v>2784</v>
      </c>
      <c r="D135" s="3085" t="s">
        <v>2785</v>
      </c>
      <c r="E135" s="3111">
        <v>0.1</v>
      </c>
      <c r="F135" s="3111">
        <v>15</v>
      </c>
    </row>
    <row r="136" spans="1:6" ht="13.5">
      <c r="A136" s="3111">
        <v>64</v>
      </c>
      <c r="B136" s="3780"/>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50"/>
  </cols>
  <sheetData>
    <row r="1" spans="1:20" ht="15" thickBot="1">
      <c r="A1" s="3120" t="s">
        <v>2792</v>
      </c>
      <c r="B1" s="3120"/>
      <c r="C1" s="3120"/>
      <c r="D1" s="3120"/>
      <c r="E1" s="3120"/>
      <c r="F1" s="3120"/>
      <c r="G1" s="3120"/>
      <c r="H1" s="3120"/>
      <c r="I1" s="3120"/>
      <c r="J1" s="3120"/>
      <c r="K1" s="3120"/>
      <c r="L1" s="3120"/>
      <c r="M1" s="3120"/>
      <c r="N1" s="749"/>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1"/>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1"/>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1"/>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50">
        <f>SUMPRODUCT((A95:A184=ROUNDDOWN(基准地价修正!G3,1))*(B94:M94=基准地价修正!G2)*(B95:M184))</f>
        <v>1</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9"/>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9"/>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50">
        <f>SUMPRODUCT((A371:A460=ROUNDDOWN(基准地价修正!G3,1))*(B370:M370=基准地价修正!G2)*(B371:M460))</f>
        <v>0.95120000000000005</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27473</v>
      </c>
      <c r="C2" s="2" t="s">
        <v>106</v>
      </c>
      <c r="D2" s="199"/>
      <c r="E2" s="199"/>
      <c r="F2" s="199"/>
      <c r="G2" s="199"/>
    </row>
    <row r="3" spans="1:7" s="200" customFormat="1" ht="18" customHeight="1" thickBot="1">
      <c r="A3" s="203" t="s">
        <v>58</v>
      </c>
      <c r="B3" s="204">
        <f ca="1">ROUND(B2*10000/'数据-汇总表'!E3,0)</f>
        <v>334804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16</v>
      </c>
      <c r="D10" s="845">
        <f>'数据-汇总表'!E6</f>
        <v>820.57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820.57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820.57</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706" t="s">
        <v>94</v>
      </c>
    </row>
    <row r="43" spans="1:7" ht="13.5" customHeight="1">
      <c r="A43" s="780" t="s">
        <v>347</v>
      </c>
      <c r="B43" s="215" t="s">
        <v>426</v>
      </c>
      <c r="C43" s="238">
        <f ca="1">ROUND(IF('数据-取费表'!B22&lt;=1,C39*F22*'数据-取费表'!B21/2,C39*(POWER((1+F22),'数据-取费表'!B21/2)-1)),0)</f>
        <v>0</v>
      </c>
      <c r="D43" s="238"/>
      <c r="E43" s="238"/>
      <c r="F43" s="239"/>
      <c r="G43" s="3707"/>
    </row>
    <row r="44" spans="1:7" ht="13.5" customHeight="1">
      <c r="A44" s="780" t="s">
        <v>348</v>
      </c>
      <c r="B44" s="215" t="s">
        <v>428</v>
      </c>
      <c r="C44" s="238">
        <f ca="1">ROUND(IF('数据-取费表'!B22&lt;=1,C40*F22*'数据-取费表'!B21/2,C40*(POWER((1+F22),'数据-取费表'!B21/2)-1)),4)</f>
        <v>4.0000000000000002E-4</v>
      </c>
      <c r="D44" s="238"/>
      <c r="E44" s="238"/>
      <c r="F44" s="239"/>
      <c r="G44" s="3708"/>
    </row>
    <row r="45" spans="1:7" s="214" customFormat="1" ht="13.5" customHeight="1">
      <c r="A45" s="777" t="s">
        <v>341</v>
      </c>
      <c r="B45" s="244" t="s">
        <v>85</v>
      </c>
      <c r="C45" s="245">
        <f>C46</f>
        <v>45</v>
      </c>
      <c r="D45" s="235">
        <f>C47</f>
        <v>3.0000000000000001E-3</v>
      </c>
      <c r="E45" s="236" t="s">
        <v>102</v>
      </c>
      <c r="F45" s="246"/>
      <c r="G45" s="247" t="s">
        <v>434</v>
      </c>
    </row>
    <row r="46" spans="1:7" s="214" customFormat="1" ht="13.5" customHeight="1">
      <c r="A46" s="780" t="s">
        <v>349</v>
      </c>
      <c r="B46" s="248" t="s">
        <v>427</v>
      </c>
      <c r="C46" s="249">
        <f>ROUND((C33+C39)*F27,0)</f>
        <v>45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377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358</v>
      </c>
      <c r="D51" s="232"/>
      <c r="E51" s="232"/>
      <c r="F51" s="264"/>
      <c r="G51" s="234" t="s">
        <v>37</v>
      </c>
    </row>
    <row r="52" spans="1:7" s="208" customFormat="1" ht="16.5" thickBot="1">
      <c r="A52" s="265" t="s">
        <v>38</v>
      </c>
      <c r="B52" s="266"/>
      <c r="C52" s="267">
        <f ca="1">C31+C51</f>
        <v>27473</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估价结果一览表（市场价值不需“结果表-1”）</v>
      </c>
      <c r="B3" s="3476"/>
      <c r="C3" s="3476"/>
      <c r="D3" s="3476"/>
      <c r="E3" s="3476"/>
    </row>
    <row r="4" spans="1:5" ht="19.5" thickBot="1">
      <c r="A4" s="1493"/>
      <c r="B4" s="3474" t="s">
        <v>917</v>
      </c>
      <c r="C4" s="3474"/>
      <c r="D4" s="3474"/>
      <c r="E4" s="1493"/>
    </row>
    <row r="5" spans="1:5" ht="16.5" thickTop="1">
      <c r="A5" s="1491"/>
      <c r="B5" s="3472" t="s">
        <v>909</v>
      </c>
      <c r="C5" s="1494" t="s">
        <v>910</v>
      </c>
      <c r="D5" s="850">
        <f ca="1">结果表!H101</f>
        <v>1603</v>
      </c>
      <c r="E5" s="1491"/>
    </row>
    <row r="6" spans="1:5" ht="15.75">
      <c r="A6" s="1491"/>
      <c r="B6" s="3472"/>
      <c r="C6" s="1494" t="s">
        <v>911</v>
      </c>
      <c r="D6" s="850" t="str">
        <f ca="1">NUMBERSTRING(INT(D5*10000),2)&amp;"元整"</f>
        <v>壹仟陆佰零叁万元整</v>
      </c>
      <c r="E6" s="1491"/>
    </row>
    <row r="7" spans="1:5" ht="15.75">
      <c r="A7" s="1491"/>
      <c r="B7" s="3477"/>
      <c r="C7" s="1495" t="s">
        <v>912</v>
      </c>
      <c r="D7" s="851">
        <f ca="1">结果表!H102</f>
        <v>19535</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f ca="1">结果表!H107</f>
        <v>1603</v>
      </c>
      <c r="E13" s="1491"/>
    </row>
    <row r="14" spans="1:5" ht="15.75">
      <c r="A14" s="1491"/>
      <c r="B14" s="3472"/>
      <c r="C14" s="1494" t="s">
        <v>911</v>
      </c>
      <c r="D14" s="850" t="str">
        <f ca="1">NUMBERSTRING(INT(D13*10000),2)&amp;"元整"</f>
        <v>壹仟陆佰零叁万元整</v>
      </c>
      <c r="E14" s="1491"/>
    </row>
    <row r="15" spans="1:5" ht="15">
      <c r="A15" s="1491"/>
      <c r="B15" s="3477"/>
      <c r="C15" s="1495" t="s">
        <v>921</v>
      </c>
      <c r="D15" s="859">
        <f ca="1">结果表!H108</f>
        <v>19535</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4.抵押净值</v>
      </c>
      <c r="C19" s="1499" t="s">
        <v>910</v>
      </c>
      <c r="D19" s="851">
        <f ca="1">结果表!H111</f>
        <v>1602</v>
      </c>
      <c r="E19" s="1491"/>
    </row>
    <row r="20" spans="1:5" ht="15.75">
      <c r="A20" s="1491"/>
      <c r="B20" s="3472"/>
      <c r="C20" s="1494" t="s">
        <v>923</v>
      </c>
      <c r="D20" s="850" t="str">
        <f ca="1">NUMBERSTRING(INT(D19*10000),2)&amp;"元整"</f>
        <v>壹仟陆佰零贰万元整</v>
      </c>
      <c r="E20" s="1491"/>
    </row>
    <row r="21" spans="1:5" ht="15.75" thickBot="1">
      <c r="A21" s="1491"/>
      <c r="B21" s="3473"/>
      <c r="C21" s="1501" t="s">
        <v>921</v>
      </c>
      <c r="D21" s="860">
        <f ca="1">结果表!H112</f>
        <v>19523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2839</v>
      </c>
      <c r="B1" s="3794"/>
      <c r="C1" s="3794"/>
      <c r="D1" s="3794"/>
      <c r="E1" s="3794"/>
      <c r="F1" s="3794"/>
      <c r="G1" s="379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792" t="s">
        <v>2866</v>
      </c>
      <c r="B3" s="3224"/>
      <c r="C3" s="3225" t="s">
        <v>2805</v>
      </c>
      <c r="D3" s="3225" t="s">
        <v>2867</v>
      </c>
      <c r="E3" s="3225" t="s">
        <v>2807</v>
      </c>
      <c r="F3" s="3225" t="s">
        <v>2868</v>
      </c>
      <c r="G3" s="3225" t="s">
        <v>2625</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79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3181</v>
      </c>
      <c r="B1" s="3796"/>
    </row>
    <row r="2" spans="1:7" ht="14.25" thickBot="1">
      <c r="A2" s="3249"/>
      <c r="B2" s="3249"/>
    </row>
    <row r="3" spans="1:7" ht="14.25" thickBot="1">
      <c r="A3" s="3249"/>
      <c r="B3" s="3249"/>
      <c r="C3" s="3250" t="s">
        <v>2805</v>
      </c>
      <c r="D3" s="3250" t="s">
        <v>2867</v>
      </c>
      <c r="E3" s="3250" t="s">
        <v>2807</v>
      </c>
      <c r="F3" s="3250" t="s">
        <v>2868</v>
      </c>
      <c r="G3" s="3250" t="s">
        <v>2625</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3232</v>
      </c>
      <c r="B1" s="3797"/>
      <c r="C1" s="3797"/>
      <c r="D1" s="3797"/>
      <c r="E1" s="3797"/>
      <c r="F1" s="379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5">
        <f>基准地价修正!G23</f>
        <v>44931</v>
      </c>
      <c r="B1" s="3204" t="s">
        <v>2838</v>
      </c>
      <c r="C1" s="3205"/>
      <c r="D1" s="3205"/>
      <c r="E1" s="3205"/>
      <c r="F1" s="3205"/>
      <c r="G1" s="3205"/>
      <c r="H1" s="3205"/>
      <c r="I1" s="3205"/>
      <c r="J1" s="3158"/>
      <c r="K1" s="3205" t="s">
        <v>454</v>
      </c>
      <c r="L1" s="3205"/>
      <c r="M1" s="3205"/>
      <c r="N1" s="3205"/>
      <c r="O1" s="3205"/>
      <c r="P1" s="3205"/>
      <c r="Q1" s="3158"/>
      <c r="R1" s="3799" t="s">
        <v>456</v>
      </c>
      <c r="S1" s="3800"/>
      <c r="T1" s="3800"/>
      <c r="U1" s="3800"/>
      <c r="V1" s="3800"/>
      <c r="W1" s="3800"/>
      <c r="X1" s="3158"/>
      <c r="Y1" s="3799" t="s">
        <v>457</v>
      </c>
      <c r="Z1" s="3800"/>
      <c r="AA1" s="3800"/>
      <c r="AB1" s="3800"/>
      <c r="AC1" s="3800"/>
      <c r="AD1" s="3800"/>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2814</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ROUND(IF([2]项目基本情况!B8="出让",SUMPRODUCT(PRODUCT(1+K5:K13)),SUMPRODUCT(PRODUCT(1+K5:K12))),4)</f>
        <v>1.05</v>
      </c>
      <c r="S5" s="3176">
        <f>ROUND(IF([2]项目基本情况!B8="出让",SUMPRODUCT(PRODUCT(1+L5:L13)),SUMPRODUCT(PRODUCT(1+L5:L12))),4)</f>
        <v>1.0229999999999999</v>
      </c>
      <c r="T5" s="3176">
        <f>ROUND(IF([2]项目基本情况!B8="出让",SUMPRODUCT(PRODUCT(1+M5:M13)),SUMPRODUCT(PRODUCT(1+M5:M12))),4)</f>
        <v>1.0134000000000001</v>
      </c>
      <c r="U5" s="3176">
        <f>ROUND(IF([2]项目基本情况!B8="出让",SUMPRODUCT(PRODUCT(1+N5:N13)),SUMPRODUCT(PRODUCT(1+N5:N12))),4)</f>
        <v>1.0545</v>
      </c>
      <c r="V5" s="3176">
        <f>ROUND(IF([2]项目基本情况!B8="出让",SUMPRODUCT(PRODUCT(1+O5:O13)),SUMPRODUCT(PRODUCT(1+O5:O12))),4)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2815</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ROUND(IF([2]项目基本情况!B8="出让",SUMPRODUCT(PRODUCT(1+K6:K13)),SUMPRODUCT(PRODUCT(1+K6:K12))),4)</f>
        <v>1.05</v>
      </c>
      <c r="S6" s="3176">
        <f>ROUND(IF([2]项目基本情况!B8="出让",SUMPRODUCT(PRODUCT(1+L6:L13)),SUMPRODUCT(PRODUCT(1+L6:L12))),4)</f>
        <v>1.0229999999999999</v>
      </c>
      <c r="T6" s="3176">
        <f>ROUND(IF([2]项目基本情况!B8="出让",SUMPRODUCT(PRODUCT(1+M6:M13)),SUMPRODUCT(PRODUCT(1+M6:M12))),4)</f>
        <v>1.0134000000000001</v>
      </c>
      <c r="U6" s="3176">
        <f>ROUND(IF([2]项目基本情况!B8="出让",SUMPRODUCT(PRODUCT(1+N6:N13)),SUMPRODUCT(PRODUCT(1+N6:N12))),4)</f>
        <v>1.0545</v>
      </c>
      <c r="V6" s="3176">
        <f>ROUND(IF([2]项目基本情况!B8="出让",SUMPRODUCT(PRODUCT(1+O6:O13)),SUMPRODUCT(PRODUCT(1+O6:O12))),4)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3353</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ROUND(IF([2]项目基本情况!B8="出让",SUMPRODUCT(PRODUCT(1+K7:K13)),SUMPRODUCT(PRODUCT(1+K7:K12))),4)</f>
        <v>1.05</v>
      </c>
      <c r="S7" s="3186">
        <f>ROUND(IF([2]项目基本情况!B8="出让",SUMPRODUCT(PRODUCT(1+L7:L13)),SUMPRODUCT(PRODUCT(1+L7:L12))),4)</f>
        <v>1.0229999999999999</v>
      </c>
      <c r="T7" s="3186">
        <f>ROUND(IF([2]项目基本情况!B8="出让",SUMPRODUCT(PRODUCT(1+M7:M13)),SUMPRODUCT(PRODUCT(1+M7:M12))),4)</f>
        <v>1.0134000000000001</v>
      </c>
      <c r="U7" s="3186">
        <f>ROUND(IF([2]项目基本情况!B8="出让",SUMPRODUCT(PRODUCT(1+N7:N13)),SUMPRODUCT(PRODUCT(1+N7:N12))),4)</f>
        <v>1.0545</v>
      </c>
      <c r="V7" s="3186">
        <f>ROUND(IF([2]项目基本情况!B8="出让",SUMPRODUCT(PRODUCT(1+O7:O13)),SUMPRODUCT(PRODUCT(1+O7:O12))),4)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3354</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ROUND(IF([2]项目基本情况!B8="出让",SUMPRODUCT(PRODUCT(1+K8:K13)),SUMPRODUCT(PRODUCT(1+K8:K12))),4)</f>
        <v>1.0430999999999999</v>
      </c>
      <c r="S8" s="3176">
        <f>ROUND(IF([2]项目基本情况!B8="出让",SUMPRODUCT(PRODUCT(1+L8:L13)),SUMPRODUCT(PRODUCT(1+L8:L12))),4)</f>
        <v>1.0197000000000001</v>
      </c>
      <c r="T8" s="3176">
        <f>ROUND(IF([2]项目基本情况!B8="出让",SUMPRODUCT(PRODUCT(1+M8:M13)),SUMPRODUCT(PRODUCT(1+M8:M12))),4)</f>
        <v>1.0109999999999999</v>
      </c>
      <c r="U8" s="3176">
        <f>ROUND(IF([2]项目基本情况!B8="出让",SUMPRODUCT(PRODUCT(1+N8:N13)),SUMPRODUCT(PRODUCT(1+N8:N12))),4)</f>
        <v>1.0468999999999999</v>
      </c>
      <c r="V8" s="3176">
        <f>ROUND(IF([2]项目基本情况!B8="出让",SUMPRODUCT(PRODUCT(1+O8:O13)),SUMPRODUCT(PRODUCT(1+O8:O12))),4)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2816</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ROUND(IF([2]项目基本情况!B8="出让",SUMPRODUCT(PRODUCT(1+K9:K13)),SUMPRODUCT(PRODUCT(1+K9:K12))),4)</f>
        <v>1.0335000000000001</v>
      </c>
      <c r="S9" s="3176">
        <f>ROUND(IF([2]项目基本情况!B8="出让",SUMPRODUCT(PRODUCT(1+L9:L13)),SUMPRODUCT(PRODUCT(1+L9:L12))),4)</f>
        <v>1.0182</v>
      </c>
      <c r="T9" s="3176">
        <f>ROUND(IF([2]项目基本情况!B8="出让",SUMPRODUCT(PRODUCT(1+M9:M13)),SUMPRODUCT(PRODUCT(1+M9:M12))),4)</f>
        <v>1.0108999999999999</v>
      </c>
      <c r="U9" s="3176">
        <f>ROUND(IF([2]项目基本情况!B8="出让",SUMPRODUCT(PRODUCT(1+N9:N13)),SUMPRODUCT(PRODUCT(1+N9:N12))),4)</f>
        <v>1.0361</v>
      </c>
      <c r="V9" s="3176">
        <f>ROUND(IF([2]项目基本情况!B8="出让",SUMPRODUCT(PRODUCT(1+O9:O13)),SUMPRODUCT(PRODUCT(1+O9:O12))),4)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2817</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ROUND(IF([2]项目基本情况!B8="出让",SUMPRODUCT(PRODUCT(1+K10:K13)),SUMPRODUCT(PRODUCT(1+K10:K12))),4)</f>
        <v>1.0244</v>
      </c>
      <c r="S10" s="3176">
        <f>ROUND(IF([2]项目基本情况!B8="出让",SUMPRODUCT(PRODUCT(1+L10:L13)),SUMPRODUCT(PRODUCT(1+L10:L12))),4)</f>
        <v>1.0138</v>
      </c>
      <c r="T10" s="3176">
        <f>ROUND(IF([2]项目基本情况!B8="出让",SUMPRODUCT(PRODUCT(1+M10:M13)),SUMPRODUCT(PRODUCT(1+M10:M12))),4)</f>
        <v>1.0072000000000001</v>
      </c>
      <c r="U10" s="3176">
        <f>ROUND(IF([2]项目基本情况!B8="出让",SUMPRODUCT(PRODUCT(1+N10:N13)),SUMPRODUCT(PRODUCT(1+N10:N12))),4)</f>
        <v>1.0262</v>
      </c>
      <c r="V10" s="3176">
        <f>ROUND(IF([2]项目基本情况!B8="出让",SUMPRODUCT(PRODUCT(1+O10:O13)),SUMPRODUCT(PRODUCT(1+O10:O12))),4)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2818</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ROUND(IF([2]项目基本情况!B8="出让",SUMPRODUCT(PRODUCT(1+K11:K13)),SUMPRODUCT(PRODUCT(1+K11:K12))),4)</f>
        <v>1.0139</v>
      </c>
      <c r="S11" s="3176">
        <f>ROUND(IF([2]项目基本情况!B8="出让",SUMPRODUCT(PRODUCT(1+L11:L13)),SUMPRODUCT(PRODUCT(1+L11:L12))),4)</f>
        <v>1.0113000000000001</v>
      </c>
      <c r="T11" s="3176">
        <f>ROUND(IF([2]项目基本情况!B8="出让",SUMPRODUCT(PRODUCT(1+M11:M13)),SUMPRODUCT(PRODUCT(1+M11:M12))),4)</f>
        <v>1.0065</v>
      </c>
      <c r="U11" s="3176">
        <f>ROUND(IF([2]项目基本情况!B8="出让",SUMPRODUCT(PRODUCT(1+N11:N13)),SUMPRODUCT(PRODUCT(1+N11:N12))),4)</f>
        <v>1.0143</v>
      </c>
      <c r="V11" s="3176">
        <f>ROUND(IF([2]项目基本情况!B8="出让",SUMPRODUCT(PRODUCT(1+O11:O13)),SUMPRODUCT(PRODUCT(1+O11:O12))),4)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2819</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ROUND(IF([2]项目基本情况!B8="出让",SUMPRODUCT(PRODUCT(1+K12:K13)),SUMPRODUCT(PRODUCT(1+K12:K12))),4)</f>
        <v>1.0092000000000001</v>
      </c>
      <c r="S12" s="3176">
        <f>ROUND(IF([2]项目基本情况!B8="出让",SUMPRODUCT(PRODUCT(1+L12:L13)),SUMPRODUCT(PRODUCT(1+L12:L12))),4)</f>
        <v>1.0072000000000001</v>
      </c>
      <c r="T12" s="3176">
        <f>ROUND(IF([2]项目基本情况!B8="出让",SUMPRODUCT(PRODUCT(1+M12:M13)),SUMPRODUCT(PRODUCT(1+M12:M12))),4)</f>
        <v>1.0041</v>
      </c>
      <c r="U12" s="3176">
        <f>ROUND(IF([2]项目基本情况!B8="出让",SUMPRODUCT(PRODUCT(1+N12:N13)),SUMPRODUCT(PRODUCT(1+N12:N12))),4)</f>
        <v>1.0095000000000001</v>
      </c>
      <c r="V12" s="3176">
        <f>ROUND(IF([2]项目基本情况!B8="出让",SUMPRODUCT(PRODUCT(1+O12:O13)),SUMPRODUCT(PRODUCT(1+O12:O12))),4)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2820</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2821</v>
      </c>
    </row>
    <row r="17" spans="1:30" s="3002" customFormat="1"/>
    <row r="18" spans="1:30" s="3203" customFormat="1" ht="12.75">
      <c r="B18" s="3204" t="s">
        <v>2822</v>
      </c>
      <c r="C18" s="3205"/>
      <c r="D18" s="3205"/>
      <c r="E18" s="3205"/>
      <c r="F18" s="3205"/>
      <c r="G18" s="3205"/>
      <c r="H18" s="3205"/>
      <c r="I18" s="3205"/>
      <c r="J18" s="3158"/>
      <c r="K18" s="3205" t="s">
        <v>2823</v>
      </c>
      <c r="L18" s="3205"/>
      <c r="M18" s="3205"/>
      <c r="N18" s="3205"/>
      <c r="O18" s="3205"/>
      <c r="P18" s="3205"/>
      <c r="Q18" s="3158"/>
      <c r="R18" s="3799" t="s">
        <v>2824</v>
      </c>
      <c r="S18" s="3800"/>
      <c r="T18" s="3800"/>
      <c r="U18" s="3800"/>
      <c r="V18" s="3800"/>
      <c r="W18" s="3800"/>
      <c r="X18" s="3158"/>
      <c r="Y18" s="3799" t="s">
        <v>2825</v>
      </c>
      <c r="Z18" s="3800"/>
      <c r="AA18" s="3800"/>
      <c r="AB18" s="3800"/>
      <c r="AC18" s="3800"/>
      <c r="AD18" s="3800"/>
    </row>
    <row r="19" spans="1:30" s="3136" customFormat="1" ht="14.25" thickBot="1">
      <c r="B19" s="3137"/>
      <c r="C19" s="3138"/>
      <c r="D19" s="3139" t="s">
        <v>2826</v>
      </c>
      <c r="E19" s="3140" t="s">
        <v>2827</v>
      </c>
      <c r="F19" s="3140" t="s">
        <v>2828</v>
      </c>
      <c r="G19" s="3140" t="s">
        <v>2829</v>
      </c>
      <c r="H19" s="3140"/>
      <c r="I19" s="3140" t="s">
        <v>2830</v>
      </c>
      <c r="J19" s="3141"/>
      <c r="K19" s="3139" t="s">
        <v>2826</v>
      </c>
      <c r="L19" s="3140" t="s">
        <v>2827</v>
      </c>
      <c r="M19" s="3140" t="s">
        <v>2828</v>
      </c>
      <c r="N19" s="3140" t="s">
        <v>2829</v>
      </c>
      <c r="O19" s="3140"/>
      <c r="P19" s="3140" t="s">
        <v>2830</v>
      </c>
      <c r="Q19" s="3141"/>
      <c r="R19" s="3139" t="s">
        <v>2826</v>
      </c>
      <c r="S19" s="3140" t="s">
        <v>2827</v>
      </c>
      <c r="T19" s="3140" t="s">
        <v>2828</v>
      </c>
      <c r="U19" s="3140" t="s">
        <v>2829</v>
      </c>
      <c r="V19" s="3140"/>
      <c r="W19" s="3140" t="s">
        <v>2830</v>
      </c>
      <c r="X19" s="3141"/>
      <c r="Y19" s="3139" t="s">
        <v>2826</v>
      </c>
      <c r="Z19" s="3140" t="s">
        <v>2827</v>
      </c>
      <c r="AA19" s="3140" t="s">
        <v>2828</v>
      </c>
      <c r="AB19" s="3140" t="s">
        <v>2829</v>
      </c>
      <c r="AC19" s="3140"/>
      <c r="AD19" s="3140" t="s">
        <v>2830</v>
      </c>
    </row>
    <row r="20" spans="1:30" s="3154" customFormat="1" ht="12.75">
      <c r="A20" s="3142" t="s">
        <v>2831</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2832</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ROUND(IF([2]项目基本情况!$B$8="出让",SUMPRODUCT(PRODUCT(1+L22:L$30)),SUMPRODUCT(PRODUCT(1+L22:L$29))),4)</f>
        <v>1.0241</v>
      </c>
      <c r="T22" s="3176">
        <f>ROUND(IF([2]项目基本情况!$B$8="出让",SUMPRODUCT(PRODUCT(1+M22:M$30)),SUMPRODUCT(PRODUCT(1+M22:M$29))),4)</f>
        <v>1.0144</v>
      </c>
      <c r="U22" s="3176">
        <f>ROUND(IF([2]项目基本情况!$B$8="出让",SUMPRODUCT(PRODUCT(1+N22:N$30)),SUMPRODUCT(PRODUCT(1+N22:N$29))),4)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2833</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ROUND(IF([2]项目基本情况!$B$8="出让",SUMPRODUCT(PRODUCT(1+L23:L$30)),SUMPRODUCT(PRODUCT(1+L23:L$29))),4)</f>
        <v>1.0241</v>
      </c>
      <c r="T23" s="3176">
        <f>ROUND(IF([2]项目基本情况!$B$8="出让",SUMPRODUCT(PRODUCT(1+M23:M$30)),SUMPRODUCT(PRODUCT(1+M23:M$29))),4)</f>
        <v>1.0144</v>
      </c>
      <c r="U23" s="3176">
        <f>ROUND(IF([2]项目基本情况!$B$8="出让",SUMPRODUCT(PRODUCT(1+N23:N$30)),SUMPRODUCT(PRODUCT(1+N23:N$29))),4)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3355</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ROUND(IF([2]项目基本情况!$B$8="出让",SUMPRODUCT(PRODUCT(1+L24:L$30)),SUMPRODUCT(PRODUCT(1+L24:L$29))),4)</f>
        <v>1.0241</v>
      </c>
      <c r="T24" s="3186">
        <f>ROUND(IF([2]项目基本情况!$B$8="出让",SUMPRODUCT(PRODUCT(1+M24:M$30)),SUMPRODUCT(PRODUCT(1+M24:M$29))),4)</f>
        <v>1.0144</v>
      </c>
      <c r="U24" s="3186">
        <f>ROUND(IF([2]项目基本情况!$B$8="出让",SUMPRODUCT(PRODUCT(1+N24:N$30)),SUMPRODUCT(PRODUCT(1+N24:N$29))),4)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3354</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ROUND(IF([2]项目基本情况!$B$8="出让",SUMPRODUCT(PRODUCT(1+L25:L$30)),SUMPRODUCT(PRODUCT(1+L25:L$29))),4)</f>
        <v>1.0210999999999999</v>
      </c>
      <c r="T25" s="3176">
        <f>ROUND(IF([2]项目基本情况!$B$8="出让",SUMPRODUCT(PRODUCT(1+M25:M$30)),SUMPRODUCT(PRODUCT(1+M25:M$29))),4)</f>
        <v>1.0114000000000001</v>
      </c>
      <c r="U25" s="3176">
        <f>ROUND(IF([2]项目基本情况!$B$8="出让",SUMPRODUCT(PRODUCT(1+N25:N$30)),SUMPRODUCT(PRODUCT(1+N25:N$29))),4)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2834</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ROUND(IF([2]项目基本情况!$B$8="出让",SUMPRODUCT(PRODUCT(1+L26:L$30)),SUMPRODUCT(PRODUCT(1+L26:L$29))),4)</f>
        <v>1.0222</v>
      </c>
      <c r="T26" s="3176">
        <f>ROUND(IF([2]项目基本情况!$B$8="出让",SUMPRODUCT(PRODUCT(1+M26:M$30)),SUMPRODUCT(PRODUCT(1+M26:M$29))),4)</f>
        <v>1.0127999999999999</v>
      </c>
      <c r="U26" s="3176">
        <f>ROUND(IF([2]项目基本情况!$B$8="出让",SUMPRODUCT(PRODUCT(1+N26:N$30)),SUMPRODUCT(PRODUCT(1+N26:N$29))),4)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2835</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ROUND(IF([2]项目基本情况!$B$8="出让",SUMPRODUCT(PRODUCT(1+L27:L$30)),SUMPRODUCT(PRODUCT(1+L27:L$29))),4)</f>
        <v>1.0161</v>
      </c>
      <c r="T27" s="3176">
        <f>ROUND(IF([2]项目基本情况!$B$8="出让",SUMPRODUCT(PRODUCT(1+M27:M$30)),SUMPRODUCT(PRODUCT(1+M27:M$29))),4)</f>
        <v>1.0082</v>
      </c>
      <c r="U27" s="3176">
        <f>ROUND(IF([2]项目基本情况!$B$8="出让",SUMPRODUCT(PRODUCT(1+N27:N$30)),SUMPRODUCT(PRODUCT(1+N27:N$29))),4)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2836</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ROUND(IF([2]项目基本情况!$B$8="出让",SUMPRODUCT(PRODUCT(1+L28:L$30)),SUMPRODUCT(PRODUCT(1+L28:L$29))),4)</f>
        <v>1.0102</v>
      </c>
      <c r="T28" s="3176">
        <f>ROUND(IF([2]项目基本情况!$B$8="出让",SUMPRODUCT(PRODUCT(1+M28:M$30)),SUMPRODUCT(PRODUCT(1+M28:M$29))),4)</f>
        <v>1.0074000000000001</v>
      </c>
      <c r="U28" s="3176">
        <f>ROUND(IF([2]项目基本情况!$B$8="出让",SUMPRODUCT(PRODUCT(1+N28:N$30)),SUMPRODUCT(PRODUCT(1+N28:N$29))),4)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2837</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ROUND(IF([2]项目基本情况!$B$8="出让",SUMPRODUCT(PRODUCT(1+L29:L$30)),SUMPRODUCT(PRODUCT(1+L29:L$29))),4)</f>
        <v>1.0055000000000001</v>
      </c>
      <c r="T29" s="3176">
        <f>ROUND(IF([2]项目基本情况!$B$8="出让",SUMPRODUCT(PRODUCT(1+M29:M$30)),SUMPRODUCT(PRODUCT(1+M29:M$29))),4)</f>
        <v>1.0045999999999999</v>
      </c>
      <c r="U29" s="3176">
        <f>ROUND(IF([2]项目基本情况!$B$8="出让",SUMPRODUCT(PRODUCT(1+N29:N$30)),SUMPRODUCT(PRODUCT(1+N29:N$29))),4)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2820</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6" t="s">
        <v>452</v>
      </c>
      <c r="C1" s="3806"/>
      <c r="D1" s="3806"/>
      <c r="E1" s="3806"/>
      <c r="F1" s="3806"/>
      <c r="G1" s="3805" t="s">
        <v>453</v>
      </c>
      <c r="H1" s="3805"/>
      <c r="I1" s="3805"/>
      <c r="J1" s="3805"/>
      <c r="K1" s="3805"/>
      <c r="L1" s="3805"/>
      <c r="N1" s="3805" t="s">
        <v>454</v>
      </c>
      <c r="O1" s="3805"/>
      <c r="P1" s="3805"/>
      <c r="Q1" s="3805"/>
      <c r="S1" s="3805" t="s">
        <v>455</v>
      </c>
      <c r="T1" s="3805"/>
      <c r="U1" s="3805"/>
      <c r="V1" s="3805"/>
      <c r="X1" s="3804" t="s">
        <v>456</v>
      </c>
      <c r="Y1" s="3805"/>
      <c r="Z1" s="3805"/>
      <c r="AA1" s="3805"/>
      <c r="AB1" s="3805"/>
      <c r="AD1" s="3804" t="s">
        <v>457</v>
      </c>
      <c r="AE1" s="3805"/>
      <c r="AF1" s="3805"/>
      <c r="AG1" s="3805"/>
      <c r="AH1" s="380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1"/>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7">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1"/>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7">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8">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9"/>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9"/>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0"/>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4">
        <v>44795</v>
      </c>
      <c r="D13" s="2815">
        <v>3.65</v>
      </c>
      <c r="E13" s="2815">
        <f>D13</f>
        <v>3.65</v>
      </c>
      <c r="F13" s="2815">
        <f>D13</f>
        <v>3.65</v>
      </c>
      <c r="G13" s="2815">
        <f>D13</f>
        <v>3.65</v>
      </c>
      <c r="H13" s="2815">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09"/>
      <c r="C14" s="2811">
        <v>44701</v>
      </c>
      <c r="D14" s="2810">
        <v>3.7</v>
      </c>
      <c r="E14" s="2810">
        <f>D14</f>
        <v>3.7</v>
      </c>
      <c r="F14" s="2810">
        <f>D14</f>
        <v>3.7</v>
      </c>
      <c r="G14" s="2810">
        <f>D14</f>
        <v>3.7</v>
      </c>
      <c r="H14" s="2810">
        <v>4.45</v>
      </c>
      <c r="I14" s="2815"/>
      <c r="J14" s="281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09"/>
      <c r="C15" s="2811">
        <v>44581</v>
      </c>
      <c r="D15" s="2810">
        <v>3.7</v>
      </c>
      <c r="E15" s="2810">
        <f>D15</f>
        <v>3.7</v>
      </c>
      <c r="F15" s="2810">
        <f>D15</f>
        <v>3.7</v>
      </c>
      <c r="G15" s="2810">
        <f>D15</f>
        <v>3.7</v>
      </c>
      <c r="H15" s="2810">
        <v>4.5999999999999996</v>
      </c>
      <c r="I15" s="2815"/>
      <c r="J15" s="281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1">
        <v>44550</v>
      </c>
      <c r="D16" s="2810">
        <v>3.8</v>
      </c>
      <c r="E16" s="2810">
        <f>D16</f>
        <v>3.8</v>
      </c>
      <c r="F16" s="2810">
        <f>D16</f>
        <v>3.8</v>
      </c>
      <c r="G16" s="2810">
        <f>D16</f>
        <v>3.8</v>
      </c>
      <c r="H16" s="2810">
        <v>4.6500000000000004</v>
      </c>
      <c r="I16" s="2810"/>
      <c r="J16" s="2815"/>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1">
        <v>43941</v>
      </c>
      <c r="D17" s="2810">
        <v>3.85</v>
      </c>
      <c r="E17" s="2810">
        <v>3.85</v>
      </c>
      <c r="F17" s="2810">
        <v>3.85</v>
      </c>
      <c r="G17" s="2810">
        <v>3.85</v>
      </c>
      <c r="H17" s="2810">
        <v>4.6500000000000004</v>
      </c>
      <c r="I17" s="2810"/>
      <c r="J17" s="281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4"/>
      <c r="B19" s="2810"/>
      <c r="C19" s="2811">
        <v>43789</v>
      </c>
      <c r="D19" s="2810">
        <v>4.1500000000000004</v>
      </c>
      <c r="E19" s="2810">
        <v>4.1500000000000004</v>
      </c>
      <c r="F19" s="2810">
        <v>4.1500000000000004</v>
      </c>
      <c r="G19" s="2810">
        <v>4.1500000000000004</v>
      </c>
      <c r="H19" s="2810">
        <v>4.8</v>
      </c>
      <c r="I19" s="2810"/>
      <c r="J19" s="281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0"/>
      <c r="C20" s="2811">
        <v>43728</v>
      </c>
      <c r="D20" s="2810">
        <v>4.2</v>
      </c>
      <c r="E20" s="2810">
        <v>4.2</v>
      </c>
      <c r="F20" s="2810">
        <v>4.2</v>
      </c>
      <c r="G20" s="2810">
        <v>4.2</v>
      </c>
      <c r="H20" s="2810">
        <v>4.8499999999999996</v>
      </c>
      <c r="I20" s="2810"/>
      <c r="J20" s="281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09" t="s">
        <v>2304</v>
      </c>
      <c r="C21" s="2812">
        <v>43697</v>
      </c>
      <c r="D21" s="2813">
        <v>4.25</v>
      </c>
      <c r="E21" s="2813">
        <v>4.25</v>
      </c>
      <c r="F21" s="2813">
        <v>4.25</v>
      </c>
      <c r="G21" s="2813">
        <v>4.25</v>
      </c>
      <c r="H21" s="2813">
        <v>4.8499999999999996</v>
      </c>
      <c r="I21" s="2813"/>
      <c r="J21" s="2813"/>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6"/>
      <c r="B22" s="2817"/>
      <c r="C22" s="2818">
        <v>42301</v>
      </c>
      <c r="D22" s="2819">
        <v>4.3499999999999996</v>
      </c>
      <c r="E22" s="2819">
        <v>4.3499999999999996</v>
      </c>
      <c r="F22" s="2819">
        <v>4.75</v>
      </c>
      <c r="G22" s="2819">
        <v>4.75</v>
      </c>
      <c r="H22" s="2819">
        <v>4.9000000000000004</v>
      </c>
      <c r="I22" s="2819"/>
      <c r="J22" s="2819"/>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54">
        <v>0.4</v>
      </c>
      <c r="I15" s="3454">
        <v>0.6</v>
      </c>
    </row>
    <row r="16" spans="6:14">
      <c r="F16" s="3453" t="s">
        <v>3419</v>
      </c>
      <c r="H16" s="3453" t="s">
        <v>3412</v>
      </c>
      <c r="I16" s="3453" t="s">
        <v>3415</v>
      </c>
      <c r="J16" s="3453" t="s">
        <v>3416</v>
      </c>
      <c r="K16" s="3453" t="s">
        <v>3418</v>
      </c>
      <c r="L16" s="3453" t="s">
        <v>3417</v>
      </c>
      <c r="N16" s="3453" t="s">
        <v>3504</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3" t="s">
        <v>3413</v>
      </c>
      <c r="H20">
        <v>15374</v>
      </c>
      <c r="I20">
        <v>20000</v>
      </c>
      <c r="J20">
        <f>ROUND(H20*$H$15+I20*$I$15,0)</f>
        <v>18150</v>
      </c>
      <c r="K20">
        <f>'数据-基础表'!H16</f>
        <v>1040.05</v>
      </c>
      <c r="L20">
        <f>ROUND(K20*J20/10000,0)</f>
        <v>1888</v>
      </c>
      <c r="N20">
        <v>2072.56</v>
      </c>
    </row>
    <row r="21" spans="5:14">
      <c r="E21">
        <f>ROUND(F21*$I$17,0)</f>
        <v>18800</v>
      </c>
      <c r="F21">
        <f>F20</f>
        <v>0.4</v>
      </c>
      <c r="G21" s="3453" t="s">
        <v>3414</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3" t="s">
        <v>3428</v>
      </c>
      <c r="L1" s="3453" t="s">
        <v>3430</v>
      </c>
      <c r="M1" s="3453" t="s">
        <v>3431</v>
      </c>
      <c r="N1" s="3453" t="s">
        <v>3432</v>
      </c>
      <c r="O1" s="3453" t="s">
        <v>3484</v>
      </c>
      <c r="P1" s="3453" t="s">
        <v>3487</v>
      </c>
    </row>
    <row r="2" spans="10:16">
      <c r="J2" s="3453" t="s">
        <v>3425</v>
      </c>
      <c r="K2" s="3453" t="s">
        <v>3483</v>
      </c>
      <c r="L2">
        <v>1200</v>
      </c>
      <c r="M2">
        <v>190.35</v>
      </c>
      <c r="N2">
        <f>ROUND(L2*10000/M2,0)</f>
        <v>63042</v>
      </c>
      <c r="O2">
        <v>2012</v>
      </c>
      <c r="P2">
        <f>ROUND(1-(1-0%)*(2023-O2)/60,2)</f>
        <v>0.82</v>
      </c>
    </row>
    <row r="3" spans="10:16">
      <c r="J3" s="3453" t="s">
        <v>3426</v>
      </c>
      <c r="K3" s="3453" t="s">
        <v>3485</v>
      </c>
      <c r="L3">
        <v>650</v>
      </c>
      <c r="M3">
        <v>104.96</v>
      </c>
      <c r="N3">
        <f>ROUND(L3*10000/M3,0)</f>
        <v>61928</v>
      </c>
      <c r="O3">
        <v>2007</v>
      </c>
      <c r="P3">
        <f>ROUND(1-(1-0%)*(2023-O3)/60,2)</f>
        <v>0.73</v>
      </c>
    </row>
    <row r="4" spans="10:16">
      <c r="J4" s="3453" t="s">
        <v>3427</v>
      </c>
      <c r="K4" s="3453" t="s">
        <v>3486</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估价结果一览表</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房地产市场价值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北京市陈庄子路3号院4号楼-1层B102房地产</v>
      </c>
      <c r="B4" s="854">
        <f>项目基本情况!C17</f>
        <v>820.57</v>
      </c>
      <c r="C4" s="854">
        <f>项目基本情况!C18</f>
        <v>0</v>
      </c>
      <c r="D4" s="854">
        <f ca="1">结果表!D118</f>
        <v>1092</v>
      </c>
      <c r="E4" s="854">
        <f ca="1">结果表!E118</f>
        <v>13308</v>
      </c>
      <c r="F4" s="854">
        <f ca="1">结果表!F118</f>
        <v>511</v>
      </c>
      <c r="G4" s="854">
        <f ca="1">结果表!G118</f>
        <v>6227</v>
      </c>
      <c r="H4" s="854">
        <f ca="1">结果表!H118</f>
        <v>1603</v>
      </c>
      <c r="I4" s="854">
        <f ca="1">结果表!I118</f>
        <v>19535</v>
      </c>
    </row>
    <row r="5" spans="1:9" ht="30" customHeight="1">
      <c r="A5" s="3484" t="s">
        <v>927</v>
      </c>
      <c r="B5" s="3484"/>
      <c r="C5" s="3484"/>
      <c r="D5" s="3484" t="str">
        <f ca="1">结果表!D119</f>
        <v>壹仟零玖拾贰万元整</v>
      </c>
      <c r="E5" s="3484"/>
      <c r="F5" s="3484" t="str">
        <f ca="1">结果表!F119</f>
        <v>伍佰壹拾壹万元整</v>
      </c>
      <c r="G5" s="3484"/>
      <c r="H5" s="3484" t="str">
        <f ca="1">结果表!H119</f>
        <v>壹仟陆佰零叁万元整</v>
      </c>
      <c r="I5" s="3484"/>
    </row>
    <row r="6" spans="1:9" ht="15.75">
      <c r="A6" s="3483" t="str">
        <f>结果表!A120</f>
        <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
      </c>
      <c r="B8" s="3483"/>
      <c r="C8" s="3483"/>
      <c r="D8" s="3483">
        <f ca="1">结果表!D122</f>
        <v>1603</v>
      </c>
      <c r="E8" s="3483"/>
      <c r="F8" s="3483"/>
      <c r="G8" s="3483"/>
      <c r="H8" s="3483"/>
      <c r="I8" s="3483"/>
    </row>
    <row r="9" spans="1:9" ht="15">
      <c r="A9" s="3484" t="s">
        <v>927</v>
      </c>
      <c r="B9" s="3484"/>
      <c r="C9" s="3484"/>
      <c r="D9" s="3484" t="str">
        <f ca="1">结果表!D123</f>
        <v>壹仟陆佰零叁万元整</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f ca="1">结果表!D126</f>
        <v>1602</v>
      </c>
      <c r="E12" s="3483"/>
      <c r="F12" s="3483"/>
      <c r="G12" s="3483"/>
      <c r="H12" s="3483"/>
      <c r="I12" s="3483"/>
    </row>
    <row r="13" spans="1:9" ht="15.75" thickBot="1">
      <c r="A13" s="3481" t="s">
        <v>927</v>
      </c>
      <c r="B13" s="3481"/>
      <c r="C13" s="3481"/>
      <c r="D13" s="3481" t="str">
        <f ca="1">结果表!D127</f>
        <v>壹仟陆佰零贰万元整</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44935</v>
      </c>
      <c r="C2" s="2338" t="s">
        <v>2138</v>
      </c>
      <c r="D2" s="2338"/>
      <c r="E2" s="2338"/>
      <c r="F2" s="2334"/>
      <c r="G2" s="2334"/>
      <c r="H2" s="2334"/>
    </row>
    <row r="3" spans="1:8" ht="24" customHeight="1">
      <c r="A3" s="2339" t="s">
        <v>2139</v>
      </c>
      <c r="B3" s="2340" t="s">
        <v>2140</v>
      </c>
      <c r="C3" s="2340" t="s">
        <v>2141</v>
      </c>
      <c r="D3" s="2341" t="s">
        <v>2142</v>
      </c>
      <c r="E3" s="2342" t="s">
        <v>2143</v>
      </c>
      <c r="F3" s="1304" t="s">
        <v>2144</v>
      </c>
      <c r="G3" s="2340" t="s">
        <v>2141</v>
      </c>
      <c r="H3" s="2341" t="s">
        <v>2145</v>
      </c>
    </row>
    <row r="4" spans="1:8" ht="24" customHeight="1">
      <c r="A4" s="1304" t="s">
        <v>2146</v>
      </c>
      <c r="B4" s="1304">
        <f ca="1">IF(C4&lt;B2,"已过期",1119970066)</f>
        <v>1119970066</v>
      </c>
      <c r="C4" s="2343">
        <v>45937</v>
      </c>
      <c r="D4" s="2344" t="str">
        <f ca="1">A4&amp;"（注册号："&amp;B4&amp;"）"</f>
        <v>梁津（注册号：1119970066）</v>
      </c>
      <c r="E4" s="2345" t="s">
        <v>2146</v>
      </c>
      <c r="F4" s="1304">
        <f ca="1">IF(G4&lt;B2,"已过期",96010014)</f>
        <v>96010014</v>
      </c>
      <c r="G4" s="2346">
        <v>47118</v>
      </c>
      <c r="H4" s="2347" t="str">
        <f ca="1">E4&amp;"（注册号："&amp;F4&amp;"）"</f>
        <v>梁津（注册号：96010014）</v>
      </c>
    </row>
    <row r="5" spans="1:8" ht="24" customHeight="1">
      <c r="A5" s="1304" t="s">
        <v>2147</v>
      </c>
      <c r="B5" s="1304">
        <f ca="1">IF(C5&lt;B2,"已过期",1119970111)</f>
        <v>1119970111</v>
      </c>
      <c r="C5" s="2343">
        <v>45937</v>
      </c>
      <c r="D5" s="2344" t="str">
        <f t="shared" ref="D5:D15" ca="1" si="0">A5&amp;"（注册号："&amp;B5&amp;"）"</f>
        <v>叶凌（注册号：1119970111）</v>
      </c>
      <c r="E5" s="2345" t="s">
        <v>2147</v>
      </c>
      <c r="F5" s="1304">
        <f ca="1">IF(G5&lt;B2,"已过期",94010078)</f>
        <v>94010078</v>
      </c>
      <c r="G5" s="2346">
        <v>46387</v>
      </c>
      <c r="H5" s="2347" t="str">
        <f t="shared" ref="H5:H16" ca="1" si="1">E5&amp;"（注册号："&amp;F5&amp;"）"</f>
        <v>叶凌（注册号：94010078）</v>
      </c>
    </row>
    <row r="6" spans="1:8" ht="24" customHeight="1">
      <c r="A6" s="1304" t="s">
        <v>2148</v>
      </c>
      <c r="B6" s="1304">
        <f ca="1">IF(C6&lt;B2,"已过期",1120050019)</f>
        <v>1120050019</v>
      </c>
      <c r="C6" s="2343">
        <v>45410</v>
      </c>
      <c r="D6" s="2344" t="str">
        <f t="shared" ca="1" si="0"/>
        <v>王鹏（注册号：1120050019）</v>
      </c>
      <c r="E6" s="2345" t="s">
        <v>2148</v>
      </c>
      <c r="F6" s="1304">
        <f ca="1">IF(G6&lt;B2,"已过期",2002110030)</f>
        <v>2002110030</v>
      </c>
      <c r="G6" s="2346">
        <v>46387</v>
      </c>
      <c r="H6" s="2347" t="str">
        <f t="shared" ca="1" si="1"/>
        <v>王鹏（注册号：2002110030）</v>
      </c>
    </row>
    <row r="7" spans="1:8" ht="24" customHeight="1">
      <c r="A7" s="1304" t="s">
        <v>2149</v>
      </c>
      <c r="B7" s="1304">
        <f ca="1">IF(C7&lt;B2,"已过期",1120000080)</f>
        <v>1120000080</v>
      </c>
      <c r="C7" s="2343">
        <v>45937</v>
      </c>
      <c r="D7" s="2344" t="str">
        <f t="shared" ca="1" si="0"/>
        <v>欧红伟（注册号：1120000080）</v>
      </c>
      <c r="E7" s="2345" t="s">
        <v>2149</v>
      </c>
      <c r="F7" s="1304">
        <f ca="1">IF(G7&lt;B2,"已过期",2000110082)</f>
        <v>2000110082</v>
      </c>
      <c r="G7" s="2346">
        <v>46387</v>
      </c>
      <c r="H7" s="2347" t="str">
        <f t="shared" ca="1" si="1"/>
        <v>欧红伟（注册号：2000110082）</v>
      </c>
    </row>
    <row r="8" spans="1:8" ht="24" customHeight="1">
      <c r="A8" s="1304" t="s">
        <v>2150</v>
      </c>
      <c r="B8" s="1304">
        <f ca="1">IF(C8&lt;B2,"已过期",1419970001)</f>
        <v>1419970001</v>
      </c>
      <c r="C8" s="2343">
        <v>45937</v>
      </c>
      <c r="D8" s="2344" t="str">
        <f t="shared" ca="1" si="0"/>
        <v>吴薇（注册号：1419970001）</v>
      </c>
      <c r="E8" s="2345" t="s">
        <v>2150</v>
      </c>
      <c r="F8" s="1304">
        <f ca="1">IF(G8&lt;B2,"已过期",2002110125)</f>
        <v>2002110125</v>
      </c>
      <c r="G8" s="2346">
        <v>47118</v>
      </c>
      <c r="H8" s="2347" t="str">
        <f t="shared" ca="1" si="1"/>
        <v>吴薇（注册号：2002110125）</v>
      </c>
    </row>
    <row r="9" spans="1:8" ht="24" customHeight="1">
      <c r="A9" s="1304" t="s">
        <v>2151</v>
      </c>
      <c r="B9" s="1304">
        <f ca="1">IF(C9&lt;B2,"已过期",1120060040)</f>
        <v>1120060040</v>
      </c>
      <c r="C9" s="2348">
        <v>45592</v>
      </c>
      <c r="D9" s="2344" t="str">
        <f t="shared" ca="1" si="0"/>
        <v>陈颖（注册号：1120060040）</v>
      </c>
      <c r="E9" s="2345" t="s">
        <v>2151</v>
      </c>
      <c r="F9" s="1304">
        <f ca="1">IF(G9&lt;B2,"已过期",2004110096)</f>
        <v>2004110096</v>
      </c>
      <c r="G9" s="2346">
        <v>47118</v>
      </c>
      <c r="H9" s="2347" t="str">
        <f t="shared" ca="1" si="1"/>
        <v>陈颖（注册号：2004110096）</v>
      </c>
    </row>
    <row r="10" spans="1:8" ht="24" customHeight="1">
      <c r="A10" s="1304" t="s">
        <v>2152</v>
      </c>
      <c r="B10" s="1304">
        <f ca="1">IF(C10&lt;B2,"已过期",1120100036)</f>
        <v>1120100036</v>
      </c>
      <c r="C10" s="2348">
        <v>45752</v>
      </c>
      <c r="D10" s="2344" t="str">
        <f t="shared" ca="1" si="0"/>
        <v>崔锴（注册号：1120100036）</v>
      </c>
      <c r="E10" s="2345" t="s">
        <v>2152</v>
      </c>
      <c r="F10" s="1304">
        <f ca="1">IF(G10&lt;B2,"已过期",2010110070)</f>
        <v>2010110070</v>
      </c>
      <c r="G10" s="2346">
        <v>47907</v>
      </c>
      <c r="H10" s="2347" t="str">
        <f t="shared" ca="1" si="1"/>
        <v>崔锴（注册号：2010110070）</v>
      </c>
    </row>
    <row r="11" spans="1:8" ht="24" customHeight="1">
      <c r="A11" s="1304" t="s">
        <v>2153</v>
      </c>
      <c r="B11" s="1304">
        <f ca="1">IF(C11&lt;B2,"已过期",1120070131)</f>
        <v>1120070131</v>
      </c>
      <c r="C11" s="2343">
        <v>45937</v>
      </c>
      <c r="D11" s="2344" t="str">
        <f t="shared" ca="1" si="0"/>
        <v>郑燚（注册号：1120070131）</v>
      </c>
      <c r="E11" s="2345" t="s">
        <v>2153</v>
      </c>
      <c r="F11" s="1304">
        <f ca="1">IF(G11&lt;B2,"已过期",2014110011)</f>
        <v>2014110011</v>
      </c>
      <c r="G11" s="2346">
        <v>49302</v>
      </c>
      <c r="H11" s="2347" t="str">
        <f t="shared" ca="1" si="1"/>
        <v>郑燚（注册号：2014110011）</v>
      </c>
    </row>
    <row r="12" spans="1:8" ht="24" customHeight="1">
      <c r="A12" s="1304" t="s">
        <v>2154</v>
      </c>
      <c r="B12" s="1304">
        <f ca="1">IF(C12&lt;B2,"已过期",1120040230)</f>
        <v>1120040230</v>
      </c>
      <c r="C12" s="2348">
        <v>45937</v>
      </c>
      <c r="D12" s="2344" t="str">
        <f t="shared" ca="1" si="0"/>
        <v>苏海（注册号：1120040230）</v>
      </c>
      <c r="E12" s="2345" t="s">
        <v>2154</v>
      </c>
      <c r="F12" s="1304">
        <f ca="1">IF(G12&lt;B2,"已过期",98030020)</f>
        <v>98030020</v>
      </c>
      <c r="G12" s="2346">
        <v>47118</v>
      </c>
      <c r="H12" s="2347" t="str">
        <f t="shared" ca="1" si="1"/>
        <v>苏海（注册号：98030020）</v>
      </c>
    </row>
    <row r="13" spans="1:8" ht="24" customHeight="1">
      <c r="A13" s="1304" t="s">
        <v>2155</v>
      </c>
      <c r="B13" s="1304">
        <f ca="1">IF(C13&lt;B2,"已过期",1120020033)</f>
        <v>1120020033</v>
      </c>
      <c r="C13" s="2343">
        <v>45375</v>
      </c>
      <c r="D13" s="2344" t="str">
        <f t="shared" ca="1" si="0"/>
        <v>刘敬东（注册号：1120020033）</v>
      </c>
      <c r="E13" s="2345" t="s">
        <v>2155</v>
      </c>
      <c r="F13" s="1304">
        <f ca="1">IF(G13&lt;B2,"已过期",2000110137)</f>
        <v>2000110137</v>
      </c>
      <c r="G13" s="2346">
        <v>46387</v>
      </c>
      <c r="H13" s="2347" t="str">
        <f t="shared" ca="1" si="1"/>
        <v>刘敬东（注册号：2000110137）</v>
      </c>
    </row>
    <row r="14" spans="1:8" ht="24" customHeight="1">
      <c r="A14" s="1304" t="s">
        <v>2156</v>
      </c>
      <c r="B14" s="1304">
        <f ca="1">IF(C14&lt;B2,"已过期",1119980106)</f>
        <v>1119980106</v>
      </c>
      <c r="C14" s="2348">
        <v>44969</v>
      </c>
      <c r="D14" s="2344" t="str">
        <f t="shared" ca="1" si="0"/>
        <v>刘俊财（注册号：1119980106）</v>
      </c>
      <c r="E14" s="2345" t="s">
        <v>2156</v>
      </c>
      <c r="F14" s="1304">
        <f ca="1">IF(G14&lt;B2,"已过期",96010063)</f>
        <v>96010063</v>
      </c>
      <c r="G14" s="2346">
        <v>47483</v>
      </c>
      <c r="H14" s="2347" t="str">
        <f t="shared" ca="1" si="1"/>
        <v>刘俊财（注册号：96010063）</v>
      </c>
    </row>
    <row r="15" spans="1:8" ht="24" customHeight="1">
      <c r="A15" s="1304" t="s">
        <v>2431</v>
      </c>
      <c r="B15" s="1304">
        <v>1120210056</v>
      </c>
      <c r="C15" s="2348">
        <v>45410</v>
      </c>
      <c r="D15" s="2344" t="str">
        <f t="shared" si="0"/>
        <v>宁小鳗（注册号：1120210056）</v>
      </c>
      <c r="E15" s="2345" t="s">
        <v>2157</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7" t="s">
        <v>2158</v>
      </c>
      <c r="B17" s="3507"/>
      <c r="C17" s="3507"/>
      <c r="D17" s="3507"/>
      <c r="E17" s="3507"/>
      <c r="F17" s="3507"/>
      <c r="G17" s="3507"/>
      <c r="H17" s="3507"/>
    </row>
    <row r="18" spans="1:8" ht="24" customHeight="1">
      <c r="A18" s="3508" t="s">
        <v>2159</v>
      </c>
      <c r="B18" s="3508"/>
      <c r="C18" s="3508"/>
      <c r="D18" s="2341"/>
      <c r="E18" s="3509" t="s">
        <v>2160</v>
      </c>
      <c r="F18" s="3508"/>
      <c r="G18" s="3508"/>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2023-01-09T06:43:42Z</dcterms:modified>
</cp:coreProperties>
</file>