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2025-1-0363-F01怀柔开放东路21号-吴琼-担保公司-2,3-郑、王\"/>
    </mc:Choice>
  </mc:AlternateContent>
  <xr:revisionPtr revIDLastSave="0" documentId="13_ncr:1_{1679DBA9-793D-4DA6-8E6A-CB002AAD7364}" xr6:coauthVersionLast="47" xr6:coauthVersionMax="47" xr10:uidLastSave="{00000000-0000-0000-0000-000000000000}"/>
  <bookViews>
    <workbookView xWindow="60" yWindow="60" windowWidth="10884" windowHeight="12000" tabRatio="899" firstSheet="16"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收益法" sheetId="15" r:id="rId21"/>
    <sheet name="信息" sheetId="80" r:id="rId22"/>
    <sheet name="租赁合同" sheetId="82" r:id="rId23"/>
    <sheet name="厂房案例" sheetId="81" r:id="rId24"/>
    <sheet name="办公案例" sheetId="83"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19">基准地价修正!$A$1:$J$44,基准地价修正!$A$47:$H$101,基准地价修正!$R$1:$V$16</definedName>
    <definedName name="_xlnm.Print_Area" localSheetId="26">假设开发法!$A$1:$K$32</definedName>
    <definedName name="_xlnm.Print_Area" localSheetId="17">结果表!$A$1:$I$127</definedName>
    <definedName name="_xlnm.Print_Area" localSheetId="20">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4" i="82" l="1"/>
  <c r="C14" i="74"/>
  <c r="B14" i="74"/>
  <c r="D3" i="82" l="1"/>
  <c r="D5" i="82"/>
  <c r="B18" i="82"/>
  <c r="D18" i="82" s="1"/>
  <c r="F18" i="82" s="1"/>
  <c r="H17" i="82"/>
  <c r="B17" i="82"/>
  <c r="D17" i="82" s="1"/>
  <c r="F17" i="82" s="1"/>
  <c r="H16" i="82"/>
  <c r="B16" i="82"/>
  <c r="D16" i="82" s="1"/>
  <c r="F16" i="82" s="1"/>
  <c r="H15" i="82"/>
  <c r="B15" i="82"/>
  <c r="D15" i="82" s="1"/>
  <c r="F15" i="82" s="1"/>
  <c r="H14" i="82"/>
  <c r="B14" i="82"/>
  <c r="D14" i="82" s="1"/>
  <c r="F14" i="82" s="1"/>
  <c r="H13" i="82"/>
  <c r="B13" i="82"/>
  <c r="D13" i="82" s="1"/>
  <c r="F13" i="82" s="1"/>
  <c r="H12" i="82"/>
  <c r="B12" i="82"/>
  <c r="D12" i="82" s="1"/>
  <c r="F12" i="82" s="1"/>
  <c r="H11" i="82"/>
  <c r="B11" i="82"/>
  <c r="D11" i="82" s="1"/>
  <c r="F11" i="82" s="1"/>
  <c r="H10" i="82"/>
  <c r="B10" i="82"/>
  <c r="D10" i="82" s="1"/>
  <c r="F10" i="82" s="1"/>
  <c r="H9" i="82"/>
  <c r="B9" i="82"/>
  <c r="D9" i="82" s="1"/>
  <c r="F9" i="82" s="1"/>
  <c r="B8" i="82"/>
  <c r="D8" i="82" s="1"/>
  <c r="B7" i="82"/>
  <c r="D7" i="82" s="1"/>
  <c r="B6" i="82"/>
  <c r="D6" i="82" s="1"/>
  <c r="E5" i="82"/>
  <c r="H4" i="82"/>
  <c r="I15" i="80"/>
  <c r="G15" i="80"/>
  <c r="G13" i="80"/>
  <c r="E13" i="80"/>
  <c r="C7" i="80"/>
  <c r="L6" i="1" s="1"/>
  <c r="N19" i="1"/>
  <c r="N21" i="1" s="1"/>
  <c r="N6" i="1" s="1"/>
  <c r="Y6" i="1" s="1"/>
  <c r="J49" i="15"/>
  <c r="D33" i="43"/>
  <c r="B59" i="1"/>
  <c r="B21" i="1"/>
  <c r="F19" i="6"/>
  <c r="I28" i="80"/>
  <c r="B7" i="80"/>
  <c r="D6" i="80"/>
  <c r="D5" i="80"/>
  <c r="D4" i="80"/>
  <c r="D3" i="80"/>
  <c r="D2" i="80"/>
  <c r="D7" i="80" s="1"/>
  <c r="F16" i="4"/>
  <c r="D3" i="4"/>
  <c r="I12" i="79"/>
  <c r="E6" i="82" l="1"/>
  <c r="F6" i="82" s="1"/>
  <c r="D19" i="82"/>
  <c r="D4" i="82"/>
  <c r="F4" i="82" s="1"/>
  <c r="F5" i="82"/>
  <c r="E7" i="82"/>
  <c r="F7" i="82" s="1"/>
  <c r="H5" i="82"/>
  <c r="E15" i="80"/>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E8" i="82" l="1"/>
  <c r="F8" i="82" s="1"/>
  <c r="H6"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E19" i="82" l="1"/>
  <c r="F20" i="82" s="1"/>
  <c r="H8" i="82"/>
  <c r="H7" i="82"/>
  <c r="J16" i="82" s="1"/>
  <c r="K16" i="82" s="1"/>
  <c r="AD33" i="79"/>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T40" i="79"/>
  <c r="S48" i="79"/>
  <c r="AG48" i="79" s="1"/>
  <c r="U50" i="79"/>
  <c r="AI50" i="79" s="1"/>
  <c r="AD51" i="79"/>
  <c r="AR40" i="79"/>
  <c r="AR41" i="79" s="1"/>
  <c r="AR42" i="79" s="1"/>
  <c r="AR43" i="79" s="1"/>
  <c r="AR44" i="79" s="1"/>
  <c r="AR45" i="79" s="1"/>
  <c r="AR46" i="79" s="1"/>
  <c r="AR47" i="79" s="1"/>
  <c r="AR48" i="79" s="1"/>
  <c r="AR49" i="79" s="1"/>
  <c r="AR50" i="79" s="1"/>
  <c r="AR51" i="79" s="1"/>
  <c r="AR52" i="79" s="1"/>
  <c r="AD38" i="79"/>
  <c r="AD36" i="79"/>
  <c r="AD37" i="79"/>
  <c r="Z3" i="79"/>
  <c r="U46" i="79"/>
  <c r="AI46" i="79" s="1"/>
  <c r="AR18" i="79"/>
  <c r="AR19" i="79" s="1"/>
  <c r="AR20" i="79" s="1"/>
  <c r="AR21" i="79" s="1"/>
  <c r="AR22" i="79" s="1"/>
  <c r="AR23" i="79" s="1"/>
  <c r="AR24" i="79" s="1"/>
  <c r="T33" i="79"/>
  <c r="T34" i="79"/>
  <c r="T35" i="79"/>
  <c r="W22" i="79"/>
  <c r="AK22" i="79" s="1"/>
  <c r="AH22" i="79"/>
  <c r="AA31" i="79"/>
  <c r="AD31" i="79" s="1"/>
  <c r="AD47"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O38" i="71"/>
  <c r="N38" i="71"/>
  <c r="X36" i="71" s="1"/>
  <c r="Q37" i="71"/>
  <c r="AB37" i="71" s="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F31" i="71" s="1"/>
  <c r="F32" i="71" s="1"/>
  <c r="V32" i="71" s="1"/>
  <c r="P29" i="71"/>
  <c r="O29" i="71"/>
  <c r="N29" i="71"/>
  <c r="X25" i="71" s="1"/>
  <c r="D29" i="71"/>
  <c r="O28" i="71"/>
  <c r="Y26" i="71" s="1"/>
  <c r="Z26" i="71" s="1"/>
  <c r="N28" i="71"/>
  <c r="B30" i="71"/>
  <c r="B31" i="71"/>
  <c r="B32" i="71" s="1"/>
  <c r="S32" i="71" s="1"/>
  <c r="E30" i="71"/>
  <c r="E31" i="71" s="1"/>
  <c r="E32" i="71" s="1"/>
  <c r="U32" i="71" s="1"/>
  <c r="B34" i="71"/>
  <c r="B35" i="71" s="1"/>
  <c r="B36" i="71"/>
  <c r="S36" i="71" s="1"/>
  <c r="B39" i="71"/>
  <c r="B40" i="71" s="1"/>
  <c r="S40" i="71" s="1"/>
  <c r="E38" i="71"/>
  <c r="E39" i="71"/>
  <c r="E40" i="71"/>
  <c r="U40" i="71" s="1"/>
  <c r="N68" i="71"/>
  <c r="E34" i="71"/>
  <c r="C30" i="71"/>
  <c r="X31" i="71"/>
  <c r="X34" i="71"/>
  <c r="C38" i="71"/>
  <c r="D38" i="71" s="1"/>
  <c r="AA38" i="71"/>
  <c r="Y27" i="71"/>
  <c r="Z27" i="71" s="1"/>
  <c r="B28" i="71"/>
  <c r="B27" i="71" s="1"/>
  <c r="B26" i="71"/>
  <c r="X26" i="71"/>
  <c r="D30" i="71"/>
  <c r="C43" i="71"/>
  <c r="C44" i="71" s="1"/>
  <c r="C47" i="71"/>
  <c r="D47" i="71"/>
  <c r="P28" i="71"/>
  <c r="E28" i="71" s="1"/>
  <c r="E59" i="71"/>
  <c r="E60" i="71"/>
  <c r="U60" i="71" s="1"/>
  <c r="U68" i="71"/>
  <c r="E67" i="71"/>
  <c r="Q28" i="71"/>
  <c r="D58" i="71"/>
  <c r="C63" i="71"/>
  <c r="C64" i="71" s="1"/>
  <c r="D62" i="71"/>
  <c r="B66" i="71"/>
  <c r="N65" i="71" s="1"/>
  <c r="T68" i="71"/>
  <c r="D68" i="71"/>
  <c r="C67" i="71"/>
  <c r="D67" i="71" s="1"/>
  <c r="Q68" i="71"/>
  <c r="E71" i="71"/>
  <c r="E70" i="71" s="1"/>
  <c r="D72" i="71"/>
  <c r="C75" i="71"/>
  <c r="E75" i="71"/>
  <c r="E74" i="71" s="1"/>
  <c r="D76" i="71"/>
  <c r="E79" i="71"/>
  <c r="E78" i="71" s="1"/>
  <c r="D80" i="71"/>
  <c r="C87" i="71"/>
  <c r="C86" i="71" s="1"/>
  <c r="D86" i="71" s="1"/>
  <c r="F28" i="71"/>
  <c r="F27" i="71" s="1"/>
  <c r="F26" i="71" s="1"/>
  <c r="AB27" i="71"/>
  <c r="AB28" i="71"/>
  <c r="AA3" i="71"/>
  <c r="O67" i="71"/>
  <c r="D63" i="71"/>
  <c r="D75" i="71"/>
  <c r="C74" i="71"/>
  <c r="D74" i="71" s="1"/>
  <c r="N66" i="71"/>
  <c r="D87"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 i="12"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5" i="3" s="1"/>
  <c r="BR17" i="3"/>
  <c r="BT13" i="3"/>
  <c r="BT14" i="3"/>
  <c r="BT15" i="3"/>
  <c r="BT5" i="3" s="1"/>
  <c r="BT16" i="3"/>
  <c r="BT17" i="3"/>
  <c r="BM14" i="3"/>
  <c r="BM15" i="3"/>
  <c r="BM5" i="3" s="1"/>
  <c r="BM16" i="3"/>
  <c r="BM17" i="3"/>
  <c r="BO13" i="3"/>
  <c r="BO14" i="3"/>
  <c r="BO5" i="3" s="1"/>
  <c r="BO15" i="3"/>
  <c r="BO16" i="3"/>
  <c r="BO17" i="3"/>
  <c r="BN13" i="3"/>
  <c r="BN14" i="3"/>
  <c r="BN15" i="3"/>
  <c r="BN16" i="3"/>
  <c r="BN17" i="3"/>
  <c r="BN5" i="3" s="1"/>
  <c r="BP13" i="3"/>
  <c r="BP14" i="3"/>
  <c r="BP15" i="3"/>
  <c r="BP16" i="3"/>
  <c r="BP5" i="3" s="1"/>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A14" i="3" s="1"/>
  <c r="AZ14" i="3" s="1"/>
  <c r="BE14" i="3"/>
  <c r="BF14" i="3"/>
  <c r="BG14" i="3"/>
  <c r="BH14" i="3"/>
  <c r="BH5" i="3" s="1"/>
  <c r="BI14" i="3"/>
  <c r="BJ14" i="3"/>
  <c r="BK14" i="3"/>
  <c r="BB15" i="3"/>
  <c r="BA15" i="3" s="1"/>
  <c r="BC15" i="3"/>
  <c r="BD15" i="3"/>
  <c r="BE15" i="3"/>
  <c r="BF15" i="3"/>
  <c r="BF5" i="3" s="1"/>
  <c r="BG15" i="3"/>
  <c r="BH15" i="3"/>
  <c r="BI15" i="3"/>
  <c r="BJ15" i="3"/>
  <c r="BK15" i="3"/>
  <c r="BK5" i="3" s="1"/>
  <c r="BB16" i="3"/>
  <c r="BC16" i="3"/>
  <c r="BD16" i="3"/>
  <c r="BE16" i="3"/>
  <c r="BF16" i="3"/>
  <c r="BG16" i="3"/>
  <c r="BH16" i="3"/>
  <c r="BI16" i="3"/>
  <c r="BJ16" i="3"/>
  <c r="BK16" i="3"/>
  <c r="BB17" i="3"/>
  <c r="BA17" i="3" s="1"/>
  <c r="AZ17" i="3" s="1"/>
  <c r="BC17" i="3"/>
  <c r="BC5" i="3" s="1"/>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H26" i="37" s="1"/>
  <c r="D79" i="37"/>
  <c r="E79" i="37" s="1"/>
  <c r="D75" i="37"/>
  <c r="E75" i="37"/>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F25" i="35" s="1"/>
  <c r="S25" i="35" s="1"/>
  <c r="B75" i="35"/>
  <c r="J24" i="35" s="1"/>
  <c r="AC24" i="35" s="1"/>
  <c r="B73" i="35"/>
  <c r="J23" i="35" s="1"/>
  <c r="AC23" i="35" s="1"/>
  <c r="H23" i="35"/>
  <c r="U23" i="35" s="1"/>
  <c r="B57" i="35"/>
  <c r="J11" i="35" s="1"/>
  <c r="W11" i="35" s="1"/>
  <c r="B61" i="35"/>
  <c r="B59" i="35"/>
  <c r="B131" i="34"/>
  <c r="B129" i="34"/>
  <c r="B127" i="34"/>
  <c r="B99" i="34"/>
  <c r="B97" i="34"/>
  <c r="B95" i="34"/>
  <c r="H30" i="34" s="1"/>
  <c r="B93" i="34"/>
  <c r="B75" i="34"/>
  <c r="B73" i="34"/>
  <c r="B71" i="34"/>
  <c r="B130" i="33"/>
  <c r="B128" i="33"/>
  <c r="B126" i="33"/>
  <c r="B98" i="33"/>
  <c r="B96" i="33"/>
  <c r="B94" i="33"/>
  <c r="B74" i="33"/>
  <c r="B72" i="33"/>
  <c r="H13" i="33" s="1"/>
  <c r="U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c r="J9" i="34"/>
  <c r="AC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S41" i="21"/>
  <c r="AA41" i="21"/>
  <c r="F45" i="39"/>
  <c r="S45" i="39" s="1"/>
  <c r="J45" i="39"/>
  <c r="W45" i="39" s="1"/>
  <c r="J44" i="39"/>
  <c r="AC44" i="39" s="1"/>
  <c r="F36" i="39"/>
  <c r="S36" i="39" s="1"/>
  <c r="H36" i="39"/>
  <c r="AB36" i="39"/>
  <c r="J35" i="39"/>
  <c r="AC35" i="39" s="1"/>
  <c r="F35" i="39"/>
  <c r="AA35" i="39"/>
  <c r="J36" i="39"/>
  <c r="AC36" i="39" s="1"/>
  <c r="U9" i="39"/>
  <c r="W40" i="39"/>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W9" i="34"/>
  <c r="U34" i="34"/>
  <c r="H39" i="33"/>
  <c r="AB39" i="33"/>
  <c r="F26" i="33"/>
  <c r="AA26" i="33" s="1"/>
  <c r="U33" i="33"/>
  <c r="U35" i="33"/>
  <c r="S40" i="33"/>
  <c r="W39" i="33"/>
  <c r="H39" i="37"/>
  <c r="AB39" i="37"/>
  <c r="S27" i="35"/>
  <c r="F11" i="40"/>
  <c r="AA11" i="40"/>
  <c r="H11" i="40"/>
  <c r="AB11" i="40" s="1"/>
  <c r="W8" i="40"/>
  <c r="AB39" i="40"/>
  <c r="AA9" i="40"/>
  <c r="U9" i="40"/>
  <c r="S34"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B12" i="35"/>
  <c r="AB12" i="36"/>
  <c r="W32" i="40"/>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s="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AB26" i="33" s="1"/>
  <c r="F28" i="33"/>
  <c r="AA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F13" i="33"/>
  <c r="S13" i="33"/>
  <c r="J29" i="33"/>
  <c r="H29" i="33"/>
  <c r="U29" i="33"/>
  <c r="F29" i="33"/>
  <c r="S29" i="33" s="1"/>
  <c r="J31" i="33"/>
  <c r="H31" i="33"/>
  <c r="F31" i="33"/>
  <c r="H45" i="33"/>
  <c r="J45" i="33"/>
  <c r="W45" i="33" s="1"/>
  <c r="F45" i="33"/>
  <c r="AA45" i="33" s="1"/>
  <c r="J14" i="34"/>
  <c r="W14" i="34" s="1"/>
  <c r="F14" i="34"/>
  <c r="S14" i="34"/>
  <c r="H14" i="34"/>
  <c r="F30" i="34"/>
  <c r="S30" i="34" s="1"/>
  <c r="J30" i="34"/>
  <c r="H32"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H13" i="36"/>
  <c r="AB13" i="36" s="1"/>
  <c r="J13" i="36"/>
  <c r="F13" i="36"/>
  <c r="S13" i="36"/>
  <c r="J29" i="37"/>
  <c r="W29" i="37" s="1"/>
  <c r="F29" i="37"/>
  <c r="S29" i="37"/>
  <c r="F105" i="37"/>
  <c r="G105" i="37" s="1"/>
  <c r="H36" i="37"/>
  <c r="AB36" i="37" s="1"/>
  <c r="F107" i="37"/>
  <c r="J37" i="37"/>
  <c r="AC37" i="37" s="1"/>
  <c r="H37" i="37"/>
  <c r="U37" i="37" s="1"/>
  <c r="H40" i="37"/>
  <c r="U40" i="37" s="1"/>
  <c r="J40" i="37"/>
  <c r="W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U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s="1"/>
  <c r="H25" i="35"/>
  <c r="AB25" i="35" s="1"/>
  <c r="J35" i="35"/>
  <c r="AC35" i="35" s="1"/>
  <c r="F35" i="35"/>
  <c r="AA35" i="35"/>
  <c r="H35" i="35"/>
  <c r="J25" i="36"/>
  <c r="W25" i="36" s="1"/>
  <c r="F25" i="36"/>
  <c r="S25" i="36" s="1"/>
  <c r="H25" i="36"/>
  <c r="AB25" i="36" s="1"/>
  <c r="F13" i="37"/>
  <c r="S13" i="37" s="1"/>
  <c r="J13" i="37"/>
  <c r="W13" i="37" s="1"/>
  <c r="F28" i="37"/>
  <c r="AA28" i="37" s="1"/>
  <c r="J28" i="37"/>
  <c r="AC28" i="37" s="1"/>
  <c r="H28" i="37"/>
  <c r="AB38" i="37"/>
  <c r="J38" i="37"/>
  <c r="AC38" i="37" s="1"/>
  <c r="F38" i="37"/>
  <c r="S38" i="37" s="1"/>
  <c r="F43" i="39"/>
  <c r="AA43" i="39" s="1"/>
  <c r="H43" i="39"/>
  <c r="J14" i="39"/>
  <c r="AC14" i="39" s="1"/>
  <c r="H14" i="39"/>
  <c r="AB14" i="39"/>
  <c r="F12" i="40"/>
  <c r="S12" i="40" s="1"/>
  <c r="H12" i="40"/>
  <c r="AB12" i="40" s="1"/>
  <c r="H30" i="40"/>
  <c r="AB30" i="40" s="1"/>
  <c r="F33" i="40"/>
  <c r="AA33" i="40"/>
  <c r="H33" i="40"/>
  <c r="U33" i="40" s="1"/>
  <c r="J35" i="40"/>
  <c r="AC35" i="40" s="1"/>
  <c r="J37" i="40"/>
  <c r="AC37" i="40" s="1"/>
  <c r="H13" i="40"/>
  <c r="U13" i="40"/>
  <c r="J13" i="40"/>
  <c r="W13" i="40" s="1"/>
  <c r="F13" i="40"/>
  <c r="AA13" i="40" s="1"/>
  <c r="F14" i="37"/>
  <c r="S14" i="37" s="1"/>
  <c r="F27" i="37"/>
  <c r="AA27" i="37"/>
  <c r="F13" i="39"/>
  <c r="J13" i="39"/>
  <c r="W13" i="39" s="1"/>
  <c r="H13" i="39"/>
  <c r="H14" i="40"/>
  <c r="AB14" i="40" s="1"/>
  <c r="J14" i="40"/>
  <c r="W14" i="40" s="1"/>
  <c r="F14" i="40"/>
  <c r="AA14" i="40"/>
  <c r="J14" i="37"/>
  <c r="J27" i="37"/>
  <c r="AC27" i="37"/>
  <c r="AA44" i="33"/>
  <c r="AA14" i="33"/>
  <c r="J36" i="37"/>
  <c r="AC36" i="37"/>
  <c r="J10" i="36"/>
  <c r="AC10" i="36" s="1"/>
  <c r="W31" i="34"/>
  <c r="AA14" i="34"/>
  <c r="AC28" i="21"/>
  <c r="S44" i="34"/>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AZ502" i="3" s="1"/>
  <c r="BL498" i="3"/>
  <c r="BL494" i="3"/>
  <c r="BL582" i="3"/>
  <c r="BL578" i="3"/>
  <c r="BL574" i="3"/>
  <c r="BL570" i="3"/>
  <c r="BL566" i="3"/>
  <c r="BL562"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BA568" i="3"/>
  <c r="AZ568" i="3" s="1"/>
  <c r="BA566" i="3"/>
  <c r="AZ566" i="3" s="1"/>
  <c r="BA562" i="3"/>
  <c r="BA560" i="3"/>
  <c r="BA558" i="3"/>
  <c r="BA556" i="3"/>
  <c r="BA554" i="3"/>
  <c r="AZ554" i="3" s="1"/>
  <c r="BA552" i="3"/>
  <c r="AZ552" i="3" s="1"/>
  <c r="BA548" i="3"/>
  <c r="BA546" i="3"/>
  <c r="BA544" i="3"/>
  <c r="AZ544" i="3" s="1"/>
  <c r="BA542" i="3"/>
  <c r="AZ542" i="3" s="1"/>
  <c r="BA540" i="3"/>
  <c r="BA538" i="3"/>
  <c r="AZ538" i="3" s="1"/>
  <c r="BA536" i="3"/>
  <c r="AZ536" i="3"/>
  <c r="BA534" i="3"/>
  <c r="AZ534" i="3" s="1"/>
  <c r="BA532" i="3"/>
  <c r="BA530" i="3"/>
  <c r="BA528" i="3"/>
  <c r="AZ528" i="3" s="1"/>
  <c r="BA526" i="3"/>
  <c r="BA524" i="3"/>
  <c r="BA522" i="3"/>
  <c r="BA520" i="3"/>
  <c r="BA518" i="3"/>
  <c r="BA516" i="3"/>
  <c r="AZ516" i="3" s="1"/>
  <c r="BA514" i="3"/>
  <c r="BA512" i="3"/>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Q563" i="3"/>
  <c r="BL563" i="3" s="1"/>
  <c r="AZ563" i="3" s="1"/>
  <c r="BQ561" i="3"/>
  <c r="BL561" i="3"/>
  <c r="BQ559" i="3"/>
  <c r="BL559" i="3" s="1"/>
  <c r="AZ559" i="3" s="1"/>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L537" i="3" s="1"/>
  <c r="BQ535" i="3"/>
  <c r="BL535" i="3" s="1"/>
  <c r="AZ535" i="3" s="1"/>
  <c r="BQ533" i="3"/>
  <c r="BL533" i="3"/>
  <c r="AZ533" i="3" s="1"/>
  <c r="BQ531" i="3"/>
  <c r="BL531" i="3" s="1"/>
  <c r="AZ531" i="3" s="1"/>
  <c r="BQ529" i="3"/>
  <c r="BL529" i="3" s="1"/>
  <c r="BQ527" i="3"/>
  <c r="BL527" i="3" s="1"/>
  <c r="AZ527" i="3"/>
  <c r="BQ525" i="3"/>
  <c r="BL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AZ503" i="3"/>
  <c r="BQ501" i="3"/>
  <c r="BL501" i="3" s="1"/>
  <c r="BQ499" i="3"/>
  <c r="BL499" i="3" s="1"/>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s="1"/>
  <c r="F32" i="40"/>
  <c r="S32" i="40" s="1"/>
  <c r="H32" i="40"/>
  <c r="AB32" i="40"/>
  <c r="J36" i="40"/>
  <c r="W36" i="40" s="1"/>
  <c r="H19" i="37"/>
  <c r="AB19" i="37" s="1"/>
  <c r="H42" i="33"/>
  <c r="AB42" i="33" s="1"/>
  <c r="J43" i="33"/>
  <c r="AC43" i="33"/>
  <c r="S28" i="31"/>
  <c r="S27" i="31"/>
  <c r="S26" i="31"/>
  <c r="U14" i="40"/>
  <c r="W23" i="35"/>
  <c r="U39"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c r="BL164" i="3"/>
  <c r="AZ164" i="3" s="1"/>
  <c r="G165" i="3"/>
  <c r="BA167" i="3"/>
  <c r="BL168" i="3"/>
  <c r="AZ168" i="3" s="1"/>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47" i="3"/>
  <c r="AZ55" i="3"/>
  <c r="AZ67" i="3"/>
  <c r="AZ144" i="3"/>
  <c r="AZ176" i="3"/>
  <c r="AZ120" i="3"/>
  <c r="G534" i="3"/>
  <c r="G530" i="3"/>
  <c r="G522" i="3"/>
  <c r="G516" i="3"/>
  <c r="G512" i="3"/>
  <c r="G506" i="3"/>
  <c r="G498" i="3"/>
  <c r="G494"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6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G346" i="3"/>
  <c r="BL349" i="3"/>
  <c r="AZ349" i="3" s="1"/>
  <c r="BL352" i="3"/>
  <c r="G353" i="3"/>
  <c r="BA357" i="3"/>
  <c r="AZ357" i="3" s="1"/>
  <c r="BL358" i="3"/>
  <c r="G359" i="3"/>
  <c r="BA361" i="3"/>
  <c r="AZ361" i="3" s="1"/>
  <c r="BL362" i="3"/>
  <c r="AZ362" i="3" s="1"/>
  <c r="G363" i="3"/>
  <c r="BA365" i="3"/>
  <c r="AZ365" i="3" s="1"/>
  <c r="BL366" i="3"/>
  <c r="G367" i="3"/>
  <c r="BA369" i="3"/>
  <c r="AZ369" i="3" s="1"/>
  <c r="BL370" i="3"/>
  <c r="G371" i="3"/>
  <c r="BA373" i="3"/>
  <c r="AZ373" i="3" s="1"/>
  <c r="BL374" i="3"/>
  <c r="G375" i="3"/>
  <c r="BA377" i="3"/>
  <c r="AZ377" i="3" s="1"/>
  <c r="AZ237" i="3"/>
  <c r="AZ245" i="3"/>
  <c r="AZ265" i="3"/>
  <c r="BA379" i="3"/>
  <c r="AZ379" i="3" s="1"/>
  <c r="BL380" i="3"/>
  <c r="G381" i="3"/>
  <c r="BA383" i="3"/>
  <c r="AZ383" i="3" s="1"/>
  <c r="BL384" i="3"/>
  <c r="G385" i="3"/>
  <c r="BA387" i="3"/>
  <c r="BL388" i="3"/>
  <c r="G389" i="3"/>
  <c r="BA391" i="3"/>
  <c r="BL392" i="3"/>
  <c r="AZ392" i="3" s="1"/>
  <c r="G393" i="3"/>
  <c r="AZ283" i="3"/>
  <c r="BJ5" i="3"/>
  <c r="AZ341" i="3"/>
  <c r="AC5" i="3"/>
  <c r="AZ506" i="3"/>
  <c r="AZ496" i="3"/>
  <c r="G548" i="3"/>
  <c r="G538" i="3"/>
  <c r="G520" i="3"/>
  <c r="G502" i="3"/>
  <c r="BS5" i="3"/>
  <c r="BI5" i="3"/>
  <c r="BG5" i="3"/>
  <c r="BE5" i="3"/>
  <c r="G17" i="3"/>
  <c r="BB5" i="3"/>
  <c r="AZ380" i="3"/>
  <c r="AZ509" i="3"/>
  <c r="G509" i="3"/>
  <c r="BL493" i="3"/>
  <c r="AZ493" i="3"/>
  <c r="U36" i="40"/>
  <c r="F83" i="43"/>
  <c r="H85" i="43" s="1"/>
  <c r="F50" i="43"/>
  <c r="H54" i="43" s="1"/>
  <c r="F72" i="43"/>
  <c r="H75" i="43" s="1"/>
  <c r="U17" i="39"/>
  <c r="S14" i="35"/>
  <c r="U43" i="21"/>
  <c r="U35" i="21"/>
  <c r="AC35" i="21"/>
  <c r="AZ501" i="3"/>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40" i="3"/>
  <c r="AZ280" i="3"/>
  <c r="AZ72" i="3"/>
  <c r="AZ82" i="3"/>
  <c r="F23" i="39"/>
  <c r="AA23" i="39"/>
  <c r="H27" i="36"/>
  <c r="U27" i="36" s="1"/>
  <c r="F27" i="36"/>
  <c r="AA27" i="36" s="1"/>
  <c r="H33" i="34"/>
  <c r="U33" i="34"/>
  <c r="F32" i="37"/>
  <c r="AA32" i="37"/>
  <c r="F20" i="36"/>
  <c r="AA20" i="36" s="1"/>
  <c r="J33" i="34"/>
  <c r="AC33" i="34" s="1"/>
  <c r="H23" i="39"/>
  <c r="U23" i="39" s="1"/>
  <c r="D48" i="9"/>
  <c r="M52" i="9" s="1"/>
  <c r="K9" i="1"/>
  <c r="M9" i="1" s="1"/>
  <c r="AC26" i="33"/>
  <c r="W26" i="33"/>
  <c r="W27" i="34"/>
  <c r="AC27" i="34"/>
  <c r="AB34" i="36"/>
  <c r="U34" i="36"/>
  <c r="AB33" i="36"/>
  <c r="U33" i="36"/>
  <c r="AC12" i="39"/>
  <c r="W12" i="39"/>
  <c r="AC39" i="40"/>
  <c r="W39" i="40"/>
  <c r="W12" i="33"/>
  <c r="AC12" i="33"/>
  <c r="AA32" i="36"/>
  <c r="S32" i="36"/>
  <c r="AZ437" i="3"/>
  <c r="BL14" i="3"/>
  <c r="U30" i="33"/>
  <c r="AC13" i="34"/>
  <c r="AA47" i="34"/>
  <c r="W28" i="37"/>
  <c r="S19" i="39"/>
  <c r="F12" i="33"/>
  <c r="H12" i="39"/>
  <c r="AB12" i="39" s="1"/>
  <c r="F39" i="40"/>
  <c r="AZ367" i="3"/>
  <c r="AZ224" i="3"/>
  <c r="AZ189" i="3"/>
  <c r="B12" i="1"/>
  <c r="E12" i="1" s="1"/>
  <c r="B10" i="1"/>
  <c r="E10" i="1" s="1"/>
  <c r="K12" i="1"/>
  <c r="M12" i="1" s="1"/>
  <c r="S13" i="1"/>
  <c r="AR13" i="1" s="1"/>
  <c r="R13" i="1"/>
  <c r="J51" i="67"/>
  <c r="C42" i="1"/>
  <c r="C24" i="12" s="1"/>
  <c r="AA34" i="33"/>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M20" i="67"/>
  <c r="G13" i="3"/>
  <c r="BA13" i="3"/>
  <c r="BL17" i="3"/>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AC17" i="37"/>
  <c r="S17" i="37"/>
  <c r="J19" i="37"/>
  <c r="W19" i="37" s="1"/>
  <c r="AA23"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C27" i="33" s="1"/>
  <c r="S25" i="33"/>
  <c r="AA25" i="33"/>
  <c r="J25" i="33"/>
  <c r="AC25" i="33" s="1"/>
  <c r="F23" i="33"/>
  <c r="G85" i="33"/>
  <c r="H19" i="33"/>
  <c r="AB19" i="33" s="1"/>
  <c r="G81" i="33"/>
  <c r="H17" i="33"/>
  <c r="U17" i="33" s="1"/>
  <c r="F17" i="33"/>
  <c r="S17" i="33" s="1"/>
  <c r="S37" i="21"/>
  <c r="AB15" i="21"/>
  <c r="J23" i="21"/>
  <c r="AC23" i="21" s="1"/>
  <c r="F85" i="21"/>
  <c r="G85" i="21" s="1"/>
  <c r="H23" i="21"/>
  <c r="S13" i="21"/>
  <c r="D6" i="52"/>
  <c r="AP7" i="1"/>
  <c r="AA32" i="21"/>
  <c r="W9" i="21"/>
  <c r="AC9" i="21"/>
  <c r="AB32" i="21"/>
  <c r="U32" i="39"/>
  <c r="AC32" i="39"/>
  <c r="J11" i="37"/>
  <c r="AC11" i="37" s="1"/>
  <c r="J11" i="34"/>
  <c r="W11" i="34" s="1"/>
  <c r="W25" i="33"/>
  <c r="U19" i="33"/>
  <c r="AA17" i="33"/>
  <c r="U23" i="21"/>
  <c r="AB23" i="21"/>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8" i="67"/>
  <c r="F3" i="73"/>
  <c r="F6" i="67"/>
  <c r="M9" i="67"/>
  <c r="E10" i="76"/>
  <c r="B11" i="76"/>
  <c r="AO13" i="1"/>
  <c r="F4" i="73"/>
  <c r="F7" i="73"/>
  <c r="F20" i="31"/>
  <c r="E12" i="76"/>
  <c r="L47" i="67"/>
  <c r="F5" i="73"/>
  <c r="M6" i="67"/>
  <c r="E7" i="76"/>
  <c r="M22" i="67"/>
  <c r="F6" i="73"/>
  <c r="F37" i="67"/>
  <c r="F13" i="67"/>
  <c r="F43" i="67"/>
  <c r="D6" i="73"/>
  <c r="M29" i="67"/>
  <c r="F38" i="67"/>
  <c r="C76" i="67"/>
  <c r="E9" i="76"/>
  <c r="B10" i="76"/>
  <c r="F8" i="67"/>
  <c r="F26" i="67"/>
  <c r="E8" i="76"/>
  <c r="M26" i="67"/>
  <c r="B7" i="76"/>
  <c r="B12" i="76"/>
  <c r="E2" i="68"/>
  <c r="J15" i="67"/>
  <c r="F42" i="67"/>
  <c r="E13" i="76"/>
  <c r="F16" i="67"/>
  <c r="B8" i="76"/>
  <c r="M28" i="67"/>
  <c r="M23" i="67"/>
  <c r="M24" i="67"/>
  <c r="B13" i="76"/>
  <c r="E2" i="69"/>
  <c r="E11" i="76"/>
  <c r="F9" i="67"/>
  <c r="B9" i="76"/>
  <c r="L48" i="67"/>
  <c r="B41" i="1" l="1"/>
  <c r="F48" i="9" s="1"/>
  <c r="O52" i="9" s="1"/>
  <c r="D93" i="9"/>
  <c r="F34" i="67"/>
  <c r="F62" i="67" s="1"/>
  <c r="F34" i="15"/>
  <c r="F62" i="15" s="1"/>
  <c r="F30" i="69"/>
  <c r="F48" i="69" s="1"/>
  <c r="F28" i="67"/>
  <c r="C28" i="67" s="1"/>
  <c r="M18" i="15"/>
  <c r="F31" i="12"/>
  <c r="D68" i="9"/>
  <c r="F32" i="67"/>
  <c r="F60" i="67" s="1"/>
  <c r="F30" i="11"/>
  <c r="C48" i="11" s="1"/>
  <c r="F28" i="15"/>
  <c r="C28" i="15" s="1"/>
  <c r="M18" i="67"/>
  <c r="C40" i="69"/>
  <c r="C21" i="68"/>
  <c r="G1" i="15"/>
  <c r="B6" i="1"/>
  <c r="E6" i="1" s="1"/>
  <c r="G1" i="69"/>
  <c r="K6" i="1"/>
  <c r="AP6" i="1" s="1"/>
  <c r="H5" i="3"/>
  <c r="BD5" i="3"/>
  <c r="G29" i="6"/>
  <c r="A15" i="62"/>
  <c r="B61" i="72" s="1"/>
  <c r="AZ571" i="3"/>
  <c r="AZ579" i="3"/>
  <c r="AA11" i="36"/>
  <c r="S11" i="36"/>
  <c r="BA585" i="3"/>
  <c r="AZ585" i="3" s="1"/>
  <c r="AA42" i="21"/>
  <c r="S42" i="21"/>
  <c r="AC33" i="33"/>
  <c r="W33" i="33"/>
  <c r="F28" i="34"/>
  <c r="J28" i="34"/>
  <c r="AB26" i="37"/>
  <c r="U26" i="37"/>
  <c r="AB38" i="40"/>
  <c r="U38" i="40"/>
  <c r="BA565" i="3"/>
  <c r="BA564" i="3"/>
  <c r="AZ564" i="3" s="1"/>
  <c r="BL556" i="3"/>
  <c r="AZ556" i="3" s="1"/>
  <c r="S36" i="33"/>
  <c r="W33" i="34"/>
  <c r="AA40" i="34"/>
  <c r="S23" i="21"/>
  <c r="W15" i="21"/>
  <c r="S30" i="40"/>
  <c r="S15" i="37"/>
  <c r="AZ345" i="3"/>
  <c r="AZ372" i="3"/>
  <c r="AZ337" i="3"/>
  <c r="AZ376" i="3"/>
  <c r="AZ309" i="3"/>
  <c r="AC12" i="37"/>
  <c r="AZ515" i="3"/>
  <c r="AZ512" i="3"/>
  <c r="AZ520" i="3"/>
  <c r="S45" i="33"/>
  <c r="AA14" i="37"/>
  <c r="AB46" i="33"/>
  <c r="W31" i="33"/>
  <c r="AC31" i="33"/>
  <c r="U17" i="34"/>
  <c r="AB17" i="34"/>
  <c r="AC40" i="33"/>
  <c r="W40" i="33"/>
  <c r="AC17" i="33"/>
  <c r="W27" i="33"/>
  <c r="W23" i="37"/>
  <c r="AB9" i="21"/>
  <c r="AA19" i="37"/>
  <c r="W17" i="21"/>
  <c r="AB34" i="33"/>
  <c r="U12" i="39"/>
  <c r="AA27" i="40"/>
  <c r="AB27" i="40"/>
  <c r="AZ387" i="3"/>
  <c r="AZ374" i="3"/>
  <c r="AZ338" i="3"/>
  <c r="AZ371" i="3"/>
  <c r="AZ305" i="3"/>
  <c r="AZ360" i="3"/>
  <c r="AZ541" i="3"/>
  <c r="AZ575" i="3"/>
  <c r="AZ558" i="3"/>
  <c r="AZ576" i="3"/>
  <c r="AB30" i="21"/>
  <c r="U45" i="33"/>
  <c r="AB45" i="33"/>
  <c r="AB23" i="34"/>
  <c r="S29" i="35"/>
  <c r="AA29" i="35"/>
  <c r="AB34" i="35"/>
  <c r="U34" i="35"/>
  <c r="AC25" i="37"/>
  <c r="W25" i="37"/>
  <c r="U41" i="21"/>
  <c r="AB41" i="21"/>
  <c r="U23" i="33"/>
  <c r="AB25" i="33"/>
  <c r="AB36" i="33"/>
  <c r="AB45" i="21"/>
  <c r="AA19" i="33"/>
  <c r="F54" i="9"/>
  <c r="F32" i="15"/>
  <c r="F60" i="15" s="1"/>
  <c r="F52" i="9"/>
  <c r="F30" i="68"/>
  <c r="F48" i="68" s="1"/>
  <c r="AC20" i="36"/>
  <c r="S20" i="36"/>
  <c r="AA39" i="39"/>
  <c r="AC15" i="37"/>
  <c r="AC34" i="33"/>
  <c r="U12" i="40"/>
  <c r="AC11" i="39"/>
  <c r="F29" i="6"/>
  <c r="AZ391" i="3"/>
  <c r="AZ318" i="3"/>
  <c r="AZ364" i="3"/>
  <c r="AZ329" i="3"/>
  <c r="AZ304" i="3"/>
  <c r="AZ306" i="3"/>
  <c r="AZ525" i="3"/>
  <c r="AZ561" i="3"/>
  <c r="AZ557" i="3"/>
  <c r="AZ513" i="3"/>
  <c r="AZ524" i="3"/>
  <c r="AZ570" i="3"/>
  <c r="AB46" i="34"/>
  <c r="AC40" i="37"/>
  <c r="U26" i="33"/>
  <c r="H28" i="33"/>
  <c r="J28" i="33"/>
  <c r="J12" i="34"/>
  <c r="H12" i="34"/>
  <c r="F12" i="34"/>
  <c r="S12" i="34" s="1"/>
  <c r="AA44" i="39"/>
  <c r="S44" i="39"/>
  <c r="AA38" i="40"/>
  <c r="S38" i="40"/>
  <c r="BL585" i="3"/>
  <c r="H9" i="33"/>
  <c r="G570" i="3"/>
  <c r="AZ443" i="3"/>
  <c r="AZ539" i="3"/>
  <c r="BL565" i="3"/>
  <c r="AZ529" i="3"/>
  <c r="AZ537" i="3"/>
  <c r="AZ518" i="3"/>
  <c r="AZ526" i="3"/>
  <c r="AZ546" i="3"/>
  <c r="AZ580" i="3"/>
  <c r="B79" i="43"/>
  <c r="H9" i="34"/>
  <c r="F12" i="35"/>
  <c r="J12" i="35"/>
  <c r="BL587" i="3"/>
  <c r="AZ587" i="3" s="1"/>
  <c r="BL586" i="3"/>
  <c r="AZ586" i="3" s="1"/>
  <c r="H25" i="37"/>
  <c r="F25" i="37"/>
  <c r="AZ407" i="3"/>
  <c r="BA551" i="3"/>
  <c r="AZ551" i="3" s="1"/>
  <c r="BA550" i="3"/>
  <c r="AZ550" i="3" s="1"/>
  <c r="BL548" i="3"/>
  <c r="AZ548" i="3" s="1"/>
  <c r="BL411" i="3"/>
  <c r="BL413" i="3"/>
  <c r="AZ413" i="3" s="1"/>
  <c r="G415" i="3"/>
  <c r="G416" i="3"/>
  <c r="BL417" i="3"/>
  <c r="BL418" i="3"/>
  <c r="BL420" i="3"/>
  <c r="AZ420" i="3" s="1"/>
  <c r="G422" i="3"/>
  <c r="G423" i="3"/>
  <c r="BL424" i="3"/>
  <c r="AZ424" i="3" s="1"/>
  <c r="G426" i="3"/>
  <c r="G427" i="3"/>
  <c r="BL428" i="3"/>
  <c r="BL429" i="3"/>
  <c r="BL432" i="3"/>
  <c r="BL435" i="3"/>
  <c r="BL436" i="3"/>
  <c r="BA439" i="3"/>
  <c r="AZ439" i="3" s="1"/>
  <c r="BA440" i="3"/>
  <c r="AZ440" i="3" s="1"/>
  <c r="BA442" i="3"/>
  <c r="BA445" i="3"/>
  <c r="BA447" i="3"/>
  <c r="AZ447" i="3" s="1"/>
  <c r="BA449" i="3"/>
  <c r="BL455" i="3"/>
  <c r="BL456" i="3"/>
  <c r="BA460" i="3"/>
  <c r="AZ460" i="3" s="1"/>
  <c r="BA461" i="3"/>
  <c r="AZ461" i="3" s="1"/>
  <c r="BL465" i="3"/>
  <c r="BL467" i="3"/>
  <c r="BL468" i="3"/>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AZ436" i="3" s="1"/>
  <c r="BA438" i="3"/>
  <c r="AZ438" i="3" s="1"/>
  <c r="G442" i="3"/>
  <c r="BA446" i="3"/>
  <c r="BA450" i="3"/>
  <c r="BL451" i="3"/>
  <c r="AZ451" i="3" s="1"/>
  <c r="AZ483" i="3"/>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BA426" i="3"/>
  <c r="BA427" i="3"/>
  <c r="AZ427" i="3" s="1"/>
  <c r="BA433" i="3"/>
  <c r="AZ433" i="3" s="1"/>
  <c r="BA435" i="3"/>
  <c r="AZ435" i="3" s="1"/>
  <c r="BL442" i="3"/>
  <c r="BL444" i="3"/>
  <c r="AZ444" i="3" s="1"/>
  <c r="BL448" i="3"/>
  <c r="AZ448" i="3" s="1"/>
  <c r="G450" i="3"/>
  <c r="BL452" i="3"/>
  <c r="G454" i="3"/>
  <c r="G455" i="3"/>
  <c r="BA458" i="3"/>
  <c r="AZ458" i="3" s="1"/>
  <c r="BA464" i="3"/>
  <c r="AZ464" i="3" s="1"/>
  <c r="BL469" i="3"/>
  <c r="AZ469" i="3" s="1"/>
  <c r="BL470" i="3"/>
  <c r="AZ470" i="3" s="1"/>
  <c r="G485" i="3"/>
  <c r="BL16" i="3"/>
  <c r="AZ16" i="3" s="1"/>
  <c r="BA401" i="3"/>
  <c r="AZ401" i="3" s="1"/>
  <c r="BA403" i="3"/>
  <c r="AZ403" i="3" s="1"/>
  <c r="BA404" i="3"/>
  <c r="BA405" i="3"/>
  <c r="BL410" i="3"/>
  <c r="AZ419" i="3"/>
  <c r="G437" i="3"/>
  <c r="BL438" i="3"/>
  <c r="BL439" i="3"/>
  <c r="BA441" i="3"/>
  <c r="AZ441" i="3" s="1"/>
  <c r="BL445" i="3"/>
  <c r="BL446" i="3"/>
  <c r="AZ446" i="3" s="1"/>
  <c r="BL453" i="3"/>
  <c r="BL454" i="3"/>
  <c r="AZ454" i="3" s="1"/>
  <c r="AZ462" i="3"/>
  <c r="BL473" i="3"/>
  <c r="AZ473" i="3" s="1"/>
  <c r="BL474" i="3"/>
  <c r="BA482" i="3"/>
  <c r="BA484" i="3"/>
  <c r="AZ484" i="3" s="1"/>
  <c r="BA370" i="3"/>
  <c r="AZ370"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A256" i="3"/>
  <c r="AZ256" i="3" s="1"/>
  <c r="BL256" i="3"/>
  <c r="BA258" i="3"/>
  <c r="BL267" i="3"/>
  <c r="G269" i="3"/>
  <c r="BL270" i="3"/>
  <c r="AZ270" i="3" s="1"/>
  <c r="BA272" i="3"/>
  <c r="AZ272" i="3" s="1"/>
  <c r="G458" i="3"/>
  <c r="BL459" i="3"/>
  <c r="AZ459" i="3" s="1"/>
  <c r="G462" i="3"/>
  <c r="BA465" i="3"/>
  <c r="AZ465" i="3" s="1"/>
  <c r="BA467" i="3"/>
  <c r="BA468" i="3"/>
  <c r="AZ468" i="3" s="1"/>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L259" i="3"/>
  <c r="BA262" i="3"/>
  <c r="AZ262" i="3" s="1"/>
  <c r="BL273" i="3"/>
  <c r="AZ273" i="3" s="1"/>
  <c r="AZ201" i="3"/>
  <c r="BA453" i="3"/>
  <c r="AZ453" i="3" s="1"/>
  <c r="BA455" i="3"/>
  <c r="BL457" i="3"/>
  <c r="AZ457" i="3" s="1"/>
  <c r="BL460" i="3"/>
  <c r="BL461" i="3"/>
  <c r="BL463" i="3"/>
  <c r="G465" i="3"/>
  <c r="BA471" i="3"/>
  <c r="AZ471" i="3" s="1"/>
  <c r="G486" i="3"/>
  <c r="G488" i="3"/>
  <c r="BL317" i="3"/>
  <c r="G318" i="3"/>
  <c r="BA353" i="3"/>
  <c r="AZ353" i="3" s="1"/>
  <c r="BL353" i="3"/>
  <c r="BA358" i="3"/>
  <c r="AZ358" i="3" s="1"/>
  <c r="BA368" i="3"/>
  <c r="AZ368" i="3" s="1"/>
  <c r="BL368" i="3"/>
  <c r="BA374" i="3"/>
  <c r="BA388" i="3"/>
  <c r="AZ388" i="3" s="1"/>
  <c r="BA396" i="3"/>
  <c r="BA209" i="3"/>
  <c r="BL217" i="3"/>
  <c r="BA219" i="3"/>
  <c r="AZ219" i="3" s="1"/>
  <c r="BA221" i="3"/>
  <c r="BA223" i="3"/>
  <c r="BL228" i="3"/>
  <c r="BA230" i="3"/>
  <c r="AZ230" i="3" s="1"/>
  <c r="BL232" i="3"/>
  <c r="BL234" i="3"/>
  <c r="BA236" i="3"/>
  <c r="BA238" i="3"/>
  <c r="AZ238" i="3" s="1"/>
  <c r="BA243" i="3"/>
  <c r="AZ243" i="3" s="1"/>
  <c r="BL248" i="3"/>
  <c r="AZ248" i="3" s="1"/>
  <c r="G250" i="3"/>
  <c r="BL250" i="3"/>
  <c r="AZ250" i="3" s="1"/>
  <c r="G252" i="3"/>
  <c r="G254" i="3"/>
  <c r="G255" i="3"/>
  <c r="BL255" i="3"/>
  <c r="AZ255" i="3" s="1"/>
  <c r="G257" i="3"/>
  <c r="BL257" i="3"/>
  <c r="AZ257" i="3" s="1"/>
  <c r="BL258" i="3"/>
  <c r="G259" i="3"/>
  <c r="BL260" i="3"/>
  <c r="G262" i="3"/>
  <c r="BL263" i="3"/>
  <c r="G264" i="3"/>
  <c r="BA268" i="3"/>
  <c r="BA275" i="3"/>
  <c r="AZ275" i="3" s="1"/>
  <c r="BA278" i="3"/>
  <c r="AZ278" i="3" s="1"/>
  <c r="BL287" i="3"/>
  <c r="AZ301" i="3"/>
  <c r="BL489" i="3"/>
  <c r="BL491" i="3"/>
  <c r="BL492" i="3"/>
  <c r="G307" i="3"/>
  <c r="BA315" i="3"/>
  <c r="AZ315" i="3" s="1"/>
  <c r="BA333" i="3"/>
  <c r="BL346" i="3"/>
  <c r="AZ346" i="3" s="1"/>
  <c r="G349" i="3"/>
  <c r="BA384" i="3"/>
  <c r="AZ384" i="3" s="1"/>
  <c r="BA395" i="3"/>
  <c r="AZ395" i="3" s="1"/>
  <c r="AZ217" i="3"/>
  <c r="AZ228" i="3"/>
  <c r="BL264" i="3"/>
  <c r="BL266" i="3"/>
  <c r="BL285" i="3"/>
  <c r="BL292" i="3"/>
  <c r="BA294" i="3"/>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AZ185" i="3" s="1"/>
  <c r="BL191" i="3"/>
  <c r="AZ191" i="3" s="1"/>
  <c r="G192" i="3"/>
  <c r="BA193" i="3"/>
  <c r="BA196" i="3"/>
  <c r="AZ196" i="3" s="1"/>
  <c r="G203" i="3"/>
  <c r="BA205" i="3"/>
  <c r="AZ205" i="3" s="1"/>
  <c r="G20" i="3"/>
  <c r="BL20" i="3"/>
  <c r="BA21" i="3"/>
  <c r="AZ21" i="3" s="1"/>
  <c r="BA25" i="3"/>
  <c r="AZ25" i="3" s="1"/>
  <c r="BA26" i="3"/>
  <c r="G28" i="3"/>
  <c r="BL28" i="3"/>
  <c r="AZ28" i="3" s="1"/>
  <c r="BA29" i="3"/>
  <c r="BA38" i="3"/>
  <c r="BL40" i="3"/>
  <c r="AZ40" i="3" s="1"/>
  <c r="BL41" i="3"/>
  <c r="BA52" i="3"/>
  <c r="AZ52" i="3" s="1"/>
  <c r="BA53" i="3"/>
  <c r="BA54" i="3"/>
  <c r="G67" i="3"/>
  <c r="BL68" i="3"/>
  <c r="BA69" i="3"/>
  <c r="AZ69" i="3" s="1"/>
  <c r="BL76" i="3"/>
  <c r="AZ100" i="3"/>
  <c r="C55" i="71"/>
  <c r="D54" i="71"/>
  <c r="BL207" i="3"/>
  <c r="BL18" i="3"/>
  <c r="AZ18" i="3" s="1"/>
  <c r="G19" i="3"/>
  <c r="BL19" i="3"/>
  <c r="AZ19" i="3" s="1"/>
  <c r="BA20" i="3"/>
  <c r="AZ20" i="3" s="1"/>
  <c r="G58" i="3"/>
  <c r="BL61" i="3"/>
  <c r="G64" i="3"/>
  <c r="BA64" i="3"/>
  <c r="AZ64" i="3" s="1"/>
  <c r="D31" i="71"/>
  <c r="C32" i="71"/>
  <c r="BA277" i="3"/>
  <c r="AZ277" i="3" s="1"/>
  <c r="BL277" i="3"/>
  <c r="BA282" i="3"/>
  <c r="AZ282" i="3" s="1"/>
  <c r="BL282" i="3"/>
  <c r="BA284" i="3"/>
  <c r="AZ284" i="3" s="1"/>
  <c r="BL290" i="3"/>
  <c r="BL291" i="3"/>
  <c r="AZ291" i="3" s="1"/>
  <c r="BL293" i="3"/>
  <c r="BL294" i="3"/>
  <c r="BA297" i="3"/>
  <c r="AZ297" i="3" s="1"/>
  <c r="BL297" i="3"/>
  <c r="BL300" i="3"/>
  <c r="BA302" i="3"/>
  <c r="AZ302" i="3" s="1"/>
  <c r="BA117" i="3"/>
  <c r="BA130" i="3"/>
  <c r="AZ130" i="3" s="1"/>
  <c r="BL130" i="3"/>
  <c r="BA137" i="3"/>
  <c r="AZ137" i="3" s="1"/>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G27" i="3"/>
  <c r="BA27" i="3"/>
  <c r="AZ27" i="3" s="1"/>
  <c r="BL30" i="3"/>
  <c r="BL31" i="3"/>
  <c r="AZ31" i="3" s="1"/>
  <c r="G47" i="3"/>
  <c r="BL48" i="3"/>
  <c r="BA51" i="3"/>
  <c r="G55" i="3"/>
  <c r="BA75" i="3"/>
  <c r="AZ75" i="3" s="1"/>
  <c r="D34" i="71"/>
  <c r="C35" i="71"/>
  <c r="D50" i="71"/>
  <c r="C51" i="71"/>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BL203" i="3"/>
  <c r="AZ203" i="3" s="1"/>
  <c r="BA204" i="3"/>
  <c r="AZ204" i="3" s="1"/>
  <c r="BA18" i="3"/>
  <c r="BL21" i="3"/>
  <c r="G23" i="3"/>
  <c r="BL29" i="3"/>
  <c r="G33" i="3"/>
  <c r="BA33" i="3"/>
  <c r="BA36" i="3"/>
  <c r="BL38" i="3"/>
  <c r="AZ38" i="3" s="1"/>
  <c r="BA39" i="3"/>
  <c r="BA41" i="3"/>
  <c r="BA42" i="3"/>
  <c r="BL45" i="3"/>
  <c r="BA48" i="3"/>
  <c r="BA49" i="3"/>
  <c r="G72" i="3"/>
  <c r="BL73" i="3"/>
  <c r="BA74" i="3"/>
  <c r="AZ74" i="3" s="1"/>
  <c r="BL91" i="3"/>
  <c r="BA94" i="3"/>
  <c r="AZ94" i="3" s="1"/>
  <c r="BA105" i="3"/>
  <c r="AZ105" i="3" s="1"/>
  <c r="D44" i="71"/>
  <c r="T44" i="71"/>
  <c r="C60" i="71"/>
  <c r="D59" i="71"/>
  <c r="F66" i="71"/>
  <c r="Q67" i="71"/>
  <c r="V24" i="71"/>
  <c r="E23" i="71"/>
  <c r="E22" i="71" s="1"/>
  <c r="E21" i="71" s="1"/>
  <c r="E20" i="71" s="1"/>
  <c r="E19" i="71" s="1"/>
  <c r="E18" i="71" s="1"/>
  <c r="E17" i="71" s="1"/>
  <c r="E16" i="71" s="1"/>
  <c r="G81" i="3"/>
  <c r="BL85" i="3"/>
  <c r="BA86" i="3"/>
  <c r="AZ86" i="3" s="1"/>
  <c r="BA87" i="3"/>
  <c r="AZ87" i="3" s="1"/>
  <c r="BA91" i="3"/>
  <c r="AZ91" i="3" s="1"/>
  <c r="G96" i="3"/>
  <c r="BL97" i="3"/>
  <c r="AZ97" i="3" s="1"/>
  <c r="BL101" i="3"/>
  <c r="BL102" i="3"/>
  <c r="AZ102" i="3" s="1"/>
  <c r="G104" i="3"/>
  <c r="G105" i="3"/>
  <c r="BL106" i="3"/>
  <c r="BA108" i="3"/>
  <c r="BA110" i="3"/>
  <c r="AZ110" i="3" s="1"/>
  <c r="F3" i="35"/>
  <c r="S21" i="33"/>
  <c r="S21" i="37"/>
  <c r="S25" i="40"/>
  <c r="B77" i="43"/>
  <c r="AA28" i="71"/>
  <c r="AB25" i="71"/>
  <c r="Y25" i="71"/>
  <c r="Z25" i="71" s="1"/>
  <c r="X38" i="71"/>
  <c r="Y29" i="71"/>
  <c r="Z29" i="71" s="1"/>
  <c r="AB32" i="71"/>
  <c r="X33" i="71"/>
  <c r="BL56" i="3"/>
  <c r="BA58" i="3"/>
  <c r="AZ58" i="3" s="1"/>
  <c r="BL59" i="3"/>
  <c r="AZ59" i="3" s="1"/>
  <c r="BL60" i="3"/>
  <c r="BA61" i="3"/>
  <c r="AZ61" i="3" s="1"/>
  <c r="BA68" i="3"/>
  <c r="BA73" i="3"/>
  <c r="BA80" i="3"/>
  <c r="BL84" i="3"/>
  <c r="BA89" i="3"/>
  <c r="BA103" i="3"/>
  <c r="AZ103" i="3" s="1"/>
  <c r="BA104" i="3"/>
  <c r="BA106" i="3"/>
  <c r="BL108" i="3"/>
  <c r="BL111" i="3"/>
  <c r="AZ111" i="3" s="1"/>
  <c r="U29" i="39"/>
  <c r="P66" i="71"/>
  <c r="C66" i="71"/>
  <c r="AA27" i="71"/>
  <c r="AB26" i="71"/>
  <c r="S28" i="71"/>
  <c r="C83" i="71"/>
  <c r="C79" i="71"/>
  <c r="C71" i="71"/>
  <c r="C39" i="71"/>
  <c r="Y28" i="71"/>
  <c r="Z28" i="71" s="1"/>
  <c r="C28" i="71"/>
  <c r="Y37" i="71"/>
  <c r="Z37" i="71" s="1"/>
  <c r="Y30" i="71"/>
  <c r="Z30" i="71" s="1"/>
  <c r="X28" i="71"/>
  <c r="X32" i="71"/>
  <c r="F38" i="71"/>
  <c r="F39" i="71" s="1"/>
  <c r="F40" i="71" s="1"/>
  <c r="V40" i="71" s="1"/>
  <c r="AB38" i="71"/>
  <c r="F75" i="71"/>
  <c r="F74" i="71" s="1"/>
  <c r="B79" i="71"/>
  <c r="B78" i="71" s="1"/>
  <c r="G34" i="3"/>
  <c r="BA37" i="3"/>
  <c r="G39" i="3"/>
  <c r="BL39" i="3"/>
  <c r="G43" i="3"/>
  <c r="G44" i="3"/>
  <c r="BA45" i="3"/>
  <c r="AZ45" i="3" s="1"/>
  <c r="BA46" i="3"/>
  <c r="BL49" i="3"/>
  <c r="BL50" i="3"/>
  <c r="AZ50" i="3" s="1"/>
  <c r="BL51" i="3"/>
  <c r="G53" i="3"/>
  <c r="BL53" i="3"/>
  <c r="BA56" i="3"/>
  <c r="AZ56" i="3" s="1"/>
  <c r="BA57" i="3"/>
  <c r="AZ57" i="3" s="1"/>
  <c r="BL58" i="3"/>
  <c r="G60" i="3"/>
  <c r="BA60" i="3"/>
  <c r="AZ60" i="3" s="1"/>
  <c r="BA63" i="3"/>
  <c r="AZ63" i="3" s="1"/>
  <c r="BA66" i="3"/>
  <c r="AZ66" i="3" s="1"/>
  <c r="BA71" i="3"/>
  <c r="AZ71" i="3" s="1"/>
  <c r="G76" i="3"/>
  <c r="BL77" i="3"/>
  <c r="AZ77" i="3" s="1"/>
  <c r="BA79" i="3"/>
  <c r="AZ79" i="3" s="1"/>
  <c r="G82" i="3"/>
  <c r="G83" i="3"/>
  <c r="BA84" i="3"/>
  <c r="BL88" i="3"/>
  <c r="AZ88" i="3" s="1"/>
  <c r="G90" i="3"/>
  <c r="BL90" i="3"/>
  <c r="AZ90" i="3" s="1"/>
  <c r="BL92" i="3"/>
  <c r="AZ92" i="3" s="1"/>
  <c r="G101" i="3"/>
  <c r="BA101" i="3"/>
  <c r="G108" i="3"/>
  <c r="G109" i="3"/>
  <c r="BL112" i="3"/>
  <c r="AB21" i="33"/>
  <c r="S21" i="34"/>
  <c r="B68" i="43"/>
  <c r="B88" i="43"/>
  <c r="AB33" i="71"/>
  <c r="AA30" i="71"/>
  <c r="E35" i="71"/>
  <c r="E36" i="71" s="1"/>
  <c r="U36" i="71" s="1"/>
  <c r="AB31"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W35" i="39"/>
  <c r="F27" i="34"/>
  <c r="C21" i="39"/>
  <c r="U9" i="36"/>
  <c r="U14" i="37"/>
  <c r="H12" i="21"/>
  <c r="G526" i="3"/>
  <c r="AZ434"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BA285" i="3"/>
  <c r="BA287" i="3"/>
  <c r="AZ287" i="3" s="1"/>
  <c r="AZ290" i="3"/>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93" i="3"/>
  <c r="BL202" i="3"/>
  <c r="AZ202" i="3" s="1"/>
  <c r="AZ30" i="3"/>
  <c r="BL36" i="3"/>
  <c r="AZ48" i="3"/>
  <c r="AZ68" i="3"/>
  <c r="AZ73" i="3"/>
  <c r="AZ106" i="3"/>
  <c r="G200" i="3"/>
  <c r="G207" i="3"/>
  <c r="BA23" i="3"/>
  <c r="AZ23" i="3" s="1"/>
  <c r="BA24" i="3"/>
  <c r="AZ24" i="3" s="1"/>
  <c r="BL26" i="3"/>
  <c r="AZ26" i="3" s="1"/>
  <c r="BL32" i="3"/>
  <c r="AZ32" i="3" s="1"/>
  <c r="BA34" i="3"/>
  <c r="AZ34" i="3" s="1"/>
  <c r="BA35" i="3"/>
  <c r="AZ35" i="3" s="1"/>
  <c r="BL37" i="3"/>
  <c r="BL42" i="3"/>
  <c r="BA44" i="3"/>
  <c r="AZ44" i="3" s="1"/>
  <c r="AZ46" i="3"/>
  <c r="BA206" i="3"/>
  <c r="AZ206" i="3" s="1"/>
  <c r="BL22" i="3"/>
  <c r="AZ22" i="3" s="1"/>
  <c r="BL33" i="3"/>
  <c r="AZ33" i="3" s="1"/>
  <c r="BL43" i="3"/>
  <c r="AZ43" i="3" s="1"/>
  <c r="BL46" i="3"/>
  <c r="AZ54"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Q71" i="67"/>
  <c r="C27" i="67"/>
  <c r="F71" i="67"/>
  <c r="N59" i="67"/>
  <c r="L59" i="67"/>
  <c r="L58" i="67"/>
  <c r="M59" i="67"/>
  <c r="B13" i="70"/>
  <c r="D9" i="69"/>
  <c r="F27" i="69"/>
  <c r="C36" i="69"/>
  <c r="J15" i="15"/>
  <c r="F36" i="15"/>
  <c r="M28" i="15"/>
  <c r="M24" i="15"/>
  <c r="L48" i="15"/>
  <c r="M6" i="15"/>
  <c r="F42" i="15"/>
  <c r="D4" i="73"/>
  <c r="C16" i="67"/>
  <c r="M26" i="15"/>
  <c r="F7" i="67"/>
  <c r="F43" i="15"/>
  <c r="D3" i="73"/>
  <c r="M23" i="15"/>
  <c r="F8" i="15"/>
  <c r="F6" i="15"/>
  <c r="F7" i="15"/>
  <c r="D9" i="68"/>
  <c r="F38" i="15"/>
  <c r="L47" i="15"/>
  <c r="F37" i="15"/>
  <c r="F13" i="15"/>
  <c r="M22" i="15"/>
  <c r="M8" i="15"/>
  <c r="C76" i="15"/>
  <c r="C36" i="68"/>
  <c r="D5" i="73"/>
  <c r="M9" i="15"/>
  <c r="F36" i="67"/>
  <c r="F26" i="15"/>
  <c r="F40" i="67"/>
  <c r="F9" i="15"/>
  <c r="M29" i="15"/>
  <c r="F16" i="15"/>
  <c r="F40" i="15"/>
  <c r="D7" i="73"/>
  <c r="C48" i="68" l="1"/>
  <c r="C31" i="12"/>
  <c r="F65" i="15"/>
  <c r="M7" i="15"/>
  <c r="J6" i="15" s="1"/>
  <c r="J18" i="15" s="1"/>
  <c r="F50" i="15"/>
  <c r="N370" i="46"/>
  <c r="P6" i="1"/>
  <c r="C13" i="12" s="1"/>
  <c r="F26" i="43"/>
  <c r="E28" i="6"/>
  <c r="K14" i="1" s="1"/>
  <c r="K16" i="1" s="1"/>
  <c r="J7" i="36"/>
  <c r="Q71" i="15"/>
  <c r="F66" i="15"/>
  <c r="F68" i="67"/>
  <c r="F51" i="15"/>
  <c r="F59" i="15" s="1"/>
  <c r="F64" i="15"/>
  <c r="F31" i="67"/>
  <c r="C6" i="67"/>
  <c r="C32" i="67" s="1"/>
  <c r="M7" i="67"/>
  <c r="J6" i="67" s="1"/>
  <c r="J18" i="67" s="1"/>
  <c r="F50" i="67"/>
  <c r="C49" i="67" s="1"/>
  <c r="F64" i="67"/>
  <c r="F31" i="15"/>
  <c r="C6" i="15"/>
  <c r="C32" i="15" s="1"/>
  <c r="J53" i="15"/>
  <c r="L56" i="15" s="1"/>
  <c r="J57" i="15"/>
  <c r="J55" i="15" s="1"/>
  <c r="J58" i="15" s="1"/>
  <c r="Q50" i="15" s="1"/>
  <c r="I54" i="15"/>
  <c r="M59" i="15"/>
  <c r="L59" i="15"/>
  <c r="Q74" i="15" s="1"/>
  <c r="N59" i="15"/>
  <c r="L58" i="15"/>
  <c r="Q60" i="15" s="1"/>
  <c r="F71" i="15"/>
  <c r="C27" i="15"/>
  <c r="F68" i="15"/>
  <c r="C40" i="71"/>
  <c r="D39" i="71"/>
  <c r="D60" i="71"/>
  <c r="T60" i="71"/>
  <c r="C52" i="71"/>
  <c r="D51" i="71"/>
  <c r="AZ491" i="3"/>
  <c r="AA25" i="37"/>
  <c r="S25" i="37"/>
  <c r="W12" i="35"/>
  <c r="AC12" i="35"/>
  <c r="U28" i="33"/>
  <c r="AB28" i="33"/>
  <c r="E26" i="43"/>
  <c r="H26" i="43"/>
  <c r="AZ138" i="3"/>
  <c r="AZ114" i="3"/>
  <c r="AZ285" i="3"/>
  <c r="AZ396" i="3"/>
  <c r="AZ492" i="3"/>
  <c r="AZ474" i="3"/>
  <c r="AZ232" i="3"/>
  <c r="AZ333" i="3"/>
  <c r="V20" i="71"/>
  <c r="AZ101" i="3"/>
  <c r="C70" i="71"/>
  <c r="D70" i="71" s="1"/>
  <c r="D71" i="71"/>
  <c r="AZ49" i="3"/>
  <c r="AZ41" i="3"/>
  <c r="AZ121" i="3"/>
  <c r="T32" i="71"/>
  <c r="D32" i="71"/>
  <c r="AZ53" i="3"/>
  <c r="AZ150" i="3"/>
  <c r="AZ294" i="3"/>
  <c r="AZ455" i="3"/>
  <c r="AZ241" i="3"/>
  <c r="AZ249" i="3"/>
  <c r="AZ405" i="3"/>
  <c r="AZ418" i="3"/>
  <c r="U25" i="37"/>
  <c r="AB25" i="37"/>
  <c r="U12" i="34"/>
  <c r="AB12" i="34"/>
  <c r="AZ565" i="3"/>
  <c r="AZ76" i="3"/>
  <c r="G5" i="3"/>
  <c r="B3" i="3" s="1"/>
  <c r="E510" i="3" s="1"/>
  <c r="AZ42" i="3"/>
  <c r="AZ36" i="3"/>
  <c r="AZ5" i="3" s="1"/>
  <c r="AZ295" i="3"/>
  <c r="AZ281" i="3"/>
  <c r="AZ348" i="3"/>
  <c r="AZ317" i="3"/>
  <c r="T28" i="71"/>
  <c r="D28" i="71"/>
  <c r="U28" i="71" s="1"/>
  <c r="C27" i="71"/>
  <c r="D79" i="71"/>
  <c r="C78" i="71"/>
  <c r="D78" i="71" s="1"/>
  <c r="AZ108" i="3"/>
  <c r="AZ39" i="3"/>
  <c r="C36" i="71"/>
  <c r="D35" i="71"/>
  <c r="AZ51" i="3"/>
  <c r="C56" i="71"/>
  <c r="D55" i="71"/>
  <c r="AZ29" i="3"/>
  <c r="AZ223" i="3"/>
  <c r="AZ404" i="3"/>
  <c r="AZ425" i="3"/>
  <c r="AZ432" i="3"/>
  <c r="U9" i="34"/>
  <c r="AB9" i="34"/>
  <c r="AB9" i="33"/>
  <c r="U9" i="33"/>
  <c r="W12" i="34"/>
  <c r="AC12" i="34"/>
  <c r="AC28" i="34"/>
  <c r="W28" i="34"/>
  <c r="G26" i="43"/>
  <c r="N94" i="46"/>
  <c r="C30" i="68"/>
  <c r="AZ37" i="3"/>
  <c r="AZ266" i="3"/>
  <c r="G16" i="1"/>
  <c r="F10" i="39" s="1"/>
  <c r="AA10" i="39" s="1"/>
  <c r="AZ84" i="3"/>
  <c r="D83" i="71"/>
  <c r="C82" i="71"/>
  <c r="D82" i="71" s="1"/>
  <c r="O65" i="71"/>
  <c r="D66" i="71"/>
  <c r="O66" i="71"/>
  <c r="W28" i="33"/>
  <c r="AC28" i="33"/>
  <c r="AA28" i="34"/>
  <c r="S28" i="34"/>
  <c r="J7" i="37"/>
  <c r="W7" i="37" s="1"/>
  <c r="K1" i="73"/>
  <c r="E417" i="3"/>
  <c r="E409" i="3"/>
  <c r="E64" i="3"/>
  <c r="E267" i="3"/>
  <c r="E233" i="3"/>
  <c r="E63" i="3"/>
  <c r="E81" i="3"/>
  <c r="E198" i="3"/>
  <c r="E281" i="3"/>
  <c r="AL6" i="3"/>
  <c r="E96" i="3"/>
  <c r="E235" i="3"/>
  <c r="E34" i="3"/>
  <c r="E102" i="3"/>
  <c r="E22" i="3"/>
  <c r="E205" i="3"/>
  <c r="E525" i="3"/>
  <c r="E405" i="3"/>
  <c r="E456" i="3"/>
  <c r="E451" i="3"/>
  <c r="E497" i="3"/>
  <c r="E13" i="3"/>
  <c r="E420" i="3"/>
  <c r="E26" i="3"/>
  <c r="E41"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AB7" i="36"/>
  <c r="T36" i="36" s="1"/>
  <c r="G36" i="36" s="1"/>
  <c r="U7" i="36"/>
  <c r="F7" i="33"/>
  <c r="E58" i="21"/>
  <c r="AC7" i="36"/>
  <c r="V36" i="36" s="1"/>
  <c r="I36" i="36" s="1"/>
  <c r="W7" i="36"/>
  <c r="F7" i="37"/>
  <c r="M17" i="15"/>
  <c r="P28" i="43"/>
  <c r="B66" i="40" s="1"/>
  <c r="P25" i="43"/>
  <c r="P29" i="43"/>
  <c r="P27" i="43"/>
  <c r="B70" i="39" s="1"/>
  <c r="Q60" i="67"/>
  <c r="Q73" i="67"/>
  <c r="M11" i="67"/>
  <c r="J10" i="67" s="1"/>
  <c r="F11" i="15"/>
  <c r="M11" i="15"/>
  <c r="J10" i="15" s="1"/>
  <c r="F11" i="67"/>
  <c r="F1" i="67"/>
  <c r="Q52" i="67"/>
  <c r="Q61" i="67"/>
  <c r="Q74" i="67"/>
  <c r="AE11" i="1"/>
  <c r="AE9" i="1"/>
  <c r="AE7" i="1"/>
  <c r="AE8" i="1"/>
  <c r="AE12" i="1"/>
  <c r="AE10" i="1"/>
  <c r="C16" i="15"/>
  <c r="F41" i="67"/>
  <c r="F27" i="68"/>
  <c r="G1" i="73"/>
  <c r="Q52" i="15" l="1"/>
  <c r="F1" i="15"/>
  <c r="Q61" i="15"/>
  <c r="E115" i="3"/>
  <c r="E470" i="3"/>
  <c r="E408" i="3"/>
  <c r="E173" i="3"/>
  <c r="E206" i="3"/>
  <c r="E18" i="3"/>
  <c r="E309" i="3"/>
  <c r="E67" i="3"/>
  <c r="E241" i="3"/>
  <c r="E449" i="3"/>
  <c r="E310" i="3"/>
  <c r="E389" i="3"/>
  <c r="E575" i="3"/>
  <c r="E33" i="3"/>
  <c r="E249" i="3"/>
  <c r="E484" i="3"/>
  <c r="E292" i="3"/>
  <c r="E479" i="3"/>
  <c r="E255" i="3"/>
  <c r="E499" i="3"/>
  <c r="E113" i="3"/>
  <c r="E383" i="3"/>
  <c r="E42" i="3"/>
  <c r="E513" i="3"/>
  <c r="E355" i="3"/>
  <c r="E492" i="3"/>
  <c r="E46" i="3"/>
  <c r="E544" i="3"/>
  <c r="E152" i="3"/>
  <c r="E517" i="3"/>
  <c r="E466" i="3"/>
  <c r="E212" i="3"/>
  <c r="E95" i="3"/>
  <c r="E554" i="3"/>
  <c r="E442" i="3"/>
  <c r="E536"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H6" i="3"/>
  <c r="D26" i="43"/>
  <c r="C25" i="43" s="1"/>
  <c r="Q73" i="15"/>
  <c r="J10" i="39"/>
  <c r="W10" i="39" s="1"/>
  <c r="S7" i="36"/>
  <c r="J10" i="40"/>
  <c r="AC10" i="40" s="1"/>
  <c r="H10" i="39"/>
  <c r="U10" i="39" s="1"/>
  <c r="S10" i="39"/>
  <c r="H10" i="40"/>
  <c r="AB10" i="40" s="1"/>
  <c r="AY6" i="3"/>
  <c r="E3" i="6"/>
  <c r="D36" i="71"/>
  <c r="T36" i="71"/>
  <c r="J5" i="15"/>
  <c r="J24" i="15" s="1"/>
  <c r="C49" i="15"/>
  <c r="D56" i="71"/>
  <c r="T56" i="71"/>
  <c r="C26" i="71"/>
  <c r="D26" i="71" s="1"/>
  <c r="D27" i="71"/>
  <c r="T52" i="71"/>
  <c r="D52" i="71"/>
  <c r="T40" i="71"/>
  <c r="D40" i="71"/>
  <c r="M17" i="67"/>
  <c r="F10" i="40"/>
  <c r="S10" i="40" s="1"/>
  <c r="J5" i="67"/>
  <c r="J24" i="67"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AE6" i="1"/>
  <c r="F41" i="15"/>
  <c r="M27" i="15"/>
  <c r="M27" i="67"/>
  <c r="F25" i="12" l="1"/>
  <c r="C26" i="12" s="1"/>
  <c r="D25" i="12" s="1"/>
  <c r="AC10" i="39"/>
  <c r="AC6" i="3"/>
  <c r="E6" i="3" s="1"/>
  <c r="D116" i="43"/>
  <c r="F22" i="68"/>
  <c r="C44" i="68" s="1"/>
  <c r="D41" i="68" s="1"/>
  <c r="I46" i="37"/>
  <c r="J46" i="37" s="1"/>
  <c r="I53" i="34"/>
  <c r="J53" i="34" s="1"/>
  <c r="C48" i="15"/>
  <c r="C66" i="15"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6" i="67"/>
  <c r="C60" i="67"/>
  <c r="D10" i="69"/>
  <c r="C34" i="69"/>
  <c r="C17" i="15"/>
  <c r="D10" i="68"/>
  <c r="C17" i="67"/>
  <c r="C14" i="67"/>
  <c r="C26" i="68" l="1"/>
  <c r="D22" i="68" s="1"/>
  <c r="C60" i="15"/>
  <c r="C44" i="11"/>
  <c r="D41" i="11" s="1"/>
  <c r="E53" i="34"/>
  <c r="F53" i="34" s="1"/>
  <c r="C26" i="11"/>
  <c r="D22" i="11" s="1"/>
  <c r="C25" i="11"/>
  <c r="C24" i="11"/>
  <c r="C44" i="69"/>
  <c r="D41" i="69" s="1"/>
  <c r="C26" i="69"/>
  <c r="D22" i="69" s="1"/>
  <c r="C16" i="71"/>
  <c r="D17"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34" i="68"/>
  <c r="C14" i="15"/>
  <c r="B6" i="76"/>
  <c r="B3" i="43" l="1"/>
  <c r="C6" i="68"/>
  <c r="C7"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M21" i="15"/>
  <c r="F35" i="15"/>
  <c r="F35" i="67"/>
  <c r="C25" i="68" l="1"/>
  <c r="C22" i="68" s="1"/>
  <c r="C31" i="68" s="1"/>
  <c r="B3" i="12"/>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B3" i="68"/>
  <c r="D34" i="9"/>
  <c r="D2" i="21"/>
  <c r="C20" i="9"/>
  <c r="C102" i="9" l="1"/>
  <c r="C21" i="9"/>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35" i="9"/>
  <c r="L51" i="67"/>
  <c r="D2" i="33"/>
  <c r="Q69" i="15" l="1"/>
  <c r="Q68" i="15" s="1"/>
  <c r="H40"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6"/>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2" i="1"/>
  <c r="AO10" i="1"/>
  <c r="AO7"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H112" i="9" l="1"/>
  <c r="D21" i="53" s="1"/>
  <c r="B39" i="72" s="1"/>
  <c r="H111" i="9"/>
  <c r="D126" i="9" s="1"/>
  <c r="D19" i="53"/>
  <c r="D20" i="53" s="1"/>
  <c r="B40" i="72" s="1"/>
  <c r="D12" i="52" l="1"/>
  <c r="D127" i="9"/>
  <c r="D13" i="52" s="1"/>
  <c r="C8" i="74"/>
  <c r="B38" i="72"/>
  <c r="F118" i="9" l="1"/>
  <c r="F119" i="9" s="1"/>
  <c r="F5" i="52" s="1"/>
  <c r="B53" i="72" s="1"/>
  <c r="D118" i="9"/>
  <c r="D119" i="9" s="1"/>
  <c r="D5" i="52" s="1"/>
  <c r="B49" i="72" s="1"/>
  <c r="H118" i="9"/>
  <c r="I118" i="9" l="1"/>
  <c r="H102" i="9" s="1"/>
  <c r="D14" i="74"/>
  <c r="H101" i="9"/>
  <c r="M48" i="9" s="1"/>
  <c r="D4" i="52"/>
  <c r="B47" i="72" s="1"/>
  <c r="G118" i="9"/>
  <c r="G4" i="52" s="1"/>
  <c r="B52" i="72" s="1"/>
  <c r="C104" i="9"/>
  <c r="H4" i="52"/>
  <c r="F4" i="52"/>
  <c r="B51" i="72" s="1"/>
  <c r="H119" i="9"/>
  <c r="H5" i="52" s="1"/>
  <c r="C105" i="9" l="1"/>
  <c r="I4" i="52"/>
  <c r="D45" i="9"/>
  <c r="C78" i="9" s="1"/>
  <c r="C73" i="9" s="1"/>
  <c r="D5" i="53"/>
  <c r="D6" i="53" s="1"/>
  <c r="B22" i="72" s="1"/>
  <c r="H107" i="9"/>
  <c r="G14" i="74" s="1"/>
  <c r="B6" i="74" s="1"/>
  <c r="D6" i="74" s="1"/>
  <c r="E14" i="74"/>
  <c r="B5" i="74"/>
  <c r="D5" i="74" s="1"/>
  <c r="F14" i="74"/>
  <c r="E118" i="9"/>
  <c r="E4" i="52" s="1"/>
  <c r="B48" i="72" s="1"/>
  <c r="C72" i="9"/>
  <c r="C85" i="9"/>
  <c r="D7" i="53"/>
  <c r="B21" i="72" s="1"/>
  <c r="H108" i="9"/>
  <c r="M49" i="9"/>
  <c r="D13" i="53"/>
  <c r="C93" i="9" l="1"/>
  <c r="C86" i="9" s="1"/>
  <c r="C64" i="9"/>
  <c r="C63" i="9" s="1"/>
  <c r="C67" i="9" s="1"/>
  <c r="B20" i="72"/>
  <c r="D52" i="9"/>
  <c r="D55" i="9"/>
  <c r="M53" i="9" s="1"/>
  <c r="D53" i="9"/>
  <c r="D122" i="9"/>
  <c r="C5" i="74"/>
  <c r="C95" i="9"/>
  <c r="C96" i="9" s="1"/>
  <c r="E96" i="9" s="1"/>
  <c r="E97" i="9" s="1"/>
  <c r="B30" i="72"/>
  <c r="D14" i="53"/>
  <c r="B32" i="72" s="1"/>
  <c r="D123" i="9"/>
  <c r="D9" i="52" s="1"/>
  <c r="D8" i="52"/>
  <c r="C79" i="9"/>
  <c r="D59" i="9"/>
  <c r="M55" i="9" s="1"/>
  <c r="C68" i="9"/>
  <c r="D54" i="9" s="1"/>
  <c r="L63" i="9"/>
  <c r="M63" i="9" s="1"/>
  <c r="L66" i="9"/>
  <c r="M66" i="9" s="1"/>
  <c r="L64" i="9"/>
  <c r="M64" i="9" s="1"/>
  <c r="L68" i="9"/>
  <c r="M68" i="9" s="1"/>
  <c r="L67" i="9"/>
  <c r="M67" i="9" s="1"/>
  <c r="L65" i="9"/>
  <c r="M65" i="9" s="1"/>
  <c r="C6" i="74"/>
  <c r="D15" i="53"/>
  <c r="B31" i="72" s="1"/>
  <c r="M69" i="9" l="1"/>
  <c r="N69" i="9" s="1"/>
  <c r="C80" i="9"/>
  <c r="E80" i="9" s="1"/>
  <c r="E81" i="9" s="1"/>
  <c r="C97" i="9"/>
  <c r="D58" i="9" s="1"/>
  <c r="D56" i="9" s="1"/>
  <c r="M54" i="9" s="1"/>
  <c r="N57" i="9" s="1"/>
  <c r="N58" i="9" l="1"/>
  <c r="P57" i="9"/>
  <c r="N59"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<sst xmlns="http://schemas.openxmlformats.org/spreadsheetml/2006/main" count="7967" uniqueCount="3519">
  <si>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</si>
  <si>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</si>
  <si>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</si>
  <si>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</si>
  <si>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</si>
  <si>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</si>
  <si>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</si>
  <si>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</si>
  <si>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</si>
  <si>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</si>
  <si>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</si>
  <si>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</si>
  <si>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</si>
  <si>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</si>
  <si>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</si>
  <si>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</si>
  <si>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</si>
  <si>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</si>
  <si>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</si>
  <si>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</si>
  <si>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</si>
  <si>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</si>
  <si>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</si>
  <si>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</si>
  <si>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</si>
  <si>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</si>
  <si>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</si>
  <si>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</si>
  <si>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</si>
  <si>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</si>
  <si>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</si>
  <si>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</si>
  <si>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</si>
  <si>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</si>
  <si>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</si>
  <si>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</si>
  <si>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</si>
  <si>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</si>
  <si>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</si>
  <si>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</si>
  <si>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</si>
  <si>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</si>
  <si>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</si>
  <si>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</si>
  <si>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</si>
  <si>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</si>
  <si>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</si>
  <si>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</si>
  <si>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</si>
  <si>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</si>
  <si>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</si>
  <si>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</si>
  <si>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</si>
  <si>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</si>
  <si>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</si>
  <si>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</si>
  <si>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</si>
  <si>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</si>
  <si>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</si>
  <si>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</si>
  <si>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</si>
  <si>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</si>
  <si>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</si>
  <si>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</si>
  <si>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</si>
  <si>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</si>
  <si>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</si>
  <si>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</si>
  <si>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</si>
  <si>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</si>
  <si>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</si>
  <si>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</si>
  <si>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</si>
  <si>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</si>
  <si>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</si>
  <si>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</si>
  <si>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</si>
  <si>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</si>
  <si>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</si>
  <si>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</si>
  <si>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</si>
  <si>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</si>
  <si>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</si>
  <si>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</si>
  <si>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</si>
  <si>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</si>
  <si>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</si>
  <si>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</si>
  <si>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</si>
  <si>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</si>
  <si>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</si>
  <si>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</si>
  <si>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</si>
  <si>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</si>
  <si>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</si>
  <si>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</si>
  <si>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</si>
  <si>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</si>
  <si>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</si>
  <si>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</si>
  <si>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</si>
  <si>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</si>
  <si>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</si>
  <si>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</si>
  <si>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</si>
  <si>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</si>
  <si>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</si>
  <si>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</si>
  <si>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</si>
  <si>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</si>
  <si>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</si>
  <si>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</si>
  <si>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</si>
  <si>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</si>
  <si>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</si>
  <si>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</si>
  <si>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</si>
  <si>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</si>
  <si>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</si>
  <si>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</si>
  <si>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</si>
  <si>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</si>
  <si>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</si>
  <si>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</si>
  <si>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</si>
  <si>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</si>
  <si>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</si>
  <si>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</si>
  <si>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</si>
  <si>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</si>
  <si>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</si>
  <si>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</si>
  <si>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</si>
  <si>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</si>
  <si>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</si>
  <si>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</si>
  <si>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</si>
  <si>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</si>
  <si>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</si>
  <si>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</si>
  <si>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</si>
  <si>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</si>
  <si>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</si>
  <si>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</si>
  <si>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</si>
  <si>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</si>
  <si>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</si>
  <si>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</si>
  <si>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</si>
  <si>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</si>
  <si>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</si>
  <si>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</si>
  <si>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</si>
  <si>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</si>
  <si>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</si>
  <si>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</si>
  <si>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</si>
  <si>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</si>
  <si>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</si>
  <si>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</si>
  <si>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</si>
  <si>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</si>
  <si>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</si>
  <si>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</si>
  <si>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</si>
  <si>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</si>
  <si>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</si>
  <si>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</si>
  <si>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</si>
  <si>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</si>
  <si>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</si>
  <si>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</si>
  <si>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</si>
  <si>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</si>
  <si>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</si>
  <si>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</si>
  <si>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</si>
  <si>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</si>
  <si>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</si>
  <si>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</si>
  <si>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</si>
  <si>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</si>
  <si>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</si>
  <si>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</si>
  <si>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</si>
  <si>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</si>
  <si>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</si>
  <si>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</si>
  <si>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</si>
  <si>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</si>
  <si>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</si>
  <si>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</si>
  <si>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</si>
  <si>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</si>
  <si>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</si>
  <si>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</si>
  <si>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</si>
  <si>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</si>
  <si>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</si>
  <si>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</si>
  <si>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</si>
  <si>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</si>
  <si>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</si>
  <si>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</si>
  <si>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</si>
  <si>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</si>
  <si>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</si>
  <si>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</si>
  <si>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</si>
  <si>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</si>
  <si>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</si>
  <si>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</si>
  <si>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</si>
  <si>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</si>
  <si>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</si>
  <si>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</si>
  <si>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</si>
  <si>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</si>
  <si>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</si>
  <si>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</si>
  <si>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</si>
  <si>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</si>
  <si>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</si>
  <si>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</si>
  <si>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</si>
  <si>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</si>
  <si>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</si>
  <si>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</si>
  <si>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</si>
  <si>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</si>
  <si>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</si>
  <si>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</si>
  <si>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</si>
  <si>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</si>
  <si>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</si>
  <si>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</si>
  <si>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</si>
  <si>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</si>
  <si>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</si>
  <si>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</si>
  <si>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</si>
  <si>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</si>
  <si>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</si>
  <si>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</si>
  <si>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</si>
  <si>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</si>
  <si>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</si>
  <si>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</si>
  <si>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</si>
  <si>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</si>
  <si>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</si>
  <si>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</si>
  <si>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</si>
  <si>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</si>
  <si>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</si>
  <si>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</si>
  <si>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</si>
  <si>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</si>
  <si>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</si>
  <si>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</si>
  <si>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</si>
  <si>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</si>
  <si>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</si>
  <si>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</si>
  <si>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</si>
  <si>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</si>
  <si>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</si>
  <si>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</si>
  <si>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</si>
  <si>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</si>
  <si>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</si>
  <si>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</si>
  <si>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</si>
  <si>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</si>
  <si>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</si>
  <si>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</si>
  <si>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</si>
  <si>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</si>
  <si>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</si>
  <si>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</si>
  <si>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</si>
  <si>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</si>
  <si>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</si>
  <si>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</si>
  <si>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</si>
  <si>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</si>
  <si>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</si>
  <si>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</si>
  <si>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</si>
  <si>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</si>
  <si>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</si>
  <si>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</si>
  <si>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</si>
  <si>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</si>
  <si>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</si>
  <si>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</si>
  <si>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</si>
  <si>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</si>
  <si>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</si>
  <si>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</si>
  <si>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</si>
  <si>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</si>
  <si>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</si>
  <si>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</si>
  <si>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</si>
  <si>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</si>
  <si>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</si>
  <si>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</si>
  <si>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</si>
  <si>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</si>
  <si>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</si>
  <si>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</si>
  <si>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</si>
  <si>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</si>
  <si>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</si>
  <si>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</si>
  <si>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</si>
  <si>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</si>
  <si>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</si>
  <si>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</si>
  <si>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</si>
  <si>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</si>
  <si>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</si>
  <si>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</si>
  <si>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</si>
  <si>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</si>
  <si>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</si>
  <si>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</si>
  <si>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</si>
  <si>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</si>
  <si>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</si>
  <si>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</si>
  <si>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</si>
  <si>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</si>
  <si>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</si>
  <si>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</si>
  <si>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</si>
  <si>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</si>
  <si>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</si>
  <si>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</si>
  <si>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</si>
  <si>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</si>
  <si>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</si>
  <si>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</si>
  <si>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</si>
  <si>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</si>
  <si>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</si>
  <si>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</si>
  <si>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</si>
  <si>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</si>
  <si>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</si>
  <si>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</si>
  <si>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</si>
  <si>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</si>
  <si>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</si>
  <si>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</si>
  <si>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</si>
  <si>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</si>
  <si>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</si>
  <si>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</si>
  <si>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</si>
  <si>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</si>
  <si>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</si>
  <si>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</si>
  <si>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</si>
  <si>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</si>
  <si>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</si>
  <si>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</si>
  <si>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</si>
  <si>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</si>
  <si>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</si>
  <si>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</si>
  <si>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</si>
  <si>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</si>
  <si>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</si>
  <si>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</si>
  <si>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</si>
  <si>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</si>
  <si>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</si>
  <si>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</si>
  <si>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</si>
  <si>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</si>
  <si>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</si>
  <si>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</si>
  <si>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</si>
  <si>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</si>
  <si>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</si>
  <si>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</si>
  <si>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</si>
  <si>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</si>
  <si>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</si>
  <si>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</si>
  <si>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</si>
  <si>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</si>
  <si>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</si>
  <si>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</si>
  <si>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</si>
  <si>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</si>
  <si>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</si>
  <si>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</si>
  <si>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</si>
  <si>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</si>
  <si>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</si>
  <si>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</si>
  <si>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</si>
  <si>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</si>
  <si>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</si>
  <si>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</si>
  <si>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</si>
  <si>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</si>
  <si>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</si>
  <si>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</si>
  <si>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</si>
  <si>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</si>
  <si>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</si>
  <si>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</si>
  <si>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</si>
  <si>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</si>
  <si>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</si>
  <si>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</si>
  <si>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</si>
  <si>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</si>
  <si>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</si>
  <si>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</si>
  <si>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</si>
  <si>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</si>
  <si>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</si>
  <si>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</si>
  <si>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</si>
  <si>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</si>
  <si>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</si>
  <si>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</si>
  <si>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</si>
  <si>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</si>
  <si>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</si>
  <si>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</si>
  <si>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</si>
  <si>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</si>
  <si>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</si>
  <si>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</si>
  <si>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</si>
  <si>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</si>
  <si>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</si>
  <si>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</si>
  <si>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</si>
  <si>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</si>
  <si>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</si>
  <si>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</si>
  <si>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</si>
  <si>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</si>
  <si>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</si>
  <si>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</si>
  <si>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</si>
  <si>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</si>
  <si>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</si>
  <si>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</si>
  <si>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</si>
  <si>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</si>
  <si>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</si>
  <si>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</si>
  <si>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</si>
  <si>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</si>
  <si>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</si>
  <si>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</si>
  <si>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</si>
  <si>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</si>
  <si>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</si>
  <si>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</si>
  <si>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</si>
  <si>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</si>
  <si>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</si>
  <si>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</si>
  <si>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</si>
  <si>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</si>
  <si>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</si>
  <si>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</si>
  <si>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</si>
  <si>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</si>
  <si>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</si>
  <si>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</si>
  <si>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</si>
  <si>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</si>
  <si>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</si>
  <si>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</si>
  <si>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</si>
  <si>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</si>
  <si>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</si>
  <si>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</si>
  <si>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</si>
  <si>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</si>
  <si>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</si>
  <si>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</si>
  <si>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</si>
  <si>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</si>
  <si>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</si>
  <si>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</si>
  <si>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</si>
  <si>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</si>
  <si>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</si>
  <si>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</si>
  <si>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</si>
  <si>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</si>
  <si>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</si>
  <si>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</si>
  <si>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</si>
  <si>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</si>
  <si>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</si>
  <si>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</si>
  <si>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</si>
  <si>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</si>
  <si>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</si>
  <si>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</si>
  <si>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</si>
  <si>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</si>
  <si>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</si>
  <si>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</si>
  <si>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</si>
  <si>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</si>
  <si>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</si>
  <si>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</si>
  <si>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</si>
  <si>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</si>
  <si>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</si>
  <si>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</si>
  <si>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</si>
  <si>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</si>
  <si>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</si>
  <si>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</si>
  <si>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</si>
  <si>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</si>
  <si>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</si>
  <si>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</si>
  <si>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</si>
  <si>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</si>
  <si>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</si>
  <si>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</si>
  <si>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</si>
  <si>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</si>
  <si>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</si>
  <si>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</si>
  <si>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</si>
  <si>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</si>
  <si>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</si>
  <si>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</si>
  <si>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</si>
  <si>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</si>
  <si>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</si>
  <si>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</si>
  <si>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</si>
  <si>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</si>
  <si>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</si>
  <si>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</si>
  <si>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</si>
  <si>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</si>
  <si>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</si>
  <si>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</si>
  <si>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</si>
  <si>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</si>
  <si>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</si>
  <si>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</si>
  <si>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</si>
  <si>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</si>
  <si>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</si>
  <si>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</si>
  <si>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</si>
  <si>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</si>
  <si>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</si>
  <si>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</si>
  <si>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</si>
  <si>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</si>
  <si>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</si>
  <si>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</si>
  <si>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</si>
  <si>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</si>
  <si>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</si>
  <si>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</si>
  <si>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</si>
  <si>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</si>
  <si>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</si>
  <si>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</si>
  <si>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</si>
  <si>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</si>
  <si>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</si>
  <si>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</si>
  <si>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</si>
  <si>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</si>
  <si>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</si>
  <si>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</si>
  <si>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</si>
  <si>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</si>
  <si>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</si>
  <si>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</si>
  <si>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</si>
  <si>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</si>
  <si>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</si>
  <si>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</si>
  <si>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</si>
  <si>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</si>
  <si>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</si>
  <si>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</si>
  <si>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</si>
  <si>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</si>
  <si>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</si>
  <si>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</si>
  <si>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</si>
  <si>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</si>
  <si>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</si>
  <si>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</si>
  <si>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</si>
  <si>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</si>
  <si>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</si>
  <si>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</si>
  <si>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</si>
  <si>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</si>
  <si>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</si>
  <si>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</si>
  <si>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</si>
  <si>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</si>
  <si>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</si>
  <si>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</si>
  <si>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</si>
  <si>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</si>
  <si>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</si>
  <si>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</si>
  <si>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</si>
  <si>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</si>
  <si>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</si>
  <si>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</si>
  <si>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</si>
  <si>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</si>
  <si>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</si>
  <si>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</si>
  <si>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</si>
  <si>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</si>
  <si>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</si>
  <si>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</si>
  <si>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</si>
  <si>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</si>
  <si>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</si>
  <si>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</si>
  <si>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</si>
  <si>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</si>
  <si>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</si>
  <si>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</si>
  <si>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</si>
  <si>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</si>
  <si>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</si>
  <si>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</si>
  <si>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</si>
  <si>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</si>
  <si>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</si>
  <si>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</si>
  <si>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</si>
  <si>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</si>
  <si>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</si>
  <si>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</si>
  <si>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</si>
  <si>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</si>
  <si>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</si>
  <si>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</si>
  <si>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</si>
  <si>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</si>
  <si>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</si>
  <si>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</si>
  <si>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</si>
  <si>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</si>
  <si>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</si>
  <si>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</si>
  <si>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</si>
  <si>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</si>
  <si>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</si>
  <si>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</si>
  <si>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</si>
  <si>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</si>
  <si>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</si>
  <si>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</si>
  <si>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</si>
  <si>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</si>
  <si>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</si>
  <si>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</si>
  <si>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</si>
  <si>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</si>
  <si>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</si>
  <si>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</si>
  <si>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</si>
  <si>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</si>
  <si>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</si>
  <si>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</si>
  <si>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</si>
  <si>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</si>
  <si>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</si>
  <si>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</si>
  <si>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</si>
  <si>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</si>
  <si>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</si>
  <si>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</si>
  <si>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</si>
  <si>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</si>
  <si>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</si>
  <si>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</si>
  <si>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</si>
  <si>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</si>
  <si>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</si>
  <si>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</si>
  <si>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</si>
  <si>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</si>
  <si>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</si>
  <si>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</si>
  <si>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</si>
  <si>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</si>
  <si>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</si>
  <si>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</si>
  <si>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</si>
  <si>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</si>
  <si>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</si>
  <si>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</si>
  <si>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</si>
  <si>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</si>
  <si>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</si>
  <si>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</si>
  <si>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</si>
  <si>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</si>
  <si>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</si>
  <si>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</si>
  <si>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</si>
  <si>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</si>
  <si>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</si>
  <si>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</si>
  <si>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</si>
  <si>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</si>
  <si>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</si>
  <si>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</si>
  <si>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</si>
  <si>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</si>
  <si>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</si>
  <si>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</si>
  <si>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</si>
  <si>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</si>
  <si>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</si>
  <si>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</si>
  <si>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</si>
  <si>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</si>
  <si>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</si>
  <si>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</si>
  <si>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</si>
  <si>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</si>
  <si>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</si>
  <si>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</si>
  <si>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</si>
  <si>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</si>
  <si>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</si>
  <si>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</si>
  <si>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</si>
  <si>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</si>
  <si>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</si>
  <si>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</si>
  <si>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</si>
  <si>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</si>
  <si>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</si>
  <si>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</si>
  <si>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</si>
  <si>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</si>
  <si>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</si>
  <si>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</si>
  <si>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</si>
  <si>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</si>
  <si>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</si>
  <si>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</si>
  <si>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</si>
  <si>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</si>
  <si>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</si>
  <si>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</si>
  <si>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</si>
  <si>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</si>
  <si>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</si>
  <si>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</si>
  <si>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</si>
  <si>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</si>
  <si>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</si>
  <si>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</si>
  <si>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</si>
  <si>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</si>
  <si>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</si>
  <si>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</si>
  <si>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</si>
  <si>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</si>
  <si>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</si>
  <si>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</si>
  <si>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</si>
  <si>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</si>
  <si>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</si>
  <si>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</si>
  <si>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</si>
  <si>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</si>
  <si>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</si>
  <si>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</si>
  <si>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</si>
  <si>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</si>
  <si>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</si>
  <si>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</si>
  <si>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</si>
  <si>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</si>
  <si>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</si>
  <si>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</si>
  <si>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</si>
  <si>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</si>
  <si>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</si>
  <si>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</si>
  <si>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</si>
  <si>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</si>
  <si>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</si>
  <si>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</si>
  <si>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</si>
  <si>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</si>
  <si>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</si>
  <si>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</si>
  <si>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</si>
  <si>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</si>
  <si>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</si>
  <si>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</si>
  <si>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</si>
  <si>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</si>
  <si>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</si>
  <si>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</si>
  <si>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</si>
  <si>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</si>
  <si>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</si>
  <si>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</si>
  <si>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</si>
  <si>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</si>
  <si>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</si>
  <si>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</si>
  <si>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</si>
  <si>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</si>
  <si>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</si>
  <si>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</si>
  <si>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</si>
  <si>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</si>
  <si>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</si>
  <si>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</si>
  <si>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</si>
  <si>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</si>
  <si>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</si>
  <si>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</si>
  <si>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</si>
  <si>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</si>
  <si>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</si>
  <si>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</si>
  <si>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</si>
  <si>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</si>
  <si>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</si>
  <si>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</si>
  <si>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</si>
  <si>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</si>
  <si>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</si>
  <si>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</si>
  <si>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</si>
  <si>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</si>
  <si>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</si>
  <si>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</si>
  <si>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</si>
  <si>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</si>
  <si>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</si>
  <si>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</si>
  <si>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</si>
  <si>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</si>
  <si>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</si>
  <si>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</si>
  <si>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</si>
  <si>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</si>
  <si>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</si>
  <si>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</si>
  <si>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</si>
  <si>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</si>
  <si>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</si>
  <si>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</si>
  <si>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</si>
  <si>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</si>
  <si>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</si>
  <si>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</si>
  <si>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</si>
  <si>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</si>
  <si>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</si>
  <si>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</si>
  <si>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</si>
  <si>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</si>
  <si>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</si>
  <si>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</si>
  <si>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</si>
  <si>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</si>
  <si>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</si>
  <si>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</si>
  <si>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</si>
  <si>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</si>
  <si>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</si>
  <si>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</si>
  <si>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</si>
  <si>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</si>
  <si>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</si>
  <si>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</si>
  <si>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</si>
  <si>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</si>
  <si>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</si>
  <si>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</si>
  <si>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</si>
  <si>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</si>
  <si>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</si>
  <si>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</si>
  <si>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</si>
  <si>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</si>
  <si>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</si>
  <si>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</si>
  <si>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</si>
  <si>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</si>
  <si>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</si>
  <si>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</si>
  <si>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</si>
  <si>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</si>
  <si>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</si>
  <si>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</si>
  <si>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</si>
  <si>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</si>
  <si>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</si>
  <si>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</si>
  <si>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</si>
  <si>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</si>
  <si>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</si>
  <si>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</si>
  <si>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</si>
  <si>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</si>
  <si>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</si>
  <si>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</si>
  <si>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</si>
  <si>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</si>
  <si>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</si>
  <si>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</si>
  <si>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</si>
  <si>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</si>
  <si>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</si>
  <si>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</si>
  <si>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</si>
  <si>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</si>
  <si>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</si>
  <si>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</si>
  <si>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</si>
  <si>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</si>
  <si>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</si>
  <si>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</si>
  <si>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</si>
  <si>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</si>
  <si>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</si>
  <si>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</si>
  <si>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</si>
  <si>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</si>
  <si>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</si>
  <si>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</si>
  <si>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</si>
  <si>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</si>
  <si>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</si>
  <si>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</si>
  <si>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</si>
  <si>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</si>
  <si>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</si>
  <si>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</si>
  <si>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</si>
  <si>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</si>
  <si>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</si>
  <si>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</si>
  <si>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</si>
  <si>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</si>
  <si>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</si>
  <si>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</si>
  <si>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</si>
  <si>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</si>
  <si>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</si>
  <si>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</si>
  <si>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</si>
  <si>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</si>
  <si>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</si>
  <si>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</si>
  <si>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</si>
  <si>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</si>
  <si>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</si>
  <si>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</si>
  <si>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</si>
  <si>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</si>
  <si>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</si>
  <si>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</si>
  <si>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</si>
  <si>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</si>
  <si>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</si>
  <si>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</si>
  <si>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</si>
  <si>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</si>
  <si>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</si>
  <si>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</si>
  <si>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</si>
  <si>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</si>
  <si>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</si>
  <si>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</si>
  <si>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</si>
  <si>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</si>
  <si>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</si>
  <si>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</si>
  <si>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</si>
  <si>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</si>
  <si>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</si>
  <si>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</si>
  <si>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</si>
  <si>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</si>
  <si>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</si>
  <si>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</si>
  <si>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</si>
  <si>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</si>
  <si>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</si>
  <si>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</si>
  <si>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</si>
  <si>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</si>
  <si>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</si>
  <si>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</si>
  <si>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</si>
  <si>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</si>
  <si>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</si>
  <si>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</si>
  <si>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</si>
  <si>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</si>
  <si>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</si>
  <si>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</si>
  <si>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</si>
  <si>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</si>
  <si>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</si>
  <si>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</si>
  <si>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</si>
  <si>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</si>
  <si>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</si>
  <si>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</si>
  <si>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</si>
  <si>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</si>
  <si>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</si>
  <si>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</si>
  <si>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</si>
  <si>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</si>
  <si>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</si>
  <si>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</si>
  <si>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</si>
  <si>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</si>
  <si>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</si>
  <si>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</si>
  <si>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</si>
  <si>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</si>
  <si>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</si>
  <si>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</si>
  <si>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</si>
  <si>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</si>
  <si>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</si>
  <si>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</si>
  <si>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</si>
  <si>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</si>
  <si>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</si>
  <si>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</si>
  <si>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</si>
  <si>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</si>
  <si>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</si>
  <si>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</si>
  <si>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</si>
  <si>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</si>
  <si>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</si>
  <si>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</si>
  <si>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</si>
  <si>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</si>
  <si>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</si>
  <si>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</si>
  <si>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</si>
  <si>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</si>
  <si>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</si>
  <si>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</si>
  <si>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</si>
  <si>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</si>
  <si>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</si>
  <si>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</si>
  <si>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</si>
  <si>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</si>
  <si>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</si>
  <si>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</si>
  <si>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</si>
  <si>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</si>
  <si>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</si>
  <si>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</si>
  <si>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</si>
  <si>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</si>
  <si>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</si>
  <si>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</si>
  <si>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</si>
  <si>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</si>
  <si>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</si>
  <si>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</si>
  <si>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</si>
  <si>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</si>
  <si>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</si>
  <si>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</si>
  <si>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</si>
  <si>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</si>
  <si>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</si>
  <si>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</si>
  <si>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</si>
  <si>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</si>
  <si>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</si>
  <si>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</si>
  <si>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</si>
  <si>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</si>
  <si>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</si>
  <si>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</si>
  <si>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</si>
  <si>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</si>
  <si>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</si>
  <si>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</si>
  <si>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</si>
  <si>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</si>
  <si>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</si>
  <si>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</si>
  <si>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</si>
  <si>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</si>
  <si>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</si>
  <si>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</si>
  <si>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</si>
  <si>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</si>
  <si>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</si>
  <si>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</si>
  <si>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</si>
  <si>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</si>
  <si>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</si>
  <si>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</si>
  <si>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</si>
  <si>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</si>
  <si>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</si>
  <si>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</si>
  <si>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</si>
  <si>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</si>
  <si>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</si>
  <si>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</si>
  <si>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</si>
  <si>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</si>
  <si>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</si>
  <si>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</si>
  <si>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</si>
  <si>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</si>
  <si>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</si>
  <si>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</si>
  <si>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</si>
  <si>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</si>
  <si>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</si>
  <si>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</si>
  <si>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</si>
  <si>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</si>
  <si>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</si>
  <si>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</si>
  <si>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</si>
  <si>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</si>
  <si>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</si>
  <si>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</si>
  <si>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</si>
  <si>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</si>
  <si>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</si>
  <si>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</si>
  <si>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</si>
  <si>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</si>
  <si>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</si>
  <si>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</si>
  <si>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</si>
  <si>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</si>
  <si>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</si>
  <si>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</si>
  <si>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</si>
  <si>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</si>
  <si>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</si>
  <si>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</si>
  <si>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</si>
  <si>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</si>
  <si>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</si>
  <si>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</si>
  <si>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</si>
  <si>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</si>
  <si>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</si>
  <si>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</si>
  <si>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</si>
  <si>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</si>
  <si>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</si>
  <si>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</si>
  <si>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</si>
  <si>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</si>
  <si>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</si>
  <si>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</si>
  <si>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</si>
  <si>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</si>
  <si>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</si>
  <si>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</si>
  <si>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</si>
  <si>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</si>
  <si>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</si>
  <si>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</si>
  <si>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</si>
  <si>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</si>
  <si>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</si>
  <si>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</si>
  <si>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</si>
  <si>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</si>
  <si>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</si>
  <si>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</si>
  <si>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</si>
  <si>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</si>
  <si>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</si>
  <si>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</si>
  <si>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</si>
  <si>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</si>
  <si>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</si>
  <si>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</si>
  <si>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</si>
  <si>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</si>
  <si>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</si>
  <si>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</si>
  <si>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</si>
  <si>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</si>
  <si>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</si>
  <si>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</si>
  <si>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</si>
  <si>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</si>
  <si>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</si>
  <si>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</si>
  <si>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</si>
  <si>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</si>
  <si>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</si>
  <si>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</si>
  <si>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</si>
  <si>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</si>
  <si>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</si>
  <si>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</si>
  <si>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</si>
  <si>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</si>
  <si>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</si>
  <si>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</si>
  <si>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</si>
  <si>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</si>
  <si>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</si>
  <si>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</si>
  <si>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</si>
  <si>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</si>
  <si>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</si>
  <si>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</si>
  <si>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</si>
  <si>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</si>
  <si>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</si>
  <si>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</si>
  <si>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</si>
  <si>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</si>
  <si>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</si>
  <si>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</si>
  <si>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</si>
  <si>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</si>
  <si>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</si>
  <si>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</si>
  <si>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</si>
  <si>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</si>
  <si>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</si>
  <si>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</si>
  <si>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</si>
  <si>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</si>
  <si>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</si>
  <si>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</si>
  <si>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</si>
  <si>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</si>
  <si>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</si>
  <si>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</si>
  <si>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</si>
  <si>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</si>
  <si>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</si>
  <si>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</si>
  <si>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</si>
  <si>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</si>
  <si>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</si>
  <si>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</si>
  <si>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</si>
  <si>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</si>
  <si>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</si>
  <si>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</si>
  <si>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</si>
  <si>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</si>
  <si>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</si>
  <si>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</si>
  <si>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</si>
  <si>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</si>
  <si>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</si>
  <si>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</si>
  <si>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</si>
  <si>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</si>
  <si>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</si>
  <si>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</si>
  <si>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</si>
  <si>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</si>
  <si>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</si>
  <si>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</si>
  <si>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</si>
  <si>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</si>
  <si>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</si>
  <si>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</si>
  <si>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</si>
  <si>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</si>
  <si>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</si>
  <si>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</si>
  <si>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</si>
  <si>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</si>
  <si>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</si>
  <si>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</si>
  <si>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</si>
  <si>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</si>
  <si>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</si>
  <si>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</si>
  <si>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</si>
  <si>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</si>
  <si>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</si>
  <si>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</si>
  <si>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</si>
  <si>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</si>
  <si>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</si>
  <si>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</si>
  <si>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</si>
  <si>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</si>
  <si>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</si>
  <si>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</si>
  <si>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</si>
  <si>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</si>
  <si>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</si>
  <si>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</si>
  <si>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</si>
  <si>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</si>
  <si>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</si>
  <si>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</si>
  <si>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</si>
  <si>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</si>
  <si>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</si>
  <si>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</si>
  <si>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</si>
  <si>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</si>
  <si>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</si>
  <si>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</si>
  <si>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</si>
  <si>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</si>
  <si>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</si>
  <si>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</si>
  <si>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</si>
  <si>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</si>
  <si>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</si>
  <si>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</si>
  <si>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</si>
  <si>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</si>
  <si>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</si>
  <si>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</si>
  <si>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</si>
  <si>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</si>
  <si>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</si>
  <si>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</si>
  <si>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</si>
  <si>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</si>
  <si>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</si>
  <si>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</si>
  <si>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</si>
  <si>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</si>
  <si>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</si>
  <si>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</si>
  <si>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</si>
  <si>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</si>
  <si>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</si>
  <si>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</si>
  <si>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</si>
  <si>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</si>
  <si>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</si>
  <si>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</si>
  <si>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</si>
  <si>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</si>
  <si>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</si>
  <si>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</si>
  <si>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</si>
  <si>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</si>
  <si>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</si>
  <si>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</si>
  <si>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</si>
  <si>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</si>
  <si>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</si>
  <si>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</si>
  <si>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</si>
  <si>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</si>
  <si>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</si>
  <si>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</si>
  <si>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</si>
  <si>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</si>
  <si>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</si>
  <si>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</si>
  <si>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</si>
  <si>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</si>
  <si>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</si>
  <si>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</si>
  <si>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</si>
  <si>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</si>
  <si>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</si>
  <si>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</si>
  <si>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</si>
  <si>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</si>
  <si>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</si>
  <si>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</si>
  <si>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</si>
  <si>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</si>
  <si>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</si>
  <si>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</si>
  <si>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</si>
  <si>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</si>
  <si>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</si>
  <si>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</si>
  <si>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</si>
  <si>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</si>
  <si>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</si>
  <si>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</si>
  <si>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</si>
  <si>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</si>
  <si>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</si>
  <si>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</si>
  <si>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</si>
  <si>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</si>
  <si>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</si>
  <si>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</si>
  <si>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</si>
  <si>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</si>
  <si>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</si>
  <si>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</si>
  <si>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</si>
  <si>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</si>
  <si>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</si>
  <si>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</si>
  <si>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</si>
  <si>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</si>
  <si>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</si>
  <si>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</si>
  <si>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</si>
  <si>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</si>
  <si>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</si>
  <si>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</si>
  <si>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</si>
  <si>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</si>
  <si>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</si>
  <si>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</si>
  <si>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</si>
  <si>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</si>
  <si>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</si>
  <si>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</si>
  <si>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</si>
  <si>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</si>
  <si>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</si>
  <si>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</si>
  <si>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</si>
  <si>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</si>
  <si>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</si>
  <si>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</si>
  <si>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</si>
  <si>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</si>
  <si>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</si>
  <si>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</si>
  <si>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</si>
  <si>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</si>
  <si>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</si>
  <si>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</si>
  <si>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</si>
  <si>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</si>
  <si>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</si>
  <si>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</si>
  <si>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</si>
  <si>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</si>
  <si>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</si>
  <si>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</si>
  <si>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</si>
  <si>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</si>
  <si>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</si>
  <si>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</si>
  <si>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</si>
  <si>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</si>
  <si>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</si>
  <si>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</si>
  <si>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</si>
  <si>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</si>
  <si>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</si>
  <si>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</si>
  <si>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</si>
  <si>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</si>
  <si>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</si>
  <si>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</si>
  <si>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</si>
  <si>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</si>
  <si>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</si>
  <si>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</si>
  <si>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</si>
  <si>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</si>
  <si>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</si>
  <si>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</si>
  <si>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</si>
  <si>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</si>
  <si>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</si>
  <si>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</si>
  <si>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</si>
  <si>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</si>
  <si>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</si>
  <si>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</si>
  <si>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</si>
  <si>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</si>
  <si>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</si>
  <si>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</si>
  <si>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</si>
  <si>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</si>
  <si>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</si>
  <si>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</si>
  <si>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</si>
  <si>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</si>
  <si>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</si>
  <si>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</si>
  <si>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</si>
  <si>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</si>
  <si>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</si>
  <si>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</si>
  <si>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</si>
  <si>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</si>
  <si>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</si>
  <si>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</si>
  <si>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</si>
  <si>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</si>
  <si>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</si>
  <si>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</si>
  <si>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</si>
  <si>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</si>
  <si>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</si>
  <si>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</si>
  <si>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</si>
  <si>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</si>
  <si>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</si>
  <si>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</si>
  <si>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</si>
  <si>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</si>
  <si>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</si>
  <si>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</si>
  <si>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</si>
  <si>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</si>
  <si>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</si>
  <si>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</si>
  <si>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</si>
  <si>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</si>
  <si>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</si>
  <si>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</si>
  <si>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</si>
  <si>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</si>
  <si>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</si>
  <si>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</si>
  <si>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</si>
  <si>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</si>
  <si>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</si>
  <si>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</si>
  <si>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</si>
  <si>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</si>
  <si>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</si>
  <si>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</si>
  <si>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</si>
  <si>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</si>
  <si>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</si>
  <si>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</si>
  <si>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</si>
  <si>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</si>
  <si>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</si>
  <si>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</si>
  <si>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</si>
  <si>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</si>
  <si>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</si>
  <si>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</si>
  <si>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</si>
  <si>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</si>
  <si>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</si>
  <si>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</si>
  <si>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</si>
  <si>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</si>
  <si>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</si>
  <si>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</si>
  <si>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</si>
  <si>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</si>
  <si>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</si>
  <si>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</si>
  <si>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</si>
  <si>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</si>
  <si>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</si>
  <si>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</si>
  <si>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</si>
  <si>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</si>
  <si>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</si>
  <si>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</si>
  <si>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</si>
  <si>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</si>
  <si>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</si>
  <si>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</si>
  <si>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</si>
  <si>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</si>
  <si>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</si>
  <si>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</si>
  <si>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</si>
  <si>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</si>
  <si>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</si>
  <si>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</si>
  <si>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</si>
  <si>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</si>
  <si>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</si>
  <si>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</si>
  <si>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</si>
  <si>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</si>
  <si>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</si>
  <si>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</si>
  <si>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</si>
  <si>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</si>
  <si>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</si>
  <si>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</si>
  <si>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</si>
  <si>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</si>
  <si>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</si>
  <si>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</si>
  <si>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</si>
  <si>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</si>
  <si>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</si>
  <si>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</si>
  <si>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</si>
  <si>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</si>
  <si>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</si>
  <si>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</si>
  <si>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</si>
  <si>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</si>
  <si>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</si>
  <si>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</si>
  <si>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</si>
  <si>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</si>
  <si>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</si>
  <si>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</si>
  <si>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</si>
  <si>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</si>
  <si>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</si>
  <si>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</si>
  <si>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</si>
  <si>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</si>
  <si>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</si>
  <si>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</si>
  <si>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</si>
  <si>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</si>
  <si>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</si>
  <si>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</si>
  <si>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</si>
  <si>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</si>
  <si>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</si>
  <si>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</si>
  <si>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</si>
  <si>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</si>
  <si>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</si>
  <si>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</si>
  <si>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</si>
  <si>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</si>
  <si>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</si>
  <si>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</si>
  <si>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</si>
  <si>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</si>
  <si>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</si>
  <si>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</si>
  <si>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</si>
  <si>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</si>
  <si>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</si>
  <si>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</si>
  <si>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</si>
  <si>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</si>
  <si>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</si>
  <si>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</si>
  <si>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</si>
  <si>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</si>
  <si>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</si>
  <si>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</si>
  <si>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</si>
  <si>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</si>
  <si>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</si>
  <si>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</si>
  <si>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</si>
  <si>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</si>
  <si>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</si>
  <si>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</si>
  <si>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</si>
  <si>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</si>
  <si>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</si>
  <si>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</si>
  <si>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</si>
  <si>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</si>
  <si>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</si>
  <si>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</si>
  <si>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</si>
  <si>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</si>
  <si>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</si>
  <si>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</si>
  <si>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</si>
  <si>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</si>
  <si>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</si>
  <si>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</si>
  <si>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</si>
  <si>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</si>
  <si>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</si>
  <si>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</si>
  <si>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</si>
  <si>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</si>
  <si>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</si>
  <si>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</si>
  <si>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</si>
  <si>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</si>
  <si>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</si>
  <si>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</si>
  <si>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</si>
  <si>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</si>
  <si>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</si>
  <si>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</si>
  <si>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</si>
  <si>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</si>
  <si>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</si>
  <si>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</si>
  <si>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</si>
  <si>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</si>
  <si>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</si>
  <si>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</si>
  <si>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</si>
  <si>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</si>
  <si>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</si>
  <si>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</si>
  <si>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</si>
  <si>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</si>
  <si>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</si>
  <si>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</si>
  <si>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</si>
  <si>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</si>
  <si>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</si>
  <si>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</si>
  <si>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</si>
  <si>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</si>
  <si>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</si>
  <si>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</si>
  <si>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</si>
  <si>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</si>
  <si>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</si>
  <si>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</si>
  <si>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</si>
  <si>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</si>
  <si>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</si>
  <si>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</si>
  <si>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</si>
  <si>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</si>
  <si>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</si>
  <si>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</si>
  <si>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</si>
  <si>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</si>
  <si>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</si>
  <si>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</si>
  <si>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</si>
  <si>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</si>
  <si>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</si>
  <si>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</si>
  <si>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</si>
  <si>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</si>
  <si>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</si>
  <si>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</si>
  <si>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</si>
  <si>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</si>
  <si>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</si>
  <si>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</si>
  <si>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</si>
  <si>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</si>
  <si>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</si>
  <si>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</si>
  <si>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</si>
  <si>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</si>
  <si>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</si>
  <si>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</si>
  <si>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</si>
  <si>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</si>
  <si>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</si>
  <si>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</si>
  <si>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</si>
  <si>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</si>
  <si>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</si>
  <si>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</si>
  <si>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</si>
  <si>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</si>
  <si>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</si>
  <si>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</si>
  <si>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</si>
  <si>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</si>
  <si>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</si>
  <si>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</si>
  <si>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</si>
  <si>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</si>
  <si>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</si>
  <si>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</si>
  <si>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</si>
  <si>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</si>
  <si>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</si>
  <si>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</si>
  <si>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</si>
  <si>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</si>
  <si>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</si>
  <si>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</si>
  <si>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</si>
  <si>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</si>
  <si>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</si>
  <si>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</si>
  <si>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</si>
  <si>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</si>
  <si>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</si>
  <si>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</si>
  <si>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</si>
  <si>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</si>
  <si>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</si>
  <si>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</si>
  <si>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</si>
  <si>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</si>
  <si>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</si>
  <si>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</si>
  <si>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</si>
  <si>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</si>
  <si>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</si>
  <si>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</si>
  <si>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</si>
  <si>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</si>
  <si>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</si>
  <si>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</si>
  <si>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</si>
  <si>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</si>
  <si>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</si>
  <si>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</si>
  <si>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</si>
  <si>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</si>
  <si>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</si>
  <si>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</si>
  <si>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</si>
  <si>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</si>
  <si>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</si>
  <si>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</si>
  <si>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</si>
  <si>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</si>
  <si>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</si>
  <si>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</si>
  <si>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</si>
  <si>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</si>
  <si>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</si>
  <si>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</si>
  <si>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</si>
  <si>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</si>
  <si>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</si>
  <si>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</si>
  <si>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</si>
  <si>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</si>
  <si>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</si>
  <si>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</si>
  <si>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</si>
  <si>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</si>
  <si>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</si>
  <si>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</si>
  <si>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</si>
  <si>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</si>
  <si>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</si>
  <si>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</si>
  <si>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</si>
  <si>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</si>
  <si>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</si>
  <si>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</si>
  <si>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</si>
  <si>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</si>
  <si>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</si>
  <si>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</si>
  <si>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</si>
  <si>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</si>
  <si>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</si>
  <si>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</si>
  <si>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</si>
  <si>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</si>
  <si>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</si>
  <si>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</si>
  <si>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</si>
  <si>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</si>
  <si>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</si>
  <si>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</si>
  <si>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</si>
  <si>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</si>
  <si>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</si>
  <si>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</si>
  <si>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</si>
  <si>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</si>
  <si>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</si>
  <si>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</si>
  <si>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</si>
  <si>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</si>
  <si>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</si>
  <si>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</si>
  <si>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</si>
  <si>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</si>
  <si>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</si>
  <si>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</si>
  <si>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</si>
  <si>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</si>
  <si>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</si>
  <si>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</si>
  <si>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</si>
  <si>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</si>
  <si>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</si>
  <si>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</si>
  <si>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</si>
  <si>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</si>
  <si>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</si>
  <si>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</si>
  <si>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</si>
  <si>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</si>
  <si>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</si>
  <si>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</si>
  <si>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</si>
  <si>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</si>
  <si>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</si>
  <si>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</si>
  <si>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</si>
  <si>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</si>
  <si>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</si>
  <si>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</si>
  <si>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</si>
  <si>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</si>
  <si>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</si>
  <si>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</si>
  <si>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</si>
  <si>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</si>
  <si>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</si>
  <si>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</si>
  <si>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</si>
  <si>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</si>
  <si>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</si>
  <si>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</si>
  <si>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</si>
  <si>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</si>
  <si>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</si>
  <si>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</si>
  <si>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</si>
  <si>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</si>
  <si>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</si>
  <si>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</si>
  <si>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</si>
  <si>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</si>
  <si>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</si>
  <si>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</si>
  <si>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</si>
  <si>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</si>
  <si>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</si>
  <si>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</si>
  <si>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</si>
  <si>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</si>
  <si>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</si>
  <si>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</si>
  <si>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</si>
  <si>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</si>
  <si>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</si>
  <si>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</si>
  <si>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</si>
  <si>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</si>
  <si>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</si>
  <si>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</si>
  <si>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</si>
  <si>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</si>
  <si>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</si>
  <si>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</si>
  <si>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</si>
  <si>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</si>
  <si>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</si>
  <si>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</si>
  <si>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</si>
  <si>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</si>
  <si>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</si>
  <si>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</si>
  <si>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</si>
  <si>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</si>
  <si>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</si>
  <si>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</si>
  <si>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</si>
  <si>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</si>
  <si>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</si>
  <si>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</si>
  <si>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</si>
  <si>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</si>
  <si>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</si>
  <si>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</si>
  <si>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</si>
  <si>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</si>
  <si>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</si>
  <si>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</si>
  <si>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</si>
  <si>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</si>
  <si>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</si>
  <si>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</si>
  <si>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</si>
  <si>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</si>
  <si>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</si>
  <si>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</si>
  <si>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</si>
  <si>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</si>
  <si>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</si>
  <si>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</si>
  <si>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</si>
  <si>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</si>
  <si>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</si>
  <si>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</si>
  <si>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</si>
  <si>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</si>
  <si>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</si>
  <si>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</si>
  <si>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</si>
  <si>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</si>
  <si>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</si>
  <si>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</si>
  <si>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</si>
  <si>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</si>
  <si>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</si>
  <si>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</si>
  <si>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</si>
  <si>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</si>
  <si>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</si>
  <si>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</si>
  <si>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</si>
  <si>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</si>
  <si>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</si>
  <si>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</si>
  <si>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</si>
  <si>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</si>
  <si>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</si>
  <si>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</si>
  <si>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</si>
  <si>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</si>
  <si>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</si>
  <si>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</si>
  <si>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</si>
  <si>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</si>
  <si>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</si>
  <si>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</si>
  <si>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</si>
  <si>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</si>
  <si>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</si>
  <si>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</si>
  <si>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</si>
  <si>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</si>
  <si>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</si>
  <si>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</si>
  <si>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</si>
  <si>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</si>
  <si>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</si>
  <si>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</si>
  <si>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</si>
  <si>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</si>
  <si>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</si>
  <si>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</si>
  <si>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</si>
  <si>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</si>
  <si>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</si>
  <si>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</si>
  <si>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</si>
  <si>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</si>
  <si>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</si>
  <si>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</si>
  <si>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</si>
  <si>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</si>
  <si>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</si>
  <si>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</si>
  <si>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</si>
  <si>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</si>
  <si>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</si>
  <si>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</si>
  <si>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</si>
  <si>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</si>
  <si>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</si>
  <si>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</si>
  <si>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</si>
  <si>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</si>
  <si>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</si>
  <si>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</si>
  <si>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</si>
  <si>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</si>
  <si>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</si>
  <si>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</si>
  <si>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</si>
  <si>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</si>
  <si>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</si>
  <si>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</si>
  <si>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</si>
  <si>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</si>
  <si>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</si>
  <si>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</si>
  <si>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</si>
  <si>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</si>
  <si>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</si>
  <si>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</si>
  <si>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</si>
  <si>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</si>
  <si>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</si>
  <si>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</si>
  <si>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</si>
  <si>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</si>
  <si>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</si>
  <si>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</si>
  <si>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</si>
  <si>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</si>
  <si>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</si>
  <si>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</si>
  <si>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</si>
  <si>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</si>
  <si>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</si>
  <si>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</si>
  <si>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</si>
  <si>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</si>
  <si>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</si>
  <si>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</si>
  <si>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</si>
  <si>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</si>
  <si>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</si>
  <si>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</si>
  <si>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</si>
  <si>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</si>
  <si>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</si>
  <si>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</si>
  <si>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</si>
  <si>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</si>
  <si>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</si>
  <si>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</si>
  <si>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</si>
  <si>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</si>
  <si>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</si>
  <si>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</si>
  <si>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</si>
  <si>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</si>
  <si>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</si>
  <si>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</si>
  <si>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</si>
  <si>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</si>
  <si>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</si>
  <si>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</si>
  <si>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</si>
  <si>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</si>
  <si>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</si>
  <si>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</si>
  <si>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</si>
  <si>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</si>
  <si>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</si>
  <si>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</si>
  <si>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</si>
  <si>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</si>
  <si>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</si>
  <si>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</si>
  <si>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</si>
  <si>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</si>
  <si>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</si>
  <si>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</si>
  <si>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</si>
  <si>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</si>
  <si>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</si>
  <si>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</si>
  <si>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</si>
  <si>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</si>
  <si>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</si>
  <si>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</si>
  <si>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</si>
  <si>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</si>
  <si>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</si>
  <si>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</si>
  <si>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</si>
  <si>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</si>
  <si>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</si>
  <si>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</si>
  <si>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</si>
  <si>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</si>
  <si>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</si>
  <si>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</si>
  <si>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</si>
  <si>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</si>
  <si>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</si>
  <si>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</si>
  <si>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</si>
  <si>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</si>
  <si>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</si>
  <si>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</si>
  <si>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</si>
  <si>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</si>
  <si>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</si>
  <si>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</si>
  <si>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</si>
  <si>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</si>
  <si>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</si>
  <si>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</si>
  <si>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</si>
  <si>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</si>
  <si>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</si>
  <si>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</si>
  <si>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</si>
  <si>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</si>
  <si>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</si>
  <si>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</si>
  <si>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</si>
  <si>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</si>
  <si>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</si>
  <si>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</si>
  <si>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</si>
  <si>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</si>
  <si>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</si>
  <si>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</si>
  <si>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</si>
  <si>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</si>
  <si>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</si>
  <si>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</si>
  <si>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</si>
  <si>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</si>
  <si>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</si>
  <si>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</si>
  <si>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</si>
  <si>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</si>
  <si>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</si>
  <si>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</si>
  <si>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</si>
  <si>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</si>
  <si>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</si>
  <si>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</si>
  <si>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</si>
  <si>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</si>
  <si>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</si>
  <si>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</si>
  <si>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</si>
  <si>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</si>
  <si>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</si>
  <si>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</si>
  <si>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</si>
  <si>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</si>
  <si>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</si>
  <si>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</si>
  <si>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</si>
  <si>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</si>
  <si>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</si>
  <si>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</si>
  <si>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</si>
  <si>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</si>
  <si>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</si>
  <si>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</si>
  <si>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</si>
  <si>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</si>
  <si>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</si>
  <si>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</si>
  <si>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</si>
  <si>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</si>
  <si>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</si>
  <si>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</si>
  <si>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</si>
  <si>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</si>
  <si>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</si>
  <si>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</si>
  <si>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</si>
  <si>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</si>
  <si>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</si>
  <si>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</si>
  <si>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</si>
  <si>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</si>
  <si>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</si>
  <si>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</si>
  <si>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</si>
  <si>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</si>
  <si>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</si>
  <si>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</si>
  <si>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</si>
  <si>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</si>
  <si>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</si>
  <si>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</si>
  <si>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</si>
  <si>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</si>
  <si>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</si>
  <si>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</si>
  <si>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</si>
  <si>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</si>
  <si>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</si>
  <si>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</si>
  <si>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</si>
  <si>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</si>
  <si>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</si>
  <si>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</si>
  <si>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</si>
  <si>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</si>
  <si>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</si>
  <si>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</si>
  <si>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</si>
  <si>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</si>
  <si>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</si>
  <si>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</si>
  <si>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</si>
  <si>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</si>
  <si>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</si>
  <si>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</si>
  <si>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</si>
  <si>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</si>
  <si>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</si>
  <si>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</si>
  <si>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</si>
  <si>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</si>
  <si>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</si>
  <si>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</si>
  <si>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</si>
  <si>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</si>
  <si>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</si>
  <si>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</si>
  <si>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</si>
  <si>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</si>
  <si>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</si>
  <si>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</si>
  <si>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</si>
  <si>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</si>
  <si>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</si>
  <si>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</si>
  <si>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</si>
  <si>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</si>
  <si>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</si>
  <si>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</si>
  <si>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</si>
  <si>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</si>
  <si>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</si>
  <si>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</si>
  <si>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</si>
  <si>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</si>
  <si>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</si>
  <si>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</si>
  <si>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</si>
  <si>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</si>
  <si>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</si>
  <si>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</si>
  <si>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</si>
  <si>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</si>
  <si>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</si>
  <si>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</si>
  <si>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</si>
  <si>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</si>
  <si>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</si>
  <si>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</si>
  <si>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</si>
  <si>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</si>
  <si>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</si>
  <si>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</si>
  <si>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</si>
  <si>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</si>
  <si>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</si>
  <si>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</si>
  <si>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</si>
  <si>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</si>
  <si>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</si>
  <si>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</si>
  <si>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</si>
  <si>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</si>
  <si>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</si>
  <si>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</si>
  <si>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</si>
  <si>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</si>
  <si>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</si>
  <si>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</si>
  <si>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</si>
  <si>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</si>
  <si>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</si>
  <si>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</si>
  <si>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</si>
  <si>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</si>
  <si>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</si>
  <si>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</si>
  <si>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</si>
  <si>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</si>
  <si>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</si>
  <si>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</si>
  <si>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</si>
  <si>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</si>
  <si>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</si>
  <si>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</si>
  <si>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</si>
  <si>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</si>
  <si>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</si>
  <si>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</si>
  <si>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</si>
  <si>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</si>
  <si>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</si>
  <si>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</si>
  <si>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</si>
  <si>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</si>
  <si>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</si>
  <si>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</si>
  <si>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</si>
  <si>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</si>
  <si>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</si>
  <si>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</si>
  <si>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</si>
  <si>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</si>
  <si>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</si>
  <si>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</si>
  <si>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</si>
  <si>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</si>
  <si>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</si>
  <si>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</si>
  <si>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</si>
  <si>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</si>
  <si>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</si>
  <si>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</si>
  <si>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</si>
  <si>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</si>
  <si>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</si>
  <si>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</si>
  <si>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</si>
  <si>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</si>
  <si>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</si>
  <si>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</si>
  <si>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</si>
  <si>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</si>
  <si>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</si>
  <si>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</si>
  <si>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</si>
  <si>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</si>
  <si>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</si>
  <si>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</si>
  <si>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</si>
  <si>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</si>
  <si>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</si>
  <si>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</si>
  <si>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</si>
  <si>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</si>
  <si>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</si>
  <si>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</si>
  <si>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</si>
  <si>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</si>
  <si>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</si>
  <si>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</si>
  <si>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</si>
  <si>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</si>
  <si>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</si>
  <si>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</si>
  <si>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</si>
  <si>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</si>
  <si>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</si>
  <si>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</si>
  <si>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</si>
  <si>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</si>
  <si>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</si>
  <si>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</si>
  <si>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</si>
  <si>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</si>
  <si>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</si>
  <si>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</si>
  <si>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</si>
  <si>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</si>
  <si>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</si>
  <si>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</si>
  <si>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</si>
  <si>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</si>
  <si>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</si>
  <si>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</si>
  <si>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</si>
  <si>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</si>
  <si>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</si>
  <si>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</si>
  <si>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</si>
  <si>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</si>
  <si>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</si>
  <si>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</si>
  <si>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</si>
  <si>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</si>
  <si>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</si>
  <si>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</si>
  <si>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</si>
  <si>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</si>
  <si>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</si>
  <si>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</si>
  <si>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</si>
  <si>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</si>
  <si>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</si>
  <si>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</si>
  <si>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</si>
  <si>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</si>
  <si>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</si>
  <si>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</si>
  <si>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</si>
  <si>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</si>
  <si>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</si>
  <si>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</si>
  <si>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</si>
  <si>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</si>
  <si>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</si>
  <si>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</si>
  <si>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</si>
  <si>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</si>
  <si>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</si>
  <si>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</si>
  <si>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</si>
  <si>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</si>
  <si>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</si>
  <si>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</si>
  <si>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</si>
  <si>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</si>
  <si>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</si>
  <si>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</si>
  <si>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</si>
  <si>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</si>
  <si>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</si>
  <si>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</si>
  <si>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</si>
  <si>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</si>
  <si>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</si>
  <si>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</si>
  <si>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</si>
  <si>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</si>
  <si>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</si>
  <si>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</si>
  <si>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</si>
  <si>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</si>
  <si>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</si>
  <si>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</si>
  <si>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</si>
  <si>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</si>
  <si>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</si>
  <si>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</si>
  <si>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</si>
  <si>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</si>
  <si>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</si>
  <si>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</si>
  <si>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</si>
  <si>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</si>
  <si>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</si>
  <si>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</si>
  <si>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</si>
  <si>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</si>
  <si>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</si>
  <si>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</si>
  <si>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</si>
  <si>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</si>
  <si>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</si>
  <si>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</si>
  <si>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</si>
  <si>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</si>
  <si>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</si>
  <si>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</si>
  <si>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</si>
  <si>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</si>
  <si>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</si>
  <si>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</si>
  <si>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</si>
  <si>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</si>
  <si>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</si>
  <si>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</si>
  <si>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</si>
  <si>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</si>
  <si>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</si>
  <si>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</si>
  <si>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</si>
  <si>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</si>
  <si>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</si>
  <si>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</si>
  <si>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</si>
  <si>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</si>
  <si>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</si>
  <si>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</si>
  <si>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</si>
  <si>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</si>
  <si>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</si>
  <si>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</si>
  <si>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</si>
  <si>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</si>
  <si>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</si>
  <si>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</si>
  <si>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</si>
  <si>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</si>
  <si>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</si>
  <si>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</si>
  <si>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</si>
  <si>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</si>
  <si>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</si>
  <si>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</si>
  <si>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</si>
  <si>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</si>
  <si>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</si>
  <si>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</si>
  <si>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</si>
  <si>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</si>
  <si>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</si>
  <si>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</si>
  <si>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</si>
  <si>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</si>
  <si>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</si>
  <si>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</si>
  <si>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</si>
  <si>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</si>
  <si>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</si>
  <si>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</si>
  <si>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</si>
  <si>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</si>
  <si>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</si>
  <si>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</si>
  <si>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</si>
  <si>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</si>
  <si>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</si>
  <si>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</si>
  <si>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</si>
  <si>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</si>
  <si>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</si>
  <si>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</si>
  <si>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</si>
  <si>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</si>
  <si>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</si>
  <si>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</si>
  <si>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</si>
  <si>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</si>
  <si>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</si>
  <si>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</si>
  <si>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</si>
  <si>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</si>
  <si>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</si>
  <si>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</si>
  <si>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</si>
  <si>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</si>
  <si>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</si>
  <si>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</si>
  <si>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</si>
  <si>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</si>
  <si>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</si>
  <si>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</si>
  <si>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</si>
  <si>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</si>
  <si>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</si>
  <si>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</si>
  <si>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</si>
  <si>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</si>
  <si>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</si>
  <si>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</si>
  <si>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</si>
  <si>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</si>
  <si>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</si>
  <si>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</si>
  <si>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</si>
  <si>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</si>
  <si>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</si>
  <si>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</si>
  <si>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</si>
  <si>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</si>
  <si>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</si>
  <si>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</si>
  <si>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</si>
  <si>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</si>
  <si>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</si>
  <si>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</si>
  <si>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</si>
  <si>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</si>
  <si>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</si>
  <si>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</si>
  <si>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</si>
  <si>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</si>
  <si>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</si>
  <si>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</si>
  <si>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</si>
  <si>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</si>
  <si>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</si>
  <si>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</si>
  <si>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</si>
  <si>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</si>
  <si>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</si>
  <si>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</si>
  <si>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</si>
  <si>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</si>
  <si>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</si>
  <si>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</si>
  <si>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</si>
  <si>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</si>
  <si>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</si>
  <si>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</si>
  <si>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</si>
  <si>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</si>
  <si>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</si>
  <si>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</si>
  <si>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</si>
  <si>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</si>
  <si>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</si>
  <si>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</si>
  <si>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</si>
  <si>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</si>
  <si>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</si>
  <si>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</si>
  <si>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</si>
  <si>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</si>
  <si>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</si>
  <si>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</si>
  <si>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</si>
  <si>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</si>
  <si>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</si>
  <si>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</si>
  <si>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</si>
  <si>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</si>
  <si>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</si>
  <si>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</si>
  <si>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</si>
  <si>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</si>
  <si>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</si>
  <si>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</si>
  <si>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</si>
  <si>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</si>
  <si>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</si>
  <si>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</si>
  <si>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</si>
  <si>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</si>
  <si>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</si>
  <si>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</si>
  <si>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</si>
  <si>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</si>
  <si>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</si>
  <si>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</si>
  <si>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</si>
  <si>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</si>
  <si>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</si>
  <si>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</si>
  <si>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</si>
  <si>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</si>
  <si>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</si>
  <si>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</si>
  <si>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</si>
  <si>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</si>
  <si>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</si>
  <si>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</si>
  <si>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</si>
  <si>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</si>
  <si>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</si>
  <si>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</si>
  <si>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</si>
  <si>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</si>
  <si>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</si>
  <si>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</si>
  <si>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</si>
  <si>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</si>
  <si>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</si>
  <si>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</si>
  <si>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</si>
  <si>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</si>
  <si>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</si>
  <si>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</si>
  <si>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</si>
  <si>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</si>
  <si>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</si>
  <si>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</si>
  <si>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</si>
  <si>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</si>
  <si>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</si>
  <si>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</si>
  <si>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</si>
  <si>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</si>
  <si>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</si>
  <si>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</si>
  <si>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</si>
  <si>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</si>
  <si>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</si>
  <si>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</si>
  <si>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</si>
  <si>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</si>
  <si>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</si>
  <si>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</si>
  <si>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</si>
  <si>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</si>
  <si>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</si>
  <si>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</si>
  <si>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</si>
  <si>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</si>
  <si>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</si>
  <si>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</si>
  <si>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</si>
  <si>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</si>
  <si>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</si>
  <si>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</si>
  <si>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</si>
  <si>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</si>
  <si>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</si>
  <si>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</si>
  <si>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</si>
  <si>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</si>
  <si>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</si>
  <si>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</si>
  <si>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</si>
  <si>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</si>
  <si>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</si>
  <si>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</si>
  <si>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</si>
  <si>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</si>
  <si>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</si>
  <si>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</si>
  <si>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</si>
  <si>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</si>
  <si>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</si>
  <si>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</si>
  <si>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</si>
  <si>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</si>
  <si>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</si>
  <si>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</si>
  <si>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</si>
  <si>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</si>
  <si>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</si>
  <si>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</si>
  <si>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</si>
  <si>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</si>
  <si>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</si>
  <si>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</si>
  <si>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</si>
  <si>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</si>
  <si>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</si>
  <si>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</si>
  <si>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</si>
  <si>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</si>
  <si>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</si>
  <si>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</si>
  <si>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</si>
  <si>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</si>
  <si>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</si>
  <si>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</si>
  <si>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</si>
  <si>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</si>
  <si>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</si>
  <si>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</si>
  <si>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</si>
  <si>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</si>
  <si>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</si>
  <si>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</si>
  <si>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</si>
  <si>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</si>
  <si>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</si>
  <si>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</si>
  <si>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</si>
  <si>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</si>
  <si>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</si>
  <si>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</si>
  <si>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</si>
  <si>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</si>
  <si>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</si>
  <si>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</si>
  <si>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</si>
  <si>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</si>
  <si>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</si>
  <si>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</si>
  <si>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</si>
  <si>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</si>
  <si>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</si>
  <si>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</si>
  <si>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</si>
  <si>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</si>
  <si>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</si>
  <si>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</si>
  <si>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</si>
  <si>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</si>
  <si>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</si>
  <si>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</si>
  <si>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</si>
  <si>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</si>
  <si>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</si>
  <si>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</si>
  <si>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</si>
  <si>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</si>
  <si>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</si>
  <si>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</si>
  <si>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</si>
  <si>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</si>
  <si>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</si>
  <si>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</si>
  <si>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</si>
  <si>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</si>
  <si>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</si>
  <si>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</si>
  <si>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</si>
  <si>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</si>
  <si>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</si>
  <si>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</si>
  <si>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</si>
  <si>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</si>
  <si>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</si>
  <si>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</si>
  <si>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</si>
  <si>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</si>
  <si>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</si>
  <si>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</si>
  <si>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</si>
  <si>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</si>
  <si>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</si>
  <si>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</si>
  <si>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</si>
  <si>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</si>
  <si>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</si>
  <si>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</si>
  <si>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</si>
  <si>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</si>
  <si>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</si>
  <si>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</si>
  <si>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</si>
  <si>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</si>
  <si>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</si>
  <si>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</si>
  <si>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</si>
  <si>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</si>
  <si>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</si>
  <si>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</si>
  <si>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</si>
  <si>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</si>
  <si>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</si>
  <si>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</si>
  <si>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</si>
  <si>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</si>
  <si>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</si>
  <si>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</si>
  <si>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</si>
  <si>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</si>
  <si>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</si>
  <si>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</si>
  <si>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</si>
  <si>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</si>
  <si>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</si>
  <si>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</si>
  <si>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</si>
  <si>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</si>
  <si>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</si>
  <si>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</si>
  <si>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</si>
  <si>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</si>
  <si>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</si>
  <si>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</si>
  <si>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</si>
  <si>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</si>
  <si>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</si>
  <si>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</si>
  <si>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</si>
  <si>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</si>
  <si>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</si>
  <si>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</si>
  <si>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</si>
  <si>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</si>
  <si>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</si>
  <si>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</si>
  <si>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</si>
  <si>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</si>
  <si>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</si>
  <si>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</si>
  <si>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</si>
  <si>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</si>
  <si>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</si>
  <si>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</si>
  <si>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</si>
  <si>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</si>
  <si>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</si>
  <si>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</si>
  <si>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</si>
  <si>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</si>
  <si>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</si>
  <si>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</si>
  <si>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</si>
  <si>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</si>
  <si>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</si>
  <si>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</si>
  <si>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</si>
  <si>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</si>
  <si>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</si>
  <si>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</si>
  <si>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</si>
  <si>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</si>
  <si>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</si>
  <si>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</si>
  <si>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</si>
  <si>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</si>
  <si>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</si>
  <si>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</si>
  <si>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</si>
  <si>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</si>
  <si>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</si>
  <si>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</si>
  <si>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</si>
  <si>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</si>
  <si>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</si>
  <si>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</si>
  <si>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</si>
  <si>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</si>
  <si>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</si>
  <si>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</si>
  <si>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</si>
  <si>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</si>
  <si>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</si>
  <si>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</si>
  <si>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</si>
  <si>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</si>
  <si>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</si>
  <si>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</si>
  <si>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</si>
  <si>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</si>
  <si>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</si>
  <si>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</si>
  <si>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</si>
  <si>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</si>
  <si>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</si>
  <si>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</si>
  <si>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</si>
  <si>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</si>
  <si>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</si>
  <si>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</si>
  <si>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</si>
  <si>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</si>
  <si>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</si>
  <si>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</si>
  <si>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</si>
  <si>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</si>
  <si>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</si>
  <si>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</si>
  <si>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</si>
  <si>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</si>
  <si>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</si>
  <si>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</si>
  <si>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</si>
  <si>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</si>
  <si>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</si>
  <si>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</si>
  <si>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</si>
  <si>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</si>
  <si>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</si>
  <si>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</si>
  <si>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</si>
  <si>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</si>
  <si>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</si>
  <si>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</si>
  <si>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</si>
  <si>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</si>
  <si>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</si>
  <si>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</si>
  <si>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</si>
  <si>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</si>
  <si>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</si>
  <si>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</si>
  <si>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</si>
  <si>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</si>
  <si>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</si>
  <si>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</si>
  <si>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</si>
  <si>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</si>
  <si>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</si>
  <si>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</si>
  <si>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</si>
  <si>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</si>
  <si>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</si>
  <si>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</si>
  <si>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</si>
  <si>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</si>
  <si>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</si>
  <si>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</si>
  <si>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</si>
  <si>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</si>
  <si>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</si>
  <si>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</si>
  <si>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</si>
  <si>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</si>
  <si>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</si>
  <si>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</si>
  <si>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</si>
  <si>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</si>
  <si>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</si>
  <si>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</si>
  <si>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</si>
  <si>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</si>
  <si>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</si>
  <si>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</si>
  <si>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</si>
  <si>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</si>
  <si>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</si>
  <si>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</si>
  <si>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</si>
  <si>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</si>
  <si>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</si>
  <si>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</si>
  <si>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</si>
  <si>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</si>
  <si>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</si>
  <si>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</si>
  <si>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</si>
  <si>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</si>
  <si>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</si>
  <si>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</si>
  <si>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</si>
  <si>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</si>
  <si>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</si>
  <si>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</si>
  <si>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</si>
  <si>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</si>
  <si>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</si>
  <si>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</si>
  <si>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</si>
  <si>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</si>
  <si>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</si>
  <si>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</si>
  <si>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</si>
  <si>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</si>
  <si>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</si>
  <si>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</si>
  <si>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</si>
  <si>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</si>
  <si>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</si>
  <si>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</si>
  <si>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</si>
  <si>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</si>
  <si>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</si>
  <si>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</si>
  <si>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</si>
  <si>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</si>
  <si>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</si>
  <si>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</si>
  <si>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</si>
  <si>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</si>
  <si>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</si>
  <si>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</si>
  <si>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</si>
  <si>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</si>
  <si>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</si>
  <si>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</si>
  <si>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</si>
  <si>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</si>
  <si>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</si>
  <si>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</si>
  <si>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</si>
  <si>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</si>
  <si>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</si>
  <si>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</si>
  <si>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</si>
  <si>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</si>
  <si>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</si>
  <si>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</si>
  <si>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</si>
  <si>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</si>
  <si>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</si>
  <si>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</si>
  <si>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</si>
  <si>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</si>
  <si>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</si>
  <si>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</si>
  <si>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</si>
  <si>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</si>
  <si>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</si>
  <si>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</si>
  <si>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</si>
  <si>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</si>
  <si>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</si>
  <si>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</si>
  <si>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</si>
  <si>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</si>
  <si>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</si>
  <si>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</si>
  <si>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</si>
  <si>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</si>
  <si>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</si>
  <si>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</si>
  <si>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</si>
  <si>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</si>
  <si>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</si>
  <si>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</si>
  <si>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</si>
  <si>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</si>
  <si>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</si>
  <si>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</si>
  <si>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</si>
  <si>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</si>
  <si>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</si>
  <si>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</si>
  <si>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</si>
  <si>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</si>
  <si>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</si>
  <si>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</si>
  <si>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</si>
  <si>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</si>
  <si>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</si>
  <si>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</si>
  <si>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</si>
  <si>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</si>
  <si>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</si>
  <si>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</si>
  <si>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</si>
  <si>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</si>
  <si>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</si>
  <si>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</si>
  <si>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</si>
  <si>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</si>
  <si>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</si>
  <si>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</si>
  <si>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</si>
  <si>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</si>
  <si>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</si>
  <si>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</si>
  <si>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</si>
  <si>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</si>
  <si>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</si>
  <si>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</si>
  <si>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</si>
  <si>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</si>
  <si>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</si>
  <si>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</si>
  <si>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</si>
  <si>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</si>
  <si>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</si>
  <si>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</si>
  <si>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</si>
  <si>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</si>
  <si>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</si>
  <si>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</si>
  <si>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</si>
  <si>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</si>
  <si>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</si>
  <si>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</si>
  <si>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</si>
  <si>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</si>
  <si>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</si>
  <si>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</si>
  <si>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</si>
  <si>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</si>
  <si>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</si>
  <si>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</si>
  <si>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</si>
  <si>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</si>
  <si>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</si>
  <si>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</si>
  <si>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</si>
  <si>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</si>
  <si>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</si>
  <si>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</si>
  <si>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</si>
  <si>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</si>
  <si>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</si>
  <si>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</si>
  <si>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</si>
  <si>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</si>
  <si>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</si>
  <si>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</si>
  <si>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</si>
  <si>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</si>
  <si>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</si>
  <si>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</si>
  <si>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</si>
  <si>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</si>
  <si>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</si>
  <si>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</si>
  <si>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</si>
  <si>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</si>
  <si>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</si>
  <si>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</si>
  <si>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</si>
  <si>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</si>
  <si>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</si>
  <si>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</si>
  <si>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</si>
  <si>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</si>
  <si>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</si>
  <si>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</si>
  <si>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</si>
  <si>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</si>
  <si>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</si>
  <si>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</si>
  <si>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</si>
  <si>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</si>
  <si>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</si>
  <si>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</si>
  <si>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</si>
  <si>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</si>
  <si>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</si>
  <si>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</si>
  <si>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</si>
  <si>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</si>
  <si>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</si>
  <si>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</si>
  <si>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</si>
  <si>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</si>
  <si>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</si>
  <si>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</si>
  <si>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</si>
  <si>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</si>
  <si>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</si>
  <si>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</si>
  <si>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</si>
  <si>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</si>
  <si>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</si>
  <si>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</si>
  <si>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</si>
  <si>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</si>
  <si>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</si>
  <si>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</si>
  <si>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</si>
  <si>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</si>
  <si>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</si>
  <si>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</si>
  <si>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</si>
  <si>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</si>
  <si>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</si>
  <si>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</si>
  <si>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</si>
  <si>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</si>
  <si>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</si>
  <si>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</si>
  <si>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</si>
  <si>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</si>
  <si>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</si>
  <si>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</si>
  <si>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</si>
  <si>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</si>
  <si>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</si>
  <si>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</si>
  <si>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</si>
  <si>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</si>
  <si>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</si>
  <si>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</si>
  <si>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</si>
  <si>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</si>
  <si>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</si>
  <si>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</si>
  <si>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</si>
  <si>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</si>
  <si>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</si>
  <si>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</si>
  <si>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</si>
  <si>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</si>
  <si>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</si>
  <si>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</si>
  <si>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</si>
  <si>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</si>
  <si>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</si>
  <si>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</si>
  <si>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</si>
  <si>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</si>
  <si>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</si>
  <si>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</si>
  <si>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</si>
  <si>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</si>
  <si>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</si>
  <si>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</si>
  <si>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</si>
  <si>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</si>
  <si>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</si>
  <si>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</si>
  <si>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</si>
  <si>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</si>
  <si>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</si>
  <si>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</si>
  <si>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</si>
  <si>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</si>
  <si>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</si>
  <si>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</si>
  <si>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</si>
  <si>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</si>
  <si>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</si>
  <si>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</si>
  <si>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</si>
  <si>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</si>
  <si>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</si>
  <si>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</si>
  <si>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</si>
  <si>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</si>
  <si>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</si>
  <si>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</si>
  <si>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</si>
  <si>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</si>
  <si>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</si>
  <si>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</si>
  <si>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</si>
  <si>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</si>
  <si>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</si>
  <si>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</si>
  <si>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</si>
  <si>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</si>
  <si>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</si>
  <si>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</si>
  <si>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</si>
  <si>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</si>
  <si>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</si>
  <si>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</si>
  <si>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</si>
  <si>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</si>
  <si>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</si>
  <si>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</si>
  <si>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</si>
  <si>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</si>
  <si>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</si>
  <si>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</si>
  <si>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</si>
  <si>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</si>
  <si>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</si>
  <si>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</si>
  <si>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</si>
  <si>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</si>
  <si>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</si>
  <si>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</si>
  <si>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</si>
  <si>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</si>
  <si>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</si>
  <si>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</si>
  <si>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</si>
  <si>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</si>
  <si>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</si>
  <si>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</si>
  <si>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</si>
  <si>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</si>
  <si>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</si>
  <si>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</si>
  <si>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</si>
  <si>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</si>
  <si>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</si>
  <si>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</si>
  <si>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</si>
  <si>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</si>
  <si>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</si>
  <si>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</si>
  <si>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</si>
  <si>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</si>
  <si>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</si>
  <si>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</si>
  <si>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theme="9" tint="-0.249977111117893"/>
        <rFont val="宋体"/>
        <family val="3"/>
        <charset val="134"/>
      </rPr>
      <t>怀柔区开放东路</t>
    </r>
    <r>
      <rPr>
        <sz val="10"/>
        <color theme="9" tint="-0.249977111117893"/>
        <rFont val="Arial"/>
        <family val="2"/>
      </rPr>
      <t>21</t>
    </r>
    <r>
      <rPr>
        <sz val="10"/>
        <color theme="9" tint="-0.249977111117893"/>
        <rFont val="宋体"/>
        <family val="3"/>
        <charset val="134"/>
      </rPr>
      <t>号</t>
    </r>
    <phoneticPr fontId="6" type="noConversion"/>
  </si>
  <si>
    <t>厂房</t>
    <phoneticPr fontId="6" type="noConversion"/>
  </si>
  <si>
    <t>是</t>
  </si>
  <si>
    <t>否</t>
  </si>
  <si>
    <t>工业项目</t>
  </si>
  <si>
    <t>现房</t>
  </si>
  <si>
    <t>Ⅷ-怀1</t>
  </si>
  <si>
    <r>
      <t>3</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</si>
  <si>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4</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</si>
  <si>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</si>
  <si>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</si>
  <si>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7-2</t>
    </r>
    <r>
      <rPr>
        <sz val="10"/>
        <color indexed="8"/>
        <rFont val="宋体"/>
        <family val="3"/>
        <charset val="134"/>
      </rPr>
      <t>幢</t>
    </r>
    <r>
      <rPr>
        <sz val="10"/>
        <color indexed="8"/>
        <rFont val="Arial"/>
        <family val="2"/>
      </rPr>
      <t>1</t>
    </r>
    <r>
      <rPr>
        <sz val="10"/>
        <color indexed="8"/>
        <rFont val="宋体"/>
        <family val="3"/>
        <charset val="134"/>
      </rPr>
      <t>层全部</t>
    </r>
    <phoneticPr fontId="3" type="noConversion"/>
  </si>
  <si>
    <t>地上</t>
  </si>
  <si>
    <t>楼号</t>
    <phoneticPr fontId="134" type="noConversion"/>
  </si>
  <si>
    <t>建筑面积（㎡）</t>
    <phoneticPr fontId="134" type="noConversion"/>
  </si>
  <si>
    <t>建造费用（元/㎡）</t>
    <phoneticPr fontId="134" type="noConversion"/>
  </si>
  <si>
    <t>建安总额</t>
    <phoneticPr fontId="134" type="noConversion"/>
  </si>
  <si>
    <t>层高（米）</t>
    <phoneticPr fontId="134" type="noConversion"/>
  </si>
  <si>
    <r>
      <t>3</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</si>
  <si>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约3.5</t>
    <phoneticPr fontId="134" type="noConversion"/>
  </si>
  <si>
    <t>砖混</t>
    <phoneticPr fontId="134" type="noConversion"/>
  </si>
  <si>
    <r>
      <t>4</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</si>
  <si>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</si>
  <si>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约8</t>
    <phoneticPr fontId="134" type="noConversion"/>
  </si>
  <si>
    <t>钢混</t>
    <phoneticPr fontId="134" type="noConversion"/>
  </si>
  <si>
    <r>
      <t>6</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</si>
  <si>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7-2</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</si>
  <si>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rPr>
        <sz val="10"/>
        <color indexed="8"/>
        <rFont val="宋体"/>
        <family val="3"/>
        <charset val="134"/>
      </rPr>
      <t>合计</t>
    </r>
    <phoneticPr fontId="134" type="noConversion"/>
  </si>
  <si>
    <r>
      <rPr>
        <sz val="10"/>
        <color indexed="8"/>
        <rFont val="宋体"/>
        <family val="3"/>
        <charset val="134"/>
      </rPr>
      <t>土地面积</t>
    </r>
    <phoneticPr fontId="134" type="noConversion"/>
  </si>
  <si>
    <t>剩余土地面积</t>
    <phoneticPr fontId="134" type="noConversion"/>
  </si>
  <si>
    <t>剩余土地租金</t>
    <phoneticPr fontId="134" type="noConversion"/>
  </si>
  <si>
    <t>土地证号</t>
    <phoneticPr fontId="134" type="noConversion"/>
  </si>
  <si>
    <t>坐落</t>
    <phoneticPr fontId="134" type="noConversion"/>
  </si>
  <si>
    <t>土地面积（㎡）</t>
    <phoneticPr fontId="134" type="noConversion"/>
  </si>
  <si>
    <t>地类（用途）</t>
    <phoneticPr fontId="134" type="noConversion"/>
  </si>
  <si>
    <t>幢号</t>
    <phoneticPr fontId="134" type="noConversion"/>
  </si>
  <si>
    <t>不动产权证号</t>
    <phoneticPr fontId="134" type="noConversion"/>
  </si>
  <si>
    <t>房屋坐落</t>
    <phoneticPr fontId="134" type="noConversion"/>
  </si>
  <si>
    <t>规划用途</t>
    <phoneticPr fontId="134" type="noConversion"/>
  </si>
  <si>
    <r>
      <t>京怀国用（2</t>
    </r>
    <r>
      <rPr>
        <sz val="11"/>
        <color theme="1"/>
        <rFont val="宋体"/>
        <family val="3"/>
        <charset val="134"/>
        <scheme val="minor"/>
      </rPr>
      <t>013出）第00034号</t>
    </r>
    <phoneticPr fontId="134" type="noConversion"/>
  </si>
  <si>
    <r>
      <t>北京市怀柔区开放东路2</t>
    </r>
    <r>
      <rPr>
        <sz val="11"/>
        <color theme="1"/>
        <rFont val="宋体"/>
        <family val="3"/>
        <charset val="134"/>
        <scheme val="minor"/>
      </rPr>
      <t>1号</t>
    </r>
    <phoneticPr fontId="134" type="noConversion"/>
  </si>
  <si>
    <t>工业用地</t>
    <phoneticPr fontId="134" type="noConversion"/>
  </si>
  <si>
    <t>X京房权证怀字第019650号</t>
    <phoneticPr fontId="134" type="noConversion"/>
  </si>
  <si>
    <t>怀柔区开放东路21号3幢1层</t>
    <phoneticPr fontId="134" type="noConversion"/>
  </si>
  <si>
    <t>厂房</t>
    <phoneticPr fontId="134" type="noConversion"/>
  </si>
  <si>
    <t>混合</t>
    <phoneticPr fontId="134" type="noConversion"/>
  </si>
  <si>
    <t>X京房权证怀字第019651号</t>
    <phoneticPr fontId="134" type="noConversion"/>
  </si>
  <si>
    <t>怀柔区开放东路21号4幢1层</t>
    <phoneticPr fontId="134" type="noConversion"/>
  </si>
  <si>
    <t>X京房权证怀字第019653号</t>
    <phoneticPr fontId="134" type="noConversion"/>
  </si>
  <si>
    <t>怀柔区开放东路21号5幢1层</t>
    <phoneticPr fontId="134" type="noConversion"/>
  </si>
  <si>
    <t>X京房权证怀字第019649号</t>
    <phoneticPr fontId="134" type="noConversion"/>
  </si>
  <si>
    <t>怀柔区开放东路21号6幢1层</t>
    <phoneticPr fontId="134" type="noConversion"/>
  </si>
  <si>
    <r>
      <t>7</t>
    </r>
    <r>
      <rPr>
        <sz val="11"/>
        <color theme="1"/>
        <rFont val="宋体"/>
        <family val="3"/>
        <charset val="134"/>
        <scheme val="minor"/>
      </rPr>
      <t>-2</t>
    </r>
    <phoneticPr fontId="134" type="noConversion"/>
  </si>
  <si>
    <t>X京房权证怀字第019652号</t>
    <phoneticPr fontId="134" type="noConversion"/>
  </si>
  <si>
    <t>怀柔区开放东路21号7-2幢1层全部</t>
    <phoneticPr fontId="134" type="noConversion"/>
  </si>
  <si>
    <t>合计：</t>
    <phoneticPr fontId="134" type="noConversion"/>
  </si>
  <si>
    <t>工业</t>
    <phoneticPr fontId="7" type="noConversion"/>
  </si>
  <si>
    <t>成新度</t>
  </si>
  <si>
    <t>建成年代</t>
    <phoneticPr fontId="3" type="noConversion"/>
  </si>
  <si>
    <t>直线</t>
    <phoneticPr fontId="3" type="noConversion"/>
  </si>
  <si>
    <t>收益法</t>
  </si>
  <si>
    <t>未包含在土地购买价格中</t>
  </si>
  <si>
    <t>已包含在土地取得成本中</t>
  </si>
  <si>
    <t>全部缴纳</t>
  </si>
  <si>
    <t>押一</t>
  </si>
  <si>
    <t>一般</t>
  </si>
  <si>
    <t>差</t>
  </si>
  <si>
    <t>较好</t>
  </si>
  <si>
    <t>与级别开发程度一致</t>
  </si>
  <si>
    <t>自定义容积率</t>
  </si>
  <si>
    <t>成本法</t>
  </si>
  <si>
    <t>砖混</t>
  </si>
  <si>
    <t>非生产用房</t>
  </si>
  <si>
    <t>观察</t>
    <phoneticPr fontId="3" type="noConversion"/>
  </si>
  <si>
    <t>综合</t>
    <phoneticPr fontId="3" type="noConversion"/>
  </si>
  <si>
    <t>约2.8</t>
    <phoneticPr fontId="134" type="noConversion"/>
  </si>
  <si>
    <t>约3.3</t>
    <phoneticPr fontId="134" type="noConversion"/>
  </si>
  <si>
    <t>约5.5</t>
    <phoneticPr fontId="134" type="noConversion"/>
  </si>
  <si>
    <t>混合</t>
    <phoneticPr fontId="134" type="noConversion"/>
  </si>
  <si>
    <t>通路</t>
  </si>
  <si>
    <t>通电</t>
  </si>
  <si>
    <t>通讯</t>
  </si>
  <si>
    <t>通上水</t>
  </si>
  <si>
    <t>通下水</t>
  </si>
  <si>
    <t>平整</t>
  </si>
  <si>
    <r>
      <rPr>
        <sz val="10"/>
        <color indexed="8"/>
        <rFont val="宋体"/>
        <family val="3"/>
        <charset val="134"/>
      </rPr>
      <t>建筑面积</t>
    </r>
    <phoneticPr fontId="134" type="noConversion"/>
  </si>
  <si>
    <t>市场租金</t>
    <phoneticPr fontId="134" type="noConversion"/>
  </si>
  <si>
    <t>年数</t>
    <phoneticPr fontId="3" type="noConversion"/>
  </si>
  <si>
    <t>合同租金</t>
    <phoneticPr fontId="3" type="noConversion"/>
  </si>
  <si>
    <t>天数</t>
    <phoneticPr fontId="3" type="noConversion"/>
  </si>
  <si>
    <t>租金</t>
    <phoneticPr fontId="3" type="noConversion"/>
  </si>
  <si>
    <t>日租金</t>
    <phoneticPr fontId="3" type="noConversion"/>
  </si>
  <si>
    <t>增长率</t>
    <phoneticPr fontId="134" type="noConversion"/>
  </si>
  <si>
    <t>租期内平均租金</t>
    <phoneticPr fontId="3" type="noConversion"/>
  </si>
  <si>
    <t>租期内合同租金高于市场租金，根据谨慎原则采用市场租金</t>
    <phoneticPr fontId="134" type="noConversion"/>
  </si>
  <si>
    <t>根据产权方盖章资料</t>
    <phoneticPr fontId="3" type="noConversion"/>
  </si>
  <si>
    <t>免租期</t>
    <phoneticPr fontId="134" type="noConversion"/>
  </si>
  <si>
    <t>郑燚</t>
  </si>
  <si>
    <t>混合结构</t>
    <phoneticPr fontId="3" type="noConversion"/>
  </si>
  <si>
    <t>含税</t>
    <phoneticPr fontId="3" type="noConversion"/>
  </si>
  <si>
    <t>平均涨幅</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</si>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</sst>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95" fillId="0" borderId="1" xfId="0" applyFont="1" applyBorder="1" applyAlignment="1">
      <alignment horizontal="center" vertical="center"/>
    </xf>
    <xf numFmtId="179" fontId="0" fillId="0" borderId="0" xfId="0" applyNumberFormat="1">
      <alignment vertical="center"/>
    </xf>
    <xf numFmtId="0" fontId="273" fillId="0" borderId="0" xfId="0" applyFont="1">
      <alignment vertical="center"/>
    </xf>
    <xf numFmtId="176" fontId="0" fillId="0" borderId="1" xfId="0" applyNumberFormat="1" applyBorder="1">
      <alignment vertical="center"/>
    </xf>
    <xf numFmtId="176" fontId="0" fillId="0" borderId="0" xfId="0" applyNumberFormat="1">
      <alignment vertical="center"/>
    </xf>
    <xf numFmtId="0" fontId="95" fillId="0" borderId="1" xfId="0" applyFont="1" applyBorder="1" applyAlignment="1">
      <alignment vertical="center" wrapText="1"/>
    </xf>
    <xf numFmtId="179" fontId="95" fillId="0" borderId="1" xfId="0" applyNumberFormat="1" applyFont="1" applyBorder="1" applyAlignment="1">
      <alignment vertical="center" wrapText="1"/>
    </xf>
    <xf numFmtId="0" fontId="0" fillId="0" borderId="0" xfId="0" applyAlignment="1">
      <alignment vertical="center" wrapText="1"/>
    </xf>
    <xf numFmtId="49" fontId="95" fillId="0" borderId="1" xfId="0" applyNumberFormat="1" applyFont="1" applyBorder="1" applyAlignment="1">
      <alignment vertical="center" wrapText="1"/>
    </xf>
    <xf numFmtId="179" fontId="0" fillId="0" borderId="1" xfId="0" applyNumberFormat="1" applyBorder="1" applyAlignment="1">
      <alignment vertical="center" wrapText="1"/>
    </xf>
    <xf numFmtId="0" fontId="95" fillId="0" borderId="0" xfId="0" applyFont="1" applyAlignment="1">
      <alignment vertical="center" wrapText="1"/>
    </xf>
    <xf numFmtId="49" fontId="0" fillId="0" borderId="1" xfId="0" applyNumberFormat="1" applyBorder="1" applyAlignment="1">
      <alignment vertical="center" wrapText="1"/>
    </xf>
    <xf numFmtId="179" fontId="0" fillId="0" borderId="1" xfId="0" applyNumberFormat="1" applyBorder="1">
      <alignment vertical="center"/>
    </xf>
    <xf numFmtId="0" fontId="77" fillId="12" borderId="0" xfId="0" applyFont="1" applyFill="1" applyProtection="1">
      <alignment vertical="center"/>
      <protection locked="0"/>
    </xf>
    <xf numFmtId="179" fontId="123" fillId="12" borderId="0" xfId="0" applyNumberFormat="1" applyFont="1" applyFill="1" applyProtection="1">
      <alignment vertical="center"/>
      <protection locked="0"/>
    </xf>
    <xf numFmtId="10" fontId="51" fillId="2" borderId="61" xfId="0" applyNumberFormat="1" applyFont="1" applyFill="1" applyBorder="1" applyAlignment="1" applyProtection="1">
      <alignment horizontal="center" vertical="center"/>
      <protection locked="0"/>
    </xf>
    <xf numFmtId="14" fontId="47" fillId="12" borderId="0" xfId="0" applyNumberFormat="1" applyFont="1" applyFill="1" applyProtection="1">
      <alignment vertical="center"/>
      <protection locked="0"/>
    </xf>
    <xf numFmtId="9" fontId="0" fillId="0" borderId="0" xfId="17" applyFont="1">
      <alignment vertical="center"/>
    </xf>
    <xf numFmtId="0" fontId="53" fillId="12" borderId="0" xfId="0" applyFont="1" applyFill="1" applyProtection="1">
      <alignment vertical="center"/>
      <protection locked="0"/>
    </xf>
    <xf numFmtId="10" fontId="53" fillId="0" borderId="1" xfId="1" applyNumberFormat="1" applyFont="1" applyBorder="1" applyAlignment="1" applyProtection="1">
      <alignment horizontal="center" vertical="center"/>
      <protection locked="0"/>
    </xf>
    <xf numFmtId="177" fontId="53" fillId="0" borderId="1" xfId="1" applyNumberFormat="1" applyFont="1" applyBorder="1" applyAlignment="1" applyProtection="1">
      <alignment horizontal="center" vertical="center"/>
      <protection locked="0"/>
    </xf>
    <xf numFmtId="179" fontId="51" fillId="0" borderId="23" xfId="0" applyNumberFormat="1"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95" fillId="0" borderId="5" xfId="0" applyFont="1" applyBorder="1" applyAlignment="1">
      <alignment horizontal="center" vertical="center" wrapText="1"/>
    </xf>
    <xf numFmtId="0" fontId="95" fillId="0" borderId="54" xfId="0" applyFont="1" applyBorder="1" applyAlignment="1">
      <alignment horizontal="center" vertical="center" wrapText="1"/>
    </xf>
    <xf numFmtId="0" fontId="95" fillId="0" borderId="3" xfId="0" applyFont="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454448</xdr:colOff>
      <xdr:row>41</xdr:row>
      <xdr:rowOff>114300</xdr:rowOff>
    </xdr:from>
    <xdr:to>
      <xdr:col>13</xdr:col>
      <xdr:colOff>802908</xdr:colOff>
      <xdr:row>52</xdr:row>
      <xdr:rowOff>340596</xdr:rowOff>
    </xdr:to>
    <xdr:pic>
      <xdr:nvPicPr>
        <xdr:cNvPr id="2" name="图片 1">
          <a:extLst>
            <a:ext uri="{FF2B5EF4-FFF2-40B4-BE49-F238E27FC236}">
              <a16:creationId xmlns:a16="http://schemas.microsoft.com/office/drawing/2014/main" id="{A5467B8D-A191-73C2-F505-4CBD3BAC9BA2}"/>
            </a:ext>
          </a:extLst>
        </xdr:cNvPr>
        <xdr:cNvPicPr>
          <a:picLocks noChangeAspect="1"/>
        </xdr:cNvPicPr>
      </xdr:nvPicPr>
      <xdr:blipFill>
        <a:blip xmlns:r="http://schemas.openxmlformats.org/officeDocument/2006/relationships" r:embed="rId1"/>
        <a:stretch>
          <a:fillRect/>
        </a:stretch>
      </xdr:blipFill>
      <xdr:spPr>
        <a:xfrm>
          <a:off x="5239808" y="9486900"/>
          <a:ext cx="5682460" cy="22608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381000</xdr:colOff>
      <xdr:row>18</xdr:row>
      <xdr:rowOff>91440</xdr:rowOff>
    </xdr:from>
    <xdr:to>
      <xdr:col>25</xdr:col>
      <xdr:colOff>341838</xdr:colOff>
      <xdr:row>44</xdr:row>
      <xdr:rowOff>46762</xdr:rowOff>
    </xdr:to>
    <xdr:pic>
      <xdr:nvPicPr>
        <xdr:cNvPr id="2" name="图片 1">
          <a:extLst>
            <a:ext uri="{FF2B5EF4-FFF2-40B4-BE49-F238E27FC236}">
              <a16:creationId xmlns:a16="http://schemas.microsoft.com/office/drawing/2014/main" id="{162708DC-09DB-FABF-866F-E92C310E0472}"/>
            </a:ext>
          </a:extLst>
        </xdr:cNvPr>
        <xdr:cNvPicPr>
          <a:picLocks noChangeAspect="1"/>
        </xdr:cNvPicPr>
      </xdr:nvPicPr>
      <xdr:blipFill>
        <a:blip xmlns:r="http://schemas.openxmlformats.org/officeDocument/2006/relationships" r:embed="rId1"/>
        <a:stretch>
          <a:fillRect/>
        </a:stretch>
      </xdr:blipFill>
      <xdr:spPr>
        <a:xfrm>
          <a:off x="7086600" y="3383280"/>
          <a:ext cx="8495238" cy="6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113676</xdr:colOff>
      <xdr:row>32</xdr:row>
      <xdr:rowOff>43078</xdr:rowOff>
    </xdr:to>
    <xdr:pic>
      <xdr:nvPicPr>
        <xdr:cNvPr id="2" name="图片 1">
          <a:extLst>
            <a:ext uri="{FF2B5EF4-FFF2-40B4-BE49-F238E27FC236}">
              <a16:creationId xmlns:a16="http://schemas.microsoft.com/office/drawing/2014/main" id="{E2FD323F-F9BD-7F39-5721-3AD6805EE3DD}"/>
            </a:ext>
          </a:extLst>
        </xdr:cNvPr>
        <xdr:cNvPicPr>
          <a:picLocks noChangeAspect="1"/>
        </xdr:cNvPicPr>
      </xdr:nvPicPr>
      <xdr:blipFill>
        <a:blip xmlns:r="http://schemas.openxmlformats.org/officeDocument/2006/relationships" r:embed="rId1"/>
        <a:stretch>
          <a:fillRect/>
        </a:stretch>
      </xdr:blipFill>
      <xdr:spPr>
        <a:xfrm>
          <a:off x="0" y="0"/>
          <a:ext cx="4990476" cy="5895238"/>
        </a:xfrm>
        <a:prstGeom prst="rect">
          <a:avLst/>
        </a:prstGeom>
      </xdr:spPr>
    </xdr:pic>
    <xdr:clientData/>
  </xdr:twoCellAnchor>
  <xdr:twoCellAnchor editAs="oneCell">
    <xdr:from>
      <xdr:col>7</xdr:col>
      <xdr:colOff>604879</xdr:colOff>
      <xdr:row>0</xdr:row>
      <xdr:rowOff>0</xdr:rowOff>
    </xdr:from>
    <xdr:to>
      <xdr:col>23</xdr:col>
      <xdr:colOff>215891</xdr:colOff>
      <xdr:row>41</xdr:row>
      <xdr:rowOff>18024</xdr:rowOff>
    </xdr:to>
    <xdr:pic>
      <xdr:nvPicPr>
        <xdr:cNvPr id="3" name="图片 2">
          <a:extLst>
            <a:ext uri="{FF2B5EF4-FFF2-40B4-BE49-F238E27FC236}">
              <a16:creationId xmlns:a16="http://schemas.microsoft.com/office/drawing/2014/main" id="{3E8C40B5-20FE-4389-3E27-7BA4713553F3}"/>
            </a:ext>
          </a:extLst>
        </xdr:cNvPr>
        <xdr:cNvPicPr>
          <a:picLocks noChangeAspect="1"/>
        </xdr:cNvPicPr>
      </xdr:nvPicPr>
      <xdr:blipFill>
        <a:blip xmlns:r="http://schemas.openxmlformats.org/officeDocument/2006/relationships" r:embed="rId2"/>
        <a:stretch>
          <a:fillRect/>
        </a:stretch>
      </xdr:blipFill>
      <xdr:spPr>
        <a:xfrm>
          <a:off x="4872079" y="0"/>
          <a:ext cx="9364612" cy="7516104"/>
        </a:xfrm>
        <a:prstGeom prst="rect">
          <a:avLst/>
        </a:prstGeom>
      </xdr:spPr>
    </xdr:pic>
    <xdr:clientData/>
  </xdr:twoCellAnchor>
  <xdr:twoCellAnchor editAs="oneCell">
    <xdr:from>
      <xdr:col>8</xdr:col>
      <xdr:colOff>121920</xdr:colOff>
      <xdr:row>42</xdr:row>
      <xdr:rowOff>22860</xdr:rowOff>
    </xdr:from>
    <xdr:to>
      <xdr:col>25</xdr:col>
      <xdr:colOff>558720</xdr:colOff>
      <xdr:row>87</xdr:row>
      <xdr:rowOff>174212</xdr:rowOff>
    </xdr:to>
    <xdr:pic>
      <xdr:nvPicPr>
        <xdr:cNvPr id="4" name="图片 3">
          <a:extLst>
            <a:ext uri="{FF2B5EF4-FFF2-40B4-BE49-F238E27FC236}">
              <a16:creationId xmlns:a16="http://schemas.microsoft.com/office/drawing/2014/main" id="{EC582B48-ED0F-E8C2-D1C4-64F3D3167EDD}"/>
            </a:ext>
          </a:extLst>
        </xdr:cNvPr>
        <xdr:cNvPicPr>
          <a:picLocks noChangeAspect="1"/>
        </xdr:cNvPicPr>
      </xdr:nvPicPr>
      <xdr:blipFill>
        <a:blip xmlns:r="http://schemas.openxmlformats.org/officeDocument/2006/relationships" r:embed="rId3"/>
        <a:stretch>
          <a:fillRect/>
        </a:stretch>
      </xdr:blipFill>
      <xdr:spPr>
        <a:xfrm>
          <a:off x="4998720" y="7703820"/>
          <a:ext cx="10800000" cy="83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231453</xdr:colOff>
      <xdr:row>30</xdr:row>
      <xdr:rowOff>12350</xdr:rowOff>
    </xdr:to>
    <xdr:pic>
      <xdr:nvPicPr>
        <xdr:cNvPr id="2" name="图片 1">
          <a:extLst>
            <a:ext uri="{FF2B5EF4-FFF2-40B4-BE49-F238E27FC236}">
              <a16:creationId xmlns:a16="http://schemas.microsoft.com/office/drawing/2014/main" id="{CB2B5917-9C10-7151-5894-7E228CF736E2}"/>
            </a:ext>
          </a:extLst>
        </xdr:cNvPr>
        <xdr:cNvPicPr>
          <a:picLocks noChangeAspect="1"/>
        </xdr:cNvPicPr>
      </xdr:nvPicPr>
      <xdr:blipFill>
        <a:blip xmlns:r="http://schemas.openxmlformats.org/officeDocument/2006/relationships" r:embed="rId1"/>
        <a:stretch>
          <a:fillRect/>
        </a:stretch>
      </xdr:blipFill>
      <xdr:spPr>
        <a:xfrm>
          <a:off x="0" y="0"/>
          <a:ext cx="7546653" cy="5498750"/>
        </a:xfrm>
        <a:prstGeom prst="rect">
          <a:avLst/>
        </a:prstGeom>
      </xdr:spPr>
    </xdr:pic>
    <xdr:clientData/>
  </xdr:twoCellAnchor>
  <xdr:twoCellAnchor editAs="oneCell">
    <xdr:from>
      <xdr:col>0</xdr:col>
      <xdr:colOff>0</xdr:colOff>
      <xdr:row>66</xdr:row>
      <xdr:rowOff>106680</xdr:rowOff>
    </xdr:from>
    <xdr:to>
      <xdr:col>14</xdr:col>
      <xdr:colOff>334485</xdr:colOff>
      <xdr:row>101</xdr:row>
      <xdr:rowOff>16144</xdr:rowOff>
    </xdr:to>
    <xdr:pic>
      <xdr:nvPicPr>
        <xdr:cNvPr id="4" name="图片 3">
          <a:extLst>
            <a:ext uri="{FF2B5EF4-FFF2-40B4-BE49-F238E27FC236}">
              <a16:creationId xmlns:a16="http://schemas.microsoft.com/office/drawing/2014/main" id="{74C5DB19-8880-C526-AD23-5DF85ED0958B}"/>
            </a:ext>
          </a:extLst>
        </xdr:cNvPr>
        <xdr:cNvPicPr>
          <a:picLocks noChangeAspect="1"/>
        </xdr:cNvPicPr>
      </xdr:nvPicPr>
      <xdr:blipFill>
        <a:blip xmlns:r="http://schemas.openxmlformats.org/officeDocument/2006/relationships" r:embed="rId2"/>
        <a:stretch>
          <a:fillRect/>
        </a:stretch>
      </xdr:blipFill>
      <xdr:spPr>
        <a:xfrm>
          <a:off x="0" y="12176760"/>
          <a:ext cx="8868885" cy="6310264"/>
        </a:xfrm>
        <a:prstGeom prst="rect">
          <a:avLst/>
        </a:prstGeom>
      </xdr:spPr>
    </xdr:pic>
    <xdr:clientData/>
  </xdr:twoCellAnchor>
  <xdr:twoCellAnchor editAs="oneCell">
    <xdr:from>
      <xdr:col>0</xdr:col>
      <xdr:colOff>0</xdr:colOff>
      <xdr:row>31</xdr:row>
      <xdr:rowOff>83820</xdr:rowOff>
    </xdr:from>
    <xdr:to>
      <xdr:col>12</xdr:col>
      <xdr:colOff>556416</xdr:colOff>
      <xdr:row>65</xdr:row>
      <xdr:rowOff>124723</xdr:rowOff>
    </xdr:to>
    <xdr:pic>
      <xdr:nvPicPr>
        <xdr:cNvPr id="5" name="图片 4">
          <a:extLst>
            <a:ext uri="{FF2B5EF4-FFF2-40B4-BE49-F238E27FC236}">
              <a16:creationId xmlns:a16="http://schemas.microsoft.com/office/drawing/2014/main" id="{77034B9C-22C1-7D38-8A06-077B0AA820BE}"/>
            </a:ext>
          </a:extLst>
        </xdr:cNvPr>
        <xdr:cNvPicPr>
          <a:picLocks noChangeAspect="1"/>
        </xdr:cNvPicPr>
      </xdr:nvPicPr>
      <xdr:blipFill>
        <a:blip xmlns:r="http://schemas.openxmlformats.org/officeDocument/2006/relationships" r:embed="rId3"/>
        <a:stretch>
          <a:fillRect/>
        </a:stretch>
      </xdr:blipFill>
      <xdr:spPr>
        <a:xfrm>
          <a:off x="0" y="5753100"/>
          <a:ext cx="7871616" cy="62588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北京市怀柔区开放东路21号房地产抵押价值预评估</v>
      </c>
    </row>
    <row r="3" spans="1:2">
      <c r="A3" s="1118" t="s">
        <v>523</v>
      </c>
      <c r="B3" s="1119">
        <f>'预评函-封皮'!B40</f>
        <v>0</v>
      </c>
    </row>
    <row r="4" spans="1:2">
      <c r="A4" s="1118" t="s">
        <v>524</v>
      </c>
      <c r="B4" s="1119" t="str">
        <f ca="1">'预评函-封皮'!B46</f>
        <v>郑燚（注册号：1120070131)、（注册号：0)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受贵公司委托，我公司对北京市怀柔区开放东路21号房地产抵押价值进行了预评估。</v>
      </c>
    </row>
    <row r="7" spans="1:2">
      <c r="A7" s="1118" t="s">
        <v>566</v>
      </c>
      <c r="B7" s="1119" t="str">
        <f>'预评函-1'!A7</f>
        <v>估价对象为北京市怀柔区开放东路21号房地产，为所有。根据《国有土地使用证》[]，估价对象（分摊）出让国有建设用地使用权面积为5389.47平方米，建筑面积为2447.34平方米。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开放东路21号房地产,属开发建设的工业项目，该项目尚在开发建设中。根据《国有土地使用证》[]，估价对象（分摊）出让国有建设用地使用权面积为5389.47平方米，规划建筑面积为2447.34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怀柔区开放东路21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2025年5月6日（评估专业人员实地查勘之日）</v>
      </c>
    </row>
    <row r="13" spans="1:2">
      <c r="A13" s="1118" t="s">
        <v>529</v>
      </c>
      <c r="B13" s="1119" t="str">
        <f>'预评函-1'!A18</f>
        <v>本次估价的“房地产价值”是指在正常市场情况下，在价值时点2025年5月6日，估价对象规划用途为厂房，土地取得方式为出让，出让国有建设用地使用权剩余土地使用年限为23.24，假定未设立法定优先受偿款下的房地产市场价值。</v>
      </c>
    </row>
    <row r="14" spans="1:2">
      <c r="A14" s="1118" t="s">
        <v>530</v>
      </c>
      <c r="B14" s="1119" t="str">
        <f>'预评函-1'!A19</f>
        <v>其中，“出让国有建设用地使用权价值”是指估价对象用途为厂房，实际开发程度为宗地红线外“七通”（即、、、、、、）、红线内场地平整条件下，剩余土地使用年限为23.24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1374</v>
      </c>
    </row>
    <row r="21" spans="1:2">
      <c r="A21" s="1118" t="s">
        <v>537</v>
      </c>
      <c r="B21" s="1119">
        <f ca="1">'预评函-2'!D7</f>
        <v>5614</v>
      </c>
    </row>
    <row r="22" spans="1:2">
      <c r="A22" s="1118" t="s">
        <v>538</v>
      </c>
      <c r="B22" s="1119" t="str">
        <f ca="1">'预评函-2'!D6</f>
        <v>壹仟叁佰柒拾肆万元整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1374</v>
      </c>
    </row>
    <row r="31" spans="1:2">
      <c r="A31" s="1118" t="s">
        <v>576</v>
      </c>
      <c r="B31" s="1119">
        <f ca="1">'预评函-2'!D15</f>
        <v>5614</v>
      </c>
    </row>
    <row r="32" spans="1:2">
      <c r="A32" s="1118" t="s">
        <v>543</v>
      </c>
      <c r="B32" s="1119" t="str">
        <f ca="1">'预评函-2'!D14</f>
        <v>壹仟叁佰柒拾肆万元整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北京市怀柔区开放东路21号房地产</v>
      </c>
    </row>
    <row r="42" spans="1:2" ht="31.2">
      <c r="A42" s="1118" t="s">
        <v>590</v>
      </c>
      <c r="B42" s="1119" t="str">
        <f>'预评函-3'!B2</f>
        <v>建筑面积</v>
      </c>
    </row>
    <row r="43" spans="1:2">
      <c r="A43" s="1118" t="s">
        <v>591</v>
      </c>
      <c r="B43" s="1119">
        <f>'预评函-3'!B4</f>
        <v>2447.34</v>
      </c>
    </row>
    <row r="44" spans="1:2" ht="31.2">
      <c r="A44" s="1118" t="s">
        <v>575</v>
      </c>
      <c r="B44" s="1119" t="str">
        <f>'预评函-3'!C2</f>
        <v>(分摊)土地面积</v>
      </c>
    </row>
    <row r="45" spans="1:2">
      <c r="A45" s="1118" t="s">
        <v>547</v>
      </c>
      <c r="B45" s="1119">
        <f>'预评函-3'!C4</f>
        <v>5389.47</v>
      </c>
    </row>
    <row r="46" spans="1:2">
      <c r="A46" s="1118" t="s">
        <v>573</v>
      </c>
      <c r="B46" s="1119" t="str">
        <f>'预评函-3'!D2</f>
        <v>出让国有建设用地使用权价值</v>
      </c>
    </row>
    <row r="47" spans="1:2">
      <c r="A47" s="1118" t="s">
        <v>548</v>
      </c>
      <c r="B47" s="1119">
        <f ca="1">'预评函-3'!D4</f>
        <v>760</v>
      </c>
    </row>
    <row r="48" spans="1:2">
      <c r="A48" s="1118" t="s">
        <v>549</v>
      </c>
      <c r="B48" s="1119">
        <f ca="1">'预评函-3'!E4</f>
        <v>3105</v>
      </c>
    </row>
    <row r="49" spans="1:2">
      <c r="A49" s="1118" t="s">
        <v>550</v>
      </c>
      <c r="B49" s="1119" t="str">
        <f ca="1">'预评函-3'!D5</f>
        <v>柒佰陆拾万元整</v>
      </c>
    </row>
    <row r="50" spans="1:2">
      <c r="A50" s="1118" t="s">
        <v>574</v>
      </c>
      <c r="B50" s="1119" t="str">
        <f>'预评函-3'!F2</f>
        <v>在建建筑物价值</v>
      </c>
    </row>
    <row r="51" spans="1:2">
      <c r="A51" s="1118" t="s">
        <v>551</v>
      </c>
      <c r="B51" s="1119">
        <f ca="1">'预评函-3'!F4</f>
        <v>614</v>
      </c>
    </row>
    <row r="52" spans="1:2">
      <c r="A52" s="1118" t="s">
        <v>552</v>
      </c>
      <c r="B52" s="1119">
        <f ca="1">'预评函-3'!G4</f>
        <v>2509</v>
      </c>
    </row>
    <row r="53" spans="1:2">
      <c r="A53" s="1118" t="s">
        <v>580</v>
      </c>
      <c r="B53" s="1119" t="str">
        <f ca="1">'预评函-3'!F5</f>
        <v>陆佰壹拾肆万元整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开放东路21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6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24"/>
      <c r="B54" s="1446" t="s">
        <v>385</v>
      </c>
      <c r="C54" s="1444" t="s">
        <v>583</v>
      </c>
    </row>
    <row r="55" spans="1:4">
      <c r="A55" s="3224"/>
      <c r="B55" s="1446" t="s">
        <v>386</v>
      </c>
      <c r="C55" s="1444" t="s">
        <v>584</v>
      </c>
    </row>
    <row r="56" spans="1:4">
      <c r="A56" s="3224"/>
      <c r="B56" s="1446" t="s">
        <v>387</v>
      </c>
      <c r="C56" s="1444" t="s">
        <v>588</v>
      </c>
    </row>
    <row r="57" spans="1:4">
      <c r="A57" s="322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5" t="s">
        <v>2580</v>
      </c>
      <c r="J2" s="3225"/>
      <c r="K2" s="3225"/>
      <c r="L2" s="3225"/>
      <c r="M2" s="3225"/>
      <c r="N2" s="3225"/>
      <c r="O2" s="3225"/>
      <c r="P2" s="3225"/>
      <c r="Q2" s="3225"/>
      <c r="R2" s="3225"/>
    </row>
    <row r="3" spans="1:18">
      <c r="A3" s="2761" t="s">
        <v>2501</v>
      </c>
      <c r="B3" s="2762">
        <f>项目基本情况!D3</f>
        <v>45783</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1.62</v>
      </c>
      <c r="D5" s="2766">
        <f>IF(ISERROR(ROUND(POWER(1+E5,A5-C5)*(POWER(1+E5,C5)-1)/(POWER(1+E5,A5)-1),3)),0,ROUND(POWER(1+E5,A5-C5)*(POWER(1+E5,C5)-1)/(POWER(1+E5,A5)-1),4))</f>
        <v>7.7799999999999994E-2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11.63</v>
      </c>
      <c r="D6" s="2766">
        <f>IF(ISERROR(ROUND(POWER(1+E6,A6-C6)*(POWER(1+E6,C6)-1)/(POWER(1+E6,A6)-1),3)),0,ROUND(POWER(1+E6,A6-C6)*(POWER(1+E6,C6)-1)/(POWER(1+E6,A6)-1),4))</f>
        <v>0.42630000000000001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31.64</v>
      </c>
      <c r="D7" s="2766">
        <f>IF(ISERROR(ROUND(POWER(1+E7,A7-C7)*(POWER(1+E7,C7)-1)/(POWER(1+E7,A7)-1),3)),0,ROUND(POWER(1+E7,A7-C7)*(POWER(1+E7,C7)-1)/(POWER(1+E7,A7)-1),4))</f>
        <v>0.75970000000000004</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B4" sqref="B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33" t="str">
        <f>IF(B10="北京市","北京市",C10)&amp;F10&amp;IF(结果表!G1="在建","出让国有建设用地使用权及在建建筑物",IF(结果表!G1="土地","出让国有建设用地使用权",))&amp;B9&amp;"预评估"</f>
        <v>北京市怀柔区开放东路21号房地产抵押价值预评估</v>
      </c>
      <c r="C1" s="3234"/>
      <c r="D1" s="3234"/>
      <c r="E1" s="3234"/>
      <c r="F1" s="3234"/>
      <c r="G1" s="3234"/>
      <c r="H1" s="3234"/>
      <c r="I1" s="3235"/>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北京市怀柔区开放东路21号房地产抵押价值</v>
      </c>
      <c r="T1" s="1617"/>
      <c r="U1" s="1617"/>
      <c r="V1" s="1617"/>
      <c r="W1" s="1617"/>
      <c r="X1" s="1617"/>
      <c r="Y1" s="1617"/>
      <c r="Z1" s="1617"/>
      <c r="AA1" s="1617"/>
      <c r="AB1" s="1617"/>
    </row>
    <row r="2" spans="1:30">
      <c r="A2" s="2181" t="s">
        <v>2169</v>
      </c>
      <c r="B2" s="121"/>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北京市怀柔区开放东路21号房地产</v>
      </c>
      <c r="T2" s="1617"/>
      <c r="U2" s="1617"/>
      <c r="V2" s="1617"/>
      <c r="W2" s="1617"/>
      <c r="X2" s="1617"/>
      <c r="Y2" s="1617"/>
      <c r="Z2" s="1617"/>
      <c r="AA2" s="1617"/>
      <c r="AB2" s="1617"/>
    </row>
    <row r="3" spans="1:30">
      <c r="A3" s="293" t="s">
        <v>2170</v>
      </c>
      <c r="B3" s="2184">
        <v>45783</v>
      </c>
      <c r="C3" s="2185" t="s">
        <v>2171</v>
      </c>
      <c r="D3" s="2184">
        <f>B3</f>
        <v>45783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t="s">
        <v>3513</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3412</v>
      </c>
      <c r="C8" s="2200"/>
      <c r="D8" s="3236" t="s">
        <v>2177</v>
      </c>
      <c r="E8" s="2201" t="s">
        <v>3413</v>
      </c>
      <c r="F8" s="2202"/>
      <c r="G8" s="2441"/>
      <c r="H8" s="2441"/>
      <c r="I8" s="2441"/>
      <c r="J8" s="2244"/>
      <c r="K8" s="2399"/>
      <c r="L8" s="2398"/>
      <c r="M8" s="2398"/>
      <c r="N8" s="2244"/>
      <c r="O8" s="1669"/>
      <c r="P8" s="2244"/>
      <c r="Q8" s="2244"/>
      <c r="R8" s="2244"/>
    </row>
    <row r="9" spans="1:30" ht="13.8" thickBot="1">
      <c r="A9" s="2203" t="s">
        <v>2178</v>
      </c>
      <c r="B9" s="2204" t="s">
        <v>3413</v>
      </c>
      <c r="C9" s="2205"/>
      <c r="D9" s="3237"/>
      <c r="E9" s="2204" t="s">
        <v>43</v>
      </c>
      <c r="F9" s="2206"/>
      <c r="G9" s="2442"/>
      <c r="H9" s="2442"/>
      <c r="I9" s="2442"/>
      <c r="J9" s="2244"/>
      <c r="K9" s="2401"/>
      <c r="L9" s="2398"/>
      <c r="M9" s="2398"/>
      <c r="N9" s="2244"/>
      <c r="O9" s="1669"/>
      <c r="P9" s="2244"/>
      <c r="Q9" s="2244"/>
      <c r="R9" s="2244"/>
    </row>
    <row r="10" spans="1:30" ht="13.8" thickTop="1">
      <c r="A10" s="2207" t="s">
        <v>2179</v>
      </c>
      <c r="B10" s="2208" t="s">
        <v>3414</v>
      </c>
      <c r="C10" s="2209"/>
      <c r="D10" s="2192"/>
      <c r="E10" s="2210" t="s">
        <v>2180</v>
      </c>
      <c r="F10" s="3161" t="s">
        <v>3416</v>
      </c>
      <c r="G10" s="2443"/>
      <c r="H10" s="2444"/>
      <c r="I10" s="2445"/>
      <c r="J10" s="2244"/>
      <c r="K10" s="2401"/>
      <c r="L10" s="2398"/>
      <c r="M10" s="2398"/>
      <c r="N10" s="2244"/>
      <c r="O10" s="1669"/>
      <c r="P10" s="2244"/>
      <c r="Q10" s="2244"/>
      <c r="R10" s="2244"/>
    </row>
    <row r="11" spans="1:30">
      <c r="A11" s="2211" t="s">
        <v>2181</v>
      </c>
      <c r="B11" s="2212" t="s">
        <v>3415</v>
      </c>
      <c r="C11" s="2213"/>
      <c r="D11" s="2214"/>
      <c r="E11" s="2181"/>
      <c r="F11" s="2181"/>
      <c r="G11" s="2181"/>
      <c r="H11" s="2181"/>
      <c r="I11" s="2181"/>
      <c r="J11" s="2800"/>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799" t="s">
        <v>2576</v>
      </c>
      <c r="J12" s="2801"/>
      <c r="K12" s="2398"/>
      <c r="L12" s="2398"/>
      <c r="M12" s="2244"/>
      <c r="N12" s="1669"/>
      <c r="O12" s="2244"/>
      <c r="P12" s="2244"/>
      <c r="Q12" s="2244"/>
      <c r="AD12" s="1617"/>
    </row>
    <row r="13" spans="1:30">
      <c r="A13" s="3120" t="s">
        <v>3332</v>
      </c>
      <c r="B13" s="2217" t="s">
        <v>2190</v>
      </c>
      <c r="C13" s="802"/>
      <c r="D13" s="802"/>
      <c r="E13" s="802"/>
      <c r="F13" s="802"/>
      <c r="G13" s="802"/>
      <c r="H13" s="802">
        <v>54266</v>
      </c>
      <c r="I13" s="802"/>
      <c r="J13" s="2801"/>
      <c r="K13" s="2398"/>
      <c r="L13" s="2398"/>
      <c r="M13" s="2244"/>
      <c r="N13" s="1669"/>
      <c r="O13" s="2244"/>
      <c r="P13" s="2244"/>
      <c r="Q13" s="2244"/>
      <c r="AD13" s="1617"/>
    </row>
    <row r="14" spans="1:30">
      <c r="A14" s="1017"/>
      <c r="B14" s="2217" t="s">
        <v>2191</v>
      </c>
      <c r="C14" s="2218"/>
      <c r="D14" s="2218"/>
      <c r="E14" s="2218"/>
      <c r="F14" s="2218"/>
      <c r="G14" s="2218"/>
      <c r="H14" s="2218"/>
      <c r="I14" s="2218"/>
      <c r="J14" s="2802"/>
      <c r="K14" s="2398"/>
      <c r="L14" s="2398"/>
      <c r="M14" s="2244"/>
      <c r="N14" s="1669"/>
      <c r="O14" s="2244"/>
      <c r="P14" s="2244"/>
      <c r="Q14" s="2244"/>
      <c r="AD14" s="1617"/>
    </row>
    <row r="15" spans="1:30">
      <c r="A15" s="311"/>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23.24</v>
      </c>
      <c r="I15" s="2220" t="str">
        <f>IF(A13="出让",IF(I13="","",ROUNDDOWN(MIN((I13-$D$3)/365,I14),2)),I14)</f>
        <v/>
      </c>
      <c r="J15" s="2803"/>
      <c r="K15" s="1669"/>
      <c r="L15" s="1669"/>
      <c r="M15" s="2244"/>
      <c r="N15" s="1669"/>
      <c r="O15" s="2244"/>
      <c r="P15" s="2244"/>
      <c r="Q15" s="2244"/>
      <c r="AD15" s="1617"/>
    </row>
    <row r="16" spans="1:30">
      <c r="A16" s="2210" t="s">
        <v>2193</v>
      </c>
      <c r="B16" s="3243" t="s">
        <v>3417</v>
      </c>
      <c r="C16" s="3244"/>
      <c r="D16" s="3245"/>
      <c r="E16" s="2221" t="s">
        <v>2194</v>
      </c>
      <c r="F16" s="3246">
        <f>H15</f>
        <v>23.24</v>
      </c>
      <c r="G16" s="3247"/>
      <c r="H16" s="3247"/>
      <c r="I16" s="3248"/>
      <c r="J16" s="2244"/>
      <c r="K16" s="2402"/>
      <c r="L16" s="1669"/>
      <c r="M16" s="1669"/>
      <c r="N16" s="2244"/>
      <c r="O16" s="1669"/>
      <c r="P16" s="2244"/>
      <c r="Q16" s="2244"/>
      <c r="R16" s="2244"/>
    </row>
    <row r="17" spans="1:28">
      <c r="A17" s="304" t="s">
        <v>2195</v>
      </c>
      <c r="B17" s="293" t="s">
        <v>2196</v>
      </c>
      <c r="C17" s="8">
        <f>'数据-汇总表'!E3</f>
        <v>2447.34</v>
      </c>
      <c r="D17" s="1255" t="s">
        <v>2197</v>
      </c>
      <c r="E17" s="3249" t="s">
        <v>2198</v>
      </c>
      <c r="F17" s="3250"/>
      <c r="G17" s="3250"/>
      <c r="H17" s="3250"/>
      <c r="I17" s="3251"/>
      <c r="J17" s="2244"/>
      <c r="K17" s="2403"/>
      <c r="L17" s="1669"/>
      <c r="M17" s="1669"/>
      <c r="N17" s="2244"/>
      <c r="O17" s="1669"/>
      <c r="P17" s="2244"/>
      <c r="Q17" s="2244"/>
      <c r="R17" s="2244"/>
      <c r="S17" s="2244"/>
      <c r="T17" s="2244"/>
      <c r="U17" s="2244"/>
      <c r="V17" s="2244"/>
    </row>
    <row r="18" spans="1:28" ht="24.6" thickBot="1">
      <c r="A18" s="2222" t="s">
        <v>2199</v>
      </c>
      <c r="B18" s="1026" t="s">
        <v>2200</v>
      </c>
      <c r="C18" s="2223">
        <f>'数据-汇总表'!D3</f>
        <v>5389.47</v>
      </c>
      <c r="D18" s="1028" t="s">
        <v>2201</v>
      </c>
      <c r="E18" s="3252" t="s">
        <v>2202</v>
      </c>
      <c r="F18" s="3253"/>
      <c r="G18" s="3253"/>
      <c r="H18" s="3253"/>
      <c r="I18" s="3254"/>
      <c r="J18" s="2244"/>
      <c r="K18" s="2403"/>
      <c r="L18" s="1669"/>
      <c r="M18" s="1669"/>
      <c r="N18" s="2244"/>
      <c r="O18" s="1669"/>
      <c r="P18" s="2244"/>
      <c r="Q18" s="2244"/>
      <c r="R18" s="2244"/>
      <c r="S18" s="2244"/>
      <c r="T18" s="2244"/>
      <c r="U18" s="2244"/>
      <c r="V18" s="2244"/>
    </row>
    <row r="19" spans="1:28" ht="54" thickTop="1" thickBot="1">
      <c r="A19" s="318" t="s">
        <v>1055</v>
      </c>
      <c r="B19" s="298" t="s">
        <v>2203</v>
      </c>
      <c r="C19" s="1454" t="s">
        <v>3418</v>
      </c>
      <c r="D19" s="1455" t="s">
        <v>2204</v>
      </c>
      <c r="E19" s="1456" t="s">
        <v>3419</v>
      </c>
      <c r="F19" s="1457" t="str">
        <f>IF(AND(C19="是",E19="否"),"是否提供他项权证或相关说明","")</f>
        <v>是否提供他项权证或相关说明</v>
      </c>
      <c r="G19" s="1458" t="s">
        <v>3419</v>
      </c>
      <c r="H19" s="2441"/>
      <c r="I19" s="2441"/>
      <c r="J19" s="2244"/>
      <c r="K19" s="2401"/>
      <c r="L19" s="2398"/>
      <c r="M19" s="2398"/>
      <c r="N19" s="2244"/>
      <c r="O19" s="1669"/>
      <c r="P19" s="2244"/>
      <c r="Q19" s="2244"/>
      <c r="R19" s="2244"/>
      <c r="S19" s="2244"/>
      <c r="T19" s="2244"/>
      <c r="U19" s="2244"/>
      <c r="V19" s="2244"/>
    </row>
    <row r="20" spans="1:28">
      <c r="A20" s="2416" t="s">
        <v>2205</v>
      </c>
      <c r="B20" s="3239" t="s">
        <v>2206</v>
      </c>
      <c r="C20" s="3240"/>
      <c r="D20" s="3241" t="s">
        <v>2207</v>
      </c>
      <c r="E20" s="3242"/>
      <c r="F20" s="2429" t="s">
        <v>1056</v>
      </c>
      <c r="G20" s="2441"/>
      <c r="H20" s="2441"/>
      <c r="I20" s="2441"/>
      <c r="J20" s="2244"/>
      <c r="K20" s="3238"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2209</v>
      </c>
      <c r="C21" s="2295" t="s">
        <v>1057</v>
      </c>
      <c r="D21" s="1459" t="s">
        <v>2210</v>
      </c>
      <c r="E21" s="2418" t="s">
        <v>1057</v>
      </c>
      <c r="F21" s="2430"/>
      <c r="G21" s="2441"/>
      <c r="H21" s="2441"/>
      <c r="I21" s="2441"/>
      <c r="J21" s="2244"/>
      <c r="K21" s="323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2211</v>
      </c>
      <c r="C22" s="2295" t="s">
        <v>1058</v>
      </c>
      <c r="D22" s="2441"/>
      <c r="E22" s="2441"/>
      <c r="F22" s="2441"/>
      <c r="G22" s="2441"/>
      <c r="H22" s="2441"/>
      <c r="I22" s="2441"/>
      <c r="J22" s="2244"/>
      <c r="K22" s="323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27" t="s">
        <v>2214</v>
      </c>
      <c r="B27" s="311" t="s">
        <v>2215</v>
      </c>
      <c r="C27" s="2224" t="s">
        <v>3420</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7"/>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7"/>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8"/>
      <c r="B30" s="293" t="s">
        <v>2218</v>
      </c>
      <c r="C30" s="3229"/>
      <c r="D30" s="3230"/>
      <c r="E30" s="2441"/>
      <c r="F30" s="2441"/>
      <c r="G30" s="2441"/>
      <c r="H30" s="2441"/>
      <c r="I30" s="2441"/>
      <c r="J30" s="2244"/>
      <c r="K30" s="2401"/>
      <c r="L30" s="2398"/>
      <c r="M30" s="2398"/>
      <c r="N30" s="2244"/>
      <c r="O30" s="1669"/>
      <c r="P30" s="2244"/>
      <c r="Q30" s="2244"/>
      <c r="R30" s="2244"/>
      <c r="S30" s="2244"/>
      <c r="T30" s="2244"/>
      <c r="U30" s="2244"/>
      <c r="V30" s="2244"/>
    </row>
    <row r="31" spans="1:28">
      <c r="A31" s="3231" t="s">
        <v>2219</v>
      </c>
      <c r="B31" s="2230" t="s">
        <v>3421</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32"/>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32"/>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26" t="s">
        <v>2228</v>
      </c>
      <c r="T34" s="314" t="str">
        <f>NUMBERSTRING(7-K34,1)&amp;"通"</f>
        <v>七通</v>
      </c>
      <c r="U34" s="2244"/>
      <c r="V34" s="2244"/>
    </row>
    <row r="35" spans="1:30">
      <c r="A35" s="2235"/>
      <c r="B35" s="3226" t="s">
        <v>2229</v>
      </c>
      <c r="C35" s="3226"/>
      <c r="D35" s="3226"/>
      <c r="E35" s="3226"/>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26"/>
      <c r="T35" s="137" t="str">
        <f>IF(T34="一通",L35,IF(T34="二通",M35,IF(T34="三通",N35,IF(T34="四通",O35,IF(T34="五通",P35,IF(T34="六通",Q35,R35))))))</f>
        <v>、、、、、、</v>
      </c>
      <c r="U35" s="2244"/>
      <c r="V35" s="2244"/>
    </row>
    <row r="36" spans="1:30">
      <c r="A36" s="2182"/>
      <c r="B36" s="8" t="s">
        <v>2185</v>
      </c>
      <c r="C36" s="8" t="s">
        <v>2186</v>
      </c>
      <c r="D36" s="8" t="s">
        <v>2184</v>
      </c>
      <c r="E36" s="8" t="s">
        <v>2189</v>
      </c>
      <c r="F36" s="2799"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305</v>
      </c>
      <c r="F37" s="2236"/>
      <c r="G37" s="2441"/>
      <c r="H37" s="2441"/>
      <c r="I37" s="2441"/>
      <c r="J37" s="2244"/>
      <c r="K37" s="2401"/>
      <c r="L37" s="2398"/>
      <c r="M37" s="2398"/>
      <c r="N37" s="2244"/>
      <c r="O37" s="1669"/>
      <c r="P37" s="2244"/>
      <c r="Q37" s="2244"/>
      <c r="R37" s="2244"/>
      <c r="S37" s="2244"/>
      <c r="T37" s="2244"/>
      <c r="U37" s="2244"/>
      <c r="V37" s="2244"/>
    </row>
    <row r="38" spans="1:30" ht="13.8" thickBot="1">
      <c r="A38" s="2415" t="s">
        <v>2231</v>
      </c>
      <c r="B38" s="2237"/>
      <c r="C38" s="2237"/>
      <c r="D38" s="2237"/>
      <c r="E38" s="2237" t="s">
        <v>3422</v>
      </c>
      <c r="F38" s="2237"/>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v>5389.47</v>
      </c>
      <c r="B3" s="11">
        <f>IF(C3="否",G5-AT5,G5)</f>
        <v>2447.34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2447.34</v>
      </c>
      <c r="H5" s="13">
        <f t="shared" ref="H5:AT5" si="0">SUM(H13:H656)</f>
        <v>2447.34</v>
      </c>
      <c r="I5" s="13">
        <f t="shared" si="0"/>
        <v>2447.34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2447.34</v>
      </c>
      <c r="BA5" s="15">
        <f t="shared" si="1"/>
        <v>2447.34</v>
      </c>
      <c r="BB5" s="15">
        <f t="shared" si="1"/>
        <v>2447.34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5389.47</v>
      </c>
      <c r="F6" s="13" t="s">
        <v>0</v>
      </c>
      <c r="G6" s="13" t="s">
        <v>1</v>
      </c>
      <c r="H6" s="17">
        <f>SUMIF(I$12:AB$12,"总值",I6:AB6)</f>
        <v>5389.47</v>
      </c>
      <c r="I6" s="13">
        <f t="shared" ref="I6:AB6" si="2">ROUND($A$3*I5/$B$3,2)</f>
        <v>5389.47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5389.47</v>
      </c>
      <c r="AZ6" s="13" t="s">
        <v>2</v>
      </c>
      <c r="BA6" s="13">
        <f>ROUND($AY$6*BA5/$AZ$5,2)</f>
        <v>5389.47</v>
      </c>
      <c r="BB6" s="13">
        <f>ROUND($AY$6*BB5/$AZ$5,2)</f>
        <v>5389.47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3428</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
        <v>3423</v>
      </c>
      <c r="D13" s="1512" t="s">
        <v>3418</v>
      </c>
      <c r="E13" s="13">
        <f>IF($C$3="是",ROUND($A$3*G13/$B$3,2),ROUND($A$3*(G13-AT13)/$B$3,2))</f>
        <v>466.86</v>
      </c>
      <c r="F13" s="29"/>
      <c r="G13" s="30">
        <f>H13+AC13+AT13</f>
        <v>212</v>
      </c>
      <c r="H13" s="17">
        <f>SUMIF(I$12:AB$12,"总值",I13:AB13)</f>
        <v>212</v>
      </c>
      <c r="I13" s="1513">
        <v>212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3幢1层</v>
      </c>
      <c r="AY13" s="1259">
        <f>ROUND($AY$6*AZ13/$AZ$5,2)</f>
        <v>466.86</v>
      </c>
      <c r="AZ13" s="13">
        <f>BA13+BL13</f>
        <v>212</v>
      </c>
      <c r="BA13" s="13">
        <f>SUM(BB13:BK13)</f>
        <v>212</v>
      </c>
      <c r="BB13" s="13">
        <f>IF($D13="是",I13-J13,0)</f>
        <v>212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t="s">
        <v>3424</v>
      </c>
      <c r="D14" s="1512" t="s">
        <v>3418</v>
      </c>
      <c r="E14" s="13">
        <f>IF($C$3="是",ROUND($A$3*G14/$B$3,2),ROUND($A$3*(G14-AT14)/$B$3,2))</f>
        <v>512.20000000000005</v>
      </c>
      <c r="F14" s="29"/>
      <c r="G14" s="30">
        <f>H14+AC14+AT14</f>
        <v>232.59</v>
      </c>
      <c r="H14" s="17">
        <f>SUMIF(I$12:AB$12,"总值",I14:AB14)</f>
        <v>232.59</v>
      </c>
      <c r="I14" s="1513">
        <v>232.59</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4幢1层</v>
      </c>
      <c r="AY14" s="1259">
        <f>ROUND($AY$6*AZ14/$AZ$5,2)</f>
        <v>512.20000000000005</v>
      </c>
      <c r="AZ14" s="13">
        <f>BA14+BL14</f>
        <v>232.59</v>
      </c>
      <c r="BA14" s="13">
        <f>SUM(BB14:BK14)</f>
        <v>232.59</v>
      </c>
      <c r="BB14" s="13">
        <f>IF($D14="是",I14-J14,0)</f>
        <v>232.59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t="s">
        <v>3425</v>
      </c>
      <c r="D15" s="1512" t="s">
        <v>3418</v>
      </c>
      <c r="E15" s="13">
        <f>IF($C$3="是",ROUND($A$3*G15/$B$3,2),ROUND($A$3*(G15-AT15)/$B$3,2))</f>
        <v>1711.57</v>
      </c>
      <c r="F15" s="29"/>
      <c r="G15" s="30">
        <f>H15+AC15+AT15</f>
        <v>777.22</v>
      </c>
      <c r="H15" s="17">
        <f>SUMIF(I$12:AB$12,"总值",I15:AB15)</f>
        <v>777.22</v>
      </c>
      <c r="I15" s="1513">
        <v>777.22</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5幢1层</v>
      </c>
      <c r="AY15" s="1259">
        <f>ROUND($AY$6*AZ15/$AZ$5,2)</f>
        <v>1711.57</v>
      </c>
      <c r="AZ15" s="13">
        <f>BA15+BL15</f>
        <v>777.22</v>
      </c>
      <c r="BA15" s="13">
        <f>SUM(BB15:BK15)</f>
        <v>777.22</v>
      </c>
      <c r="BB15" s="13">
        <f>IF($D15="是",I15-J15,0)</f>
        <v>777.22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t="s">
        <v>3426</v>
      </c>
      <c r="D16" s="1512" t="s">
        <v>3418</v>
      </c>
      <c r="E16" s="13">
        <f>IF($C$3="是",ROUND($A$3*G16/$B$3,2),ROUND($A$3*(G16-AT16)/$B$3,2))</f>
        <v>425.99</v>
      </c>
      <c r="F16" s="29"/>
      <c r="G16" s="30">
        <f>H16+AC16+AT16</f>
        <v>193.44</v>
      </c>
      <c r="H16" s="17">
        <f>SUMIF(I$12:AB$12,"总值",I16:AB16)</f>
        <v>193.44</v>
      </c>
      <c r="I16" s="1513">
        <v>193.44</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6幢1层</v>
      </c>
      <c r="AY16" s="1259">
        <f>ROUND($AY$6*AZ16/$AZ$5,2)</f>
        <v>425.99</v>
      </c>
      <c r="AZ16" s="13">
        <f>BA16+BL16</f>
        <v>193.44</v>
      </c>
      <c r="BA16" s="13">
        <f>SUM(BB16:BK16)</f>
        <v>193.44</v>
      </c>
      <c r="BB16" s="13">
        <f>IF($D16="是",I16-J16,0)</f>
        <v>193.44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26.4">
      <c r="A17" s="627"/>
      <c r="B17" s="627"/>
      <c r="C17" s="1461" t="s">
        <v>3427</v>
      </c>
      <c r="D17" s="1512" t="s">
        <v>3418</v>
      </c>
      <c r="E17" s="13">
        <f>IF($C$3="是",ROUND($A$3*G17/$B$3,2),ROUND($A$3*(G17-AT17)/$B$3,2))</f>
        <v>2272.84</v>
      </c>
      <c r="F17" s="29"/>
      <c r="G17" s="30">
        <f>H17+AC17+AT17</f>
        <v>1032.0899999999999</v>
      </c>
      <c r="H17" s="17">
        <f>SUMIF(I$12:AB$12,"总值",I17:AB17)</f>
        <v>1032.0899999999999</v>
      </c>
      <c r="I17" s="1513">
        <v>1032.0899999999999</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t="str">
        <f t="shared" si="6"/>
        <v>7-2幢1层全部</v>
      </c>
      <c r="AY17" s="1259">
        <f>ROUND($AY$6*AZ17/$AZ$5,2)</f>
        <v>2272.84</v>
      </c>
      <c r="AZ17" s="13">
        <f>BA17+BL17</f>
        <v>1032.0899999999999</v>
      </c>
      <c r="BA17" s="13">
        <f>SUM(BB17:BK17)</f>
        <v>1032.0899999999999</v>
      </c>
      <c r="BB17" s="13">
        <f>IF($D17="是",I17-J17,0)</f>
        <v>1032.0899999999999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4" t="s">
        <v>1131</v>
      </c>
      <c r="B2" s="3264"/>
      <c r="C2" s="3264"/>
      <c r="D2" s="747" t="s">
        <v>1107</v>
      </c>
      <c r="E2" s="1522" t="s">
        <v>1108</v>
      </c>
      <c r="F2" s="2438"/>
      <c r="G2" s="2431"/>
      <c r="H2" s="2432"/>
      <c r="I2" s="2145" t="s">
        <v>1132</v>
      </c>
      <c r="J2" s="2438"/>
      <c r="K2" s="2438"/>
      <c r="L2" s="2438"/>
      <c r="M2" s="2438"/>
      <c r="N2" s="2439"/>
      <c r="O2" s="2438"/>
      <c r="P2" s="2438"/>
    </row>
    <row r="3" spans="1:16" ht="15" thickBot="1">
      <c r="A3" s="3265" t="s">
        <v>1105</v>
      </c>
      <c r="B3" s="3265"/>
      <c r="C3" s="3265"/>
      <c r="D3" s="41">
        <f>'数据-基础表'!AY6</f>
        <v>5389.47</v>
      </c>
      <c r="E3" s="41">
        <f>'数据-基础表'!AZ5</f>
        <v>2447.34</v>
      </c>
      <c r="F3" s="2438"/>
      <c r="G3" s="42"/>
      <c r="H3" s="43" t="s">
        <v>1106</v>
      </c>
      <c r="I3" s="801">
        <f>ROUND('数据-基础表'!B3/'数据-基础表'!A3,2)</f>
        <v>0.45</v>
      </c>
      <c r="J3" s="2438"/>
      <c r="K3" s="2438"/>
      <c r="L3" s="2438"/>
      <c r="M3" s="2438"/>
      <c r="N3" s="2439"/>
      <c r="O3" s="2438"/>
      <c r="P3" s="2438"/>
    </row>
    <row r="4" spans="1:16" ht="14.4">
      <c r="A4" s="3266"/>
      <c r="B4" s="3267"/>
      <c r="C4" s="3268"/>
      <c r="D4" s="1523" t="s">
        <v>1107</v>
      </c>
      <c r="E4" s="1524" t="s">
        <v>1108</v>
      </c>
      <c r="F4" s="2438"/>
      <c r="G4" s="2433" t="s">
        <v>1133</v>
      </c>
      <c r="H4" s="43" t="s">
        <v>1113</v>
      </c>
      <c r="I4" s="801">
        <f>ROUND(SUMIF('数据-基础表'!I9:AS9,"地上",'数据-基础表'!I5:AS5)/'数据-基础表'!A3,2)</f>
        <v>0.45</v>
      </c>
      <c r="J4" s="2438"/>
      <c r="K4" s="2438"/>
      <c r="L4" s="2438"/>
      <c r="M4" s="2438"/>
      <c r="N4" s="2439"/>
      <c r="O4" s="2438"/>
      <c r="P4" s="2438"/>
    </row>
    <row r="5" spans="1:16" ht="14.4">
      <c r="A5" s="42" t="s">
        <v>1109</v>
      </c>
      <c r="B5" s="3269" t="s">
        <v>1110</v>
      </c>
      <c r="C5" s="3269"/>
      <c r="D5" s="43">
        <f>ROUND($D$3*E5/$E$3,2)</f>
        <v>0</v>
      </c>
      <c r="E5" s="44">
        <f>SUMIF('数据-基础表'!$11:$11,"住宅",'数据-基础表'!$5:$5)</f>
        <v>0</v>
      </c>
      <c r="F5" s="2438"/>
      <c r="G5" s="42"/>
      <c r="H5" s="43" t="s">
        <v>1106</v>
      </c>
      <c r="I5" s="801">
        <f>ROUND(E31/D31,2)</f>
        <v>0.45</v>
      </c>
      <c r="J5" s="2438"/>
      <c r="K5" s="2438"/>
      <c r="L5" s="2438"/>
      <c r="M5" s="2438"/>
      <c r="N5" s="2438"/>
      <c r="O5" s="2438"/>
      <c r="P5" s="2438"/>
    </row>
    <row r="6" spans="1:16" ht="15" thickBot="1">
      <c r="A6" s="1526"/>
      <c r="B6" s="3269" t="s">
        <v>1111</v>
      </c>
      <c r="C6" s="3269"/>
      <c r="D6" s="43">
        <f>ROUND($D$3*E6/$E$3,2)</f>
        <v>5389.47</v>
      </c>
      <c r="E6" s="44">
        <f>E3-E5</f>
        <v>2447.34</v>
      </c>
      <c r="F6" s="2438"/>
      <c r="G6" s="1528" t="s">
        <v>1112</v>
      </c>
      <c r="H6" s="45" t="s">
        <v>1113</v>
      </c>
      <c r="I6" s="2434">
        <f>ROUND(F31/D31,2)</f>
        <v>0.45</v>
      </c>
      <c r="J6" s="2438"/>
      <c r="K6" s="2438"/>
      <c r="L6" s="2438"/>
      <c r="M6" s="2438"/>
      <c r="N6" s="2438"/>
      <c r="O6" s="2438"/>
      <c r="P6" s="2438"/>
    </row>
    <row r="7" spans="1:16" ht="15" thickBot="1">
      <c r="A7" s="3261"/>
      <c r="B7" s="3262"/>
      <c r="C7" s="3263"/>
      <c r="D7" s="1523" t="s">
        <v>1107</v>
      </c>
      <c r="E7" s="1527" t="s">
        <v>1114</v>
      </c>
      <c r="F7" s="2438"/>
      <c r="G7" s="2435" t="s">
        <v>1115</v>
      </c>
      <c r="H7" s="95"/>
      <c r="I7" s="2436">
        <v>1</v>
      </c>
      <c r="J7" s="2438"/>
      <c r="K7" s="2438"/>
      <c r="L7" s="2438"/>
      <c r="M7" s="2438"/>
      <c r="N7" s="2438"/>
      <c r="O7" s="2438"/>
      <c r="P7" s="2438"/>
    </row>
    <row r="8" spans="1:16" ht="14.4">
      <c r="A8" s="42" t="s">
        <v>1116</v>
      </c>
      <c r="B8" s="45" t="s">
        <v>1117</v>
      </c>
      <c r="C8" s="43" t="s">
        <v>1118</v>
      </c>
      <c r="D8" s="43">
        <f t="shared" ref="D8:D15" si="0">ROUND($D$3*E8/$E$3,2)</f>
        <v>5389.47</v>
      </c>
      <c r="E8" s="46">
        <f>SUMIF('数据-基础表'!BB10:BK10,"地上",'数据-基础表'!BB5:BK5)</f>
        <v>2447.34</v>
      </c>
      <c r="F8" s="2438"/>
      <c r="G8" s="2438"/>
      <c r="H8" s="2438"/>
      <c r="I8" s="2438"/>
      <c r="J8" s="2438"/>
      <c r="K8" s="2438"/>
      <c r="L8" s="2438"/>
      <c r="M8" s="2438"/>
      <c r="N8" s="2438"/>
      <c r="O8" s="2438"/>
      <c r="P8" s="2438"/>
    </row>
    <row r="9" spans="1:16" ht="14.4">
      <c r="A9" s="1528"/>
      <c r="B9" s="1529"/>
      <c r="C9" s="43" t="s">
        <v>1119</v>
      </c>
      <c r="D9" s="43">
        <f t="shared" si="0"/>
        <v>0</v>
      </c>
      <c r="E9" s="47">
        <v>0</v>
      </c>
      <c r="F9" s="2438"/>
      <c r="G9" s="2438"/>
      <c r="H9" s="2438"/>
      <c r="I9" s="2438"/>
      <c r="J9" s="2438"/>
      <c r="K9" s="2438"/>
      <c r="L9" s="2438"/>
      <c r="M9" s="2438"/>
      <c r="N9" s="2438"/>
      <c r="O9" s="2438"/>
      <c r="P9" s="2438"/>
    </row>
    <row r="10" spans="1:16" ht="14.4">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1123</v>
      </c>
      <c r="D16" s="45">
        <f>SUM(D8:D15)</f>
        <v>5389.47</v>
      </c>
      <c r="E16" s="48">
        <f>SUM(E8:E15)</f>
        <v>2447.34</v>
      </c>
      <c r="F16" s="2438"/>
      <c r="G16" s="2438"/>
      <c r="H16" s="1530" t="s">
        <v>1135</v>
      </c>
      <c r="I16" s="1531"/>
      <c r="J16" s="1070"/>
      <c r="K16" s="3258" t="s">
        <v>1135</v>
      </c>
      <c r="L16" s="3259"/>
      <c r="M16" s="3259"/>
      <c r="N16" s="3259"/>
      <c r="O16" s="3259"/>
      <c r="P16" s="3260"/>
    </row>
    <row r="17" spans="1:19" ht="14.4">
      <c r="A17" s="1532" t="s">
        <v>1136</v>
      </c>
      <c r="B17" s="1533" t="s">
        <v>1137</v>
      </c>
      <c r="C17" s="1534" t="s">
        <v>1138</v>
      </c>
      <c r="D17" s="1535" t="s">
        <v>1126</v>
      </c>
      <c r="E17" s="1536" t="s">
        <v>1127</v>
      </c>
      <c r="F17" s="1537"/>
      <c r="G17" s="1538"/>
      <c r="H17" s="1539" t="s">
        <v>1139</v>
      </c>
      <c r="I17" s="1540" t="s">
        <v>1124</v>
      </c>
      <c r="J17" s="1070"/>
      <c r="K17" s="3255" t="s">
        <v>1140</v>
      </c>
      <c r="L17" s="3256"/>
      <c r="M17" s="3257"/>
      <c r="N17" s="3255" t="s">
        <v>1141</v>
      </c>
      <c r="O17" s="3256"/>
      <c r="P17" s="3257"/>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4" t="s">
        <v>3472</v>
      </c>
      <c r="D19" s="43">
        <f>ROUND($D$3*E19/$E$3,2)</f>
        <v>5389.47</v>
      </c>
      <c r="E19" s="51">
        <f t="shared" ref="E19:E26" si="1">SUM(F19:G19)</f>
        <v>2447.34</v>
      </c>
      <c r="F19" s="2556">
        <f>'数据-基础表'!B3</f>
        <v>2447.34</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5389.47</v>
      </c>
      <c r="S19" s="51">
        <f t="shared" si="5"/>
        <v>2447.34</v>
      </c>
    </row>
    <row r="20" spans="1:19" ht="14.4">
      <c r="A20" s="1548"/>
      <c r="B20" s="45" t="s">
        <v>1153</v>
      </c>
      <c r="C20" s="3114"/>
      <c r="D20" s="43">
        <f t="shared" ref="D20:D26" si="6">ROUND($D$3*E20/$E$3,2)</f>
        <v>0</v>
      </c>
      <c r="E20" s="51">
        <f t="shared" si="1"/>
        <v>0</v>
      </c>
      <c r="F20" s="2556"/>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4"/>
      <c r="D21" s="43">
        <f t="shared" si="6"/>
        <v>0</v>
      </c>
      <c r="E21" s="51">
        <f t="shared" si="1"/>
        <v>0</v>
      </c>
      <c r="F21" s="2556"/>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5"/>
      <c r="D22" s="43">
        <f t="shared" si="6"/>
        <v>0</v>
      </c>
      <c r="E22" s="51">
        <f t="shared" si="1"/>
        <v>0</v>
      </c>
      <c r="F22" s="2557"/>
      <c r="G22" s="2558"/>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5"/>
      <c r="D23" s="43">
        <f>ROUND($D$3*E23/$E$3,2)</f>
        <v>0</v>
      </c>
      <c r="E23" s="51">
        <f>SUM(F23:G23)</f>
        <v>0</v>
      </c>
      <c r="F23" s="2557"/>
      <c r="G23" s="2558"/>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5"/>
      <c r="D24" s="43">
        <f>ROUND($D$3*E24/$E$3,2)</f>
        <v>0</v>
      </c>
      <c r="E24" s="51">
        <f>SUM(F24:G24)</f>
        <v>0</v>
      </c>
      <c r="F24" s="2557"/>
      <c r="G24" s="2558"/>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5"/>
      <c r="D25" s="43">
        <f t="shared" si="6"/>
        <v>0</v>
      </c>
      <c r="E25" s="51">
        <f t="shared" si="1"/>
        <v>0</v>
      </c>
      <c r="F25" s="2557"/>
      <c r="G25" s="2558"/>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5389.47</v>
      </c>
      <c r="E27" s="1072">
        <f>IF(SUM(E19:E26)='数据-基础表'!BA5,SUM(E19:E26),IF(F27="地上面积有误","面积有误","地下面积有误"))</f>
        <v>2447.34</v>
      </c>
      <c r="F27" s="1071">
        <f>IF(SUM(F19:F26)=E8,SUM(F19:F26),"地上面积有误")</f>
        <v>2447.34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5389.47</v>
      </c>
      <c r="S27" s="43">
        <f>IF(SUM(S19:S26)=$E$3,SUM(S19:S26),SUM(S19:S26)&amp;"误差"&amp;ROUND(SUM(S19:S26)-E3,2))</f>
        <v>2447.34</v>
      </c>
    </row>
    <row r="28" spans="1:19" ht="14.4">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6"/>
      <c r="C31" s="784" t="s">
        <v>1158</v>
      </c>
      <c r="D31" s="642">
        <f>D27+D30</f>
        <v>5389.47</v>
      </c>
      <c r="E31" s="642">
        <f>E27+E30</f>
        <v>2447.34</v>
      </c>
      <c r="F31" s="643">
        <f>F27+F30</f>
        <v>2447.34</v>
      </c>
      <c r="G31" s="644">
        <f>G27+G30</f>
        <v>0</v>
      </c>
      <c r="H31" s="2438"/>
      <c r="I31" s="2438"/>
      <c r="J31" s="2438"/>
      <c r="K31" s="2438"/>
      <c r="L31" s="2438"/>
      <c r="M31" s="2438"/>
      <c r="N31" s="2438"/>
      <c r="O31" s="2438"/>
      <c r="P31" s="2438"/>
    </row>
    <row r="32" spans="1:19" ht="14.4">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7"/>
      <c r="AO1" s="2447"/>
      <c r="AP1" s="2447"/>
      <c r="AQ1" s="2447"/>
      <c r="AR1" s="2447"/>
    </row>
    <row r="2" spans="1:67" s="1450" customFormat="1" ht="15" thickBot="1">
      <c r="A2" s="1561" t="s">
        <v>1161</v>
      </c>
      <c r="B2" s="983">
        <f>项目基本情况!D3</f>
        <v>45783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3473</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工业</v>
      </c>
      <c r="B6" s="1586" t="str">
        <f>IF(A6=0,"","经营性")</f>
        <v>经营性</v>
      </c>
      <c r="C6" s="1587" t="s">
        <v>3</v>
      </c>
      <c r="D6" s="804">
        <f>SUMIF(项目基本情况!C$12:I$12,C6,项目基本情况!C$14:I$14)</f>
        <v>0</v>
      </c>
      <c r="E6" s="803">
        <f>IF(B6="","",SUMIF(项目基本情况!C$12:I$12,C6,项目基本情况!C$13:I$13))</f>
        <v>54266</v>
      </c>
      <c r="F6" s="61">
        <f>SUMIF(项目基本情况!C$12:I$12,C6,项目基本情况!C$15:I$15)</f>
        <v>23.24</v>
      </c>
      <c r="G6" s="62">
        <f>IF(ISERROR(ROUND(POWER(1+H6,D6-F6)*(POWER(1+H6,F6)-1)/(POWER(1+H6,D6)-1),3)),0,ROUND(POWER(1+H6,D6-F6)*(POWER(1+H6,F6)-1)/(POWER(1+H6,D6)-1),3))</f>
        <v>0</v>
      </c>
      <c r="H6" s="690">
        <v>0.05</v>
      </c>
      <c r="I6" s="690">
        <v>5.5E-2</v>
      </c>
      <c r="J6" s="63">
        <v>7.0000000000000007E-2</v>
      </c>
      <c r="K6" s="969">
        <f>SUMIF('数据-汇总表'!C$19:C$33,A6,'数据-汇总表'!E$19:E$33)</f>
        <v>2447.34</v>
      </c>
      <c r="L6" s="3182">
        <f>信息!C7</f>
        <v>2722</v>
      </c>
      <c r="M6" s="64">
        <f t="shared" ref="M6:M14" si="0">ROUND(K6*L6/10000,0)</f>
        <v>666</v>
      </c>
      <c r="N6" s="3181">
        <f>N21</f>
        <v>0.7</v>
      </c>
      <c r="O6" s="64" t="str">
        <f>IF($N$5="成新度","——",ROUND(M6*N6,0))</f>
        <v>——</v>
      </c>
      <c r="P6" s="65" t="str">
        <f>IF($N$5="成新度","——",M6-O6)</f>
        <v>——</v>
      </c>
      <c r="Q6" s="692">
        <v>0.08</v>
      </c>
      <c r="R6" s="66">
        <f ca="1">SUMIF('数据-汇总表'!C$19:C$33,A6,'数据-汇总表'!R$19:R$27)</f>
        <v>5389.47</v>
      </c>
      <c r="S6" s="49">
        <f>IF('数据-汇总表'!$I$17="按面积比例",SUMIF('数据-汇总表'!C$19:C$33,A6,'数据-汇总表'!K$19:K$33),SUMIF('数据-汇总表'!C$19:C$33,A6,'数据-汇总表'!N$19:N$33))</f>
        <v>0</v>
      </c>
      <c r="T6" s="1091">
        <f>ROUND($L$14*S6/10000,0)</f>
        <v>0</v>
      </c>
      <c r="U6" s="3183">
        <v>1.3</v>
      </c>
      <c r="V6" s="67">
        <v>0.02</v>
      </c>
      <c r="W6" s="67">
        <v>0.1</v>
      </c>
      <c r="X6" s="978"/>
      <c r="Y6" s="68">
        <f>N6</f>
        <v>0.7</v>
      </c>
      <c r="Z6" s="69"/>
      <c r="AA6" s="63"/>
      <c r="AB6" s="63"/>
      <c r="AC6" s="978"/>
      <c r="AD6" s="70"/>
      <c r="AE6" s="979">
        <f ca="1">IF(AN6="",0,SUMIF(INDIRECT("'"&amp;AN6&amp;"'"&amp;"!E:E"),$AE$5,INDIRECT("'"&amp;AN6&amp;"'"&amp;"!F:F")))</f>
        <v>23.24</v>
      </c>
      <c r="AF6" s="74"/>
      <c r="AG6" s="129">
        <f>IF(AF6="",0,AE6-AF6)</f>
        <v>0</v>
      </c>
      <c r="AH6" s="71"/>
      <c r="AI6" s="73">
        <v>365</v>
      </c>
      <c r="AJ6" s="74"/>
      <c r="AK6" s="75">
        <v>5.0000000000000001E-3</v>
      </c>
      <c r="AL6" s="76">
        <v>1E-3</v>
      </c>
      <c r="AM6" s="77">
        <v>0.01</v>
      </c>
      <c r="AN6" s="1588" t="s">
        <v>3476</v>
      </c>
      <c r="AO6" s="50">
        <f ca="1">SUMIF(INDIRECT("'"&amp;AN6&amp;"'"&amp;"!A:A"),"总价",INDIRECT("'"&amp;AN6&amp;"'"&amp;"!B:B"))</f>
        <v>1311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6"/>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t="e">
        <f>ROUND(SUMPRODUCT(G6:G13,K6:K13)/SUMPRODUCT((G6:G13&gt;0)*(K6:K13)),3)</f>
        <v>#DIV/0!</v>
      </c>
      <c r="H16" s="84">
        <f>ROUND(SUMPRODUCT(H6:H13,K6:K13)/SUMPRODUCT((H6:H13&gt;0)*(K6:K13)),3)</f>
        <v>0.05</v>
      </c>
      <c r="I16" s="85"/>
      <c r="J16" s="85"/>
      <c r="K16" s="86">
        <f>SUM(K6:K15)</f>
        <v>2447.34</v>
      </c>
      <c r="L16" s="87">
        <f>ROUND(M16*10000/SUM(K6:K14),0)</f>
        <v>2721</v>
      </c>
      <c r="M16" s="87">
        <f>SUM(M6:M14)</f>
        <v>666</v>
      </c>
      <c r="N16" s="88">
        <f>ROUND(SUMPRODUCT(M6:M14,N6:N14)/M16,3)</f>
        <v>0.7</v>
      </c>
      <c r="O16" s="87">
        <f>SUM(O6:O14)</f>
        <v>0</v>
      </c>
      <c r="P16" s="87">
        <f>SUM(P6:P14)</f>
        <v>0</v>
      </c>
      <c r="Q16" s="89">
        <f>ROUND(SUMPRODUCT(Q6:Q13,K6:K13)/SUMPRODUCT((Q6:Q13&gt;0)*(K6:K13)),2)</f>
        <v>0.08</v>
      </c>
      <c r="R16" s="973">
        <f ca="1">SUM(R6:R13)</f>
        <v>5389.47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75" t="s">
        <v>3474</v>
      </c>
      <c r="N18" s="3180">
        <v>2004</v>
      </c>
      <c r="O18" s="3175" t="s">
        <v>3511</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5" t="s">
        <v>1211</v>
      </c>
      <c r="B19" s="97">
        <v>0</v>
      </c>
      <c r="C19" s="2559" t="s">
        <v>2302</v>
      </c>
      <c r="D19" s="2450"/>
      <c r="E19" s="2438"/>
      <c r="F19" s="2438"/>
      <c r="G19" s="2438"/>
      <c r="H19" s="2438"/>
      <c r="I19" s="2438"/>
      <c r="J19" s="2438"/>
      <c r="K19" s="2448"/>
      <c r="L19" s="2448"/>
      <c r="M19" s="3175" t="s">
        <v>3475</v>
      </c>
      <c r="N19" s="2447">
        <f>ROUND(1-(1-2%)*(2025-N18)/50,2)</f>
        <v>0.59</v>
      </c>
      <c r="O19" s="2447"/>
      <c r="P19" s="3175" t="s">
        <v>3514</v>
      </c>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6" t="s">
        <v>1212</v>
      </c>
      <c r="B20" s="98">
        <v>1</v>
      </c>
      <c r="C20" s="2560" t="s">
        <v>2300</v>
      </c>
      <c r="D20" s="2450"/>
      <c r="E20" s="2438"/>
      <c r="F20" s="2438"/>
      <c r="G20" s="2438"/>
      <c r="H20" s="2438"/>
      <c r="I20" s="2438"/>
      <c r="J20" s="2438"/>
      <c r="K20" s="2448"/>
      <c r="L20" s="2448"/>
      <c r="M20" s="3175" t="s">
        <v>3489</v>
      </c>
      <c r="N20" s="2447">
        <v>0.8</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7" t="s">
        <v>1213</v>
      </c>
      <c r="B21" s="98">
        <f>B20</f>
        <v>1</v>
      </c>
      <c r="C21" s="2438"/>
      <c r="D21" s="2450"/>
      <c r="E21" s="2438"/>
      <c r="F21" s="2438"/>
      <c r="G21" s="2438"/>
      <c r="H21" s="2438"/>
      <c r="I21" s="2438"/>
      <c r="J21" s="2438"/>
      <c r="K21" s="2448"/>
      <c r="L21" s="2448"/>
      <c r="M21" s="3175" t="s">
        <v>3490</v>
      </c>
      <c r="N21" s="2447">
        <f>ROUND((N19+N20)/2,2)</f>
        <v>0.7</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6"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7"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8"/>
      <c r="B25" s="1541"/>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0" t="s">
        <v>1220</v>
      </c>
      <c r="B27" s="101">
        <v>120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1" t="s">
        <v>1221</v>
      </c>
      <c r="B28" s="103">
        <v>160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2"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3" t="s">
        <v>1223</v>
      </c>
      <c r="B30" s="637">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4" t="s">
        <v>1225</v>
      </c>
      <c r="B32" s="638"/>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0" t="s">
        <v>1226</v>
      </c>
      <c r="B33" s="639">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1"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1"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3" t="s">
        <v>1230</v>
      </c>
      <c r="B37" s="108">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1"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4" t="s">
        <v>1232</v>
      </c>
      <c r="B39" s="308">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4">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0"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5" t="s">
        <v>1235</v>
      </c>
      <c r="B43" s="111">
        <f>B42*(B44+B45+B46)+B47</f>
        <v>6.000000000000001E-3</v>
      </c>
      <c r="C43" s="2452"/>
      <c r="D43" s="3176"/>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6" t="s">
        <v>1236</v>
      </c>
      <c r="B44" s="3177">
        <v>7.0000000000000007E-2</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6"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6"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2"/>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8" t="s">
        <v>1240</v>
      </c>
      <c r="B48" s="113">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09" t="s">
        <v>1242</v>
      </c>
      <c r="B50" s="114">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5">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09" t="s">
        <v>1244</v>
      </c>
      <c r="B52" s="116">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1" t="s">
        <v>1245</v>
      </c>
      <c r="B53" s="1610"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1"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1"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1"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1"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1"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1"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7"/>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0" customWidth="1"/>
    <col min="19" max="29" width="9" style="750"/>
    <col min="30" max="16384" width="9" style="1521"/>
  </cols>
  <sheetData>
    <row r="1" spans="1:29" s="2258" customFormat="1" ht="18" thickBot="1">
      <c r="A1" s="3270" t="s">
        <v>2286</v>
      </c>
      <c r="B1" s="3271"/>
      <c r="C1" s="3271"/>
      <c r="D1" s="3271"/>
      <c r="E1" s="3271"/>
      <c r="F1" s="3271"/>
      <c r="G1" s="327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7.200000000000003">
      <c r="A4" s="2247"/>
      <c r="B4" s="314" t="s">
        <v>2254</v>
      </c>
      <c r="C4" s="2268" t="s">
        <v>2255</v>
      </c>
      <c r="D4" s="2265"/>
      <c r="E4" s="2269"/>
      <c r="F4" s="1280" t="s">
        <v>2256</v>
      </c>
      <c r="G4" s="2270" t="s">
        <v>2257</v>
      </c>
      <c r="H4" s="750"/>
      <c r="I4" s="750"/>
      <c r="J4" s="750"/>
      <c r="K4" s="750"/>
      <c r="L4" s="750"/>
      <c r="M4" s="750"/>
      <c r="N4" s="750"/>
      <c r="O4" s="750"/>
      <c r="P4" s="750"/>
      <c r="Q4" s="750"/>
    </row>
    <row r="5" spans="1:29" ht="37.200000000000003">
      <c r="A5" s="2247"/>
      <c r="B5" s="314" t="s">
        <v>2258</v>
      </c>
      <c r="C5" s="2268" t="s">
        <v>2259</v>
      </c>
      <c r="D5" s="2265"/>
      <c r="E5" s="2269"/>
      <c r="F5" s="314" t="s">
        <v>2260</v>
      </c>
      <c r="G5" s="2270" t="s">
        <v>2261</v>
      </c>
      <c r="H5" s="750"/>
      <c r="I5" s="750"/>
      <c r="J5" s="750"/>
      <c r="K5" s="750"/>
      <c r="L5" s="750"/>
      <c r="M5" s="750"/>
      <c r="N5" s="750"/>
      <c r="O5" s="750"/>
      <c r="P5" s="750"/>
      <c r="Q5" s="750"/>
    </row>
    <row r="6" spans="1:29" ht="48">
      <c r="A6" s="2247"/>
      <c r="B6" s="314" t="s">
        <v>2262</v>
      </c>
      <c r="C6" s="2270" t="s">
        <v>2257</v>
      </c>
      <c r="D6" s="2265"/>
      <c r="E6" s="2269"/>
      <c r="F6" s="314" t="s">
        <v>2263</v>
      </c>
      <c r="G6" s="2270" t="s">
        <v>2264</v>
      </c>
      <c r="H6" s="750"/>
      <c r="I6" s="750"/>
      <c r="J6" s="750"/>
      <c r="K6" s="750"/>
      <c r="L6" s="750"/>
      <c r="M6" s="750"/>
      <c r="N6" s="750"/>
      <c r="O6" s="750"/>
      <c r="P6" s="750"/>
      <c r="Q6" s="750"/>
    </row>
    <row r="7" spans="1:29" ht="36.6" thickBot="1">
      <c r="A7" s="2247"/>
      <c r="B7" s="314" t="s">
        <v>2260</v>
      </c>
      <c r="C7" s="2270" t="s">
        <v>2261</v>
      </c>
      <c r="D7" s="2244"/>
      <c r="E7" s="2271"/>
      <c r="F7" s="2272" t="s">
        <v>2265</v>
      </c>
      <c r="G7" s="2273" t="s">
        <v>2266</v>
      </c>
      <c r="H7" s="750"/>
      <c r="I7" s="750"/>
      <c r="J7" s="750"/>
      <c r="K7" s="750"/>
      <c r="L7" s="750"/>
      <c r="M7" s="750"/>
      <c r="N7" s="750"/>
      <c r="O7" s="750"/>
      <c r="P7" s="750"/>
      <c r="Q7" s="750"/>
    </row>
    <row r="8" spans="1:29" ht="24">
      <c r="A8" s="2247"/>
      <c r="B8" s="314" t="s">
        <v>2263</v>
      </c>
      <c r="C8" s="2270" t="s">
        <v>2264</v>
      </c>
      <c r="D8" s="2244"/>
      <c r="E8" s="2244"/>
      <c r="F8" s="120"/>
      <c r="G8" s="120"/>
      <c r="H8" s="750"/>
      <c r="I8" s="750"/>
      <c r="J8" s="750"/>
      <c r="K8" s="750"/>
      <c r="L8" s="750"/>
      <c r="M8" s="750"/>
      <c r="N8" s="750"/>
      <c r="O8" s="750"/>
      <c r="P8" s="750"/>
      <c r="Q8" s="750"/>
    </row>
    <row r="9" spans="1:29" ht="24">
      <c r="A9" s="2247"/>
      <c r="B9" s="314" t="s">
        <v>2267</v>
      </c>
      <c r="C9" s="2268" t="s">
        <v>2268</v>
      </c>
      <c r="D9" s="2265"/>
      <c r="E9" s="2244"/>
      <c r="F9" s="120"/>
      <c r="G9" s="120"/>
      <c r="H9" s="750"/>
      <c r="I9" s="750"/>
      <c r="J9" s="750"/>
      <c r="K9" s="750"/>
      <c r="L9" s="750"/>
      <c r="M9" s="750"/>
      <c r="N9" s="750"/>
      <c r="O9" s="750"/>
      <c r="P9" s="750"/>
      <c r="Q9" s="750"/>
    </row>
    <row r="10" spans="1:29" ht="14.4" thickBot="1">
      <c r="A10" s="2248"/>
      <c r="B10" s="2274" t="s">
        <v>2269</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4"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4" t="s">
        <v>2263</v>
      </c>
      <c r="G20" s="2293" t="str">
        <f>G6</f>
        <v>估价对象所在区域基础设施水平</v>
      </c>
    </row>
    <row r="21" spans="1:17" ht="26.4">
      <c r="A21" s="2251"/>
      <c r="B21" s="314" t="s">
        <v>2260</v>
      </c>
      <c r="C21" s="2293" t="str">
        <f>C7</f>
        <v>估价对象所在区域公共配套设施齐备情况</v>
      </c>
      <c r="D21" s="2265"/>
      <c r="E21" s="2252"/>
      <c r="F21" s="2292" t="s">
        <v>2278</v>
      </c>
      <c r="G21" s="2295"/>
    </row>
    <row r="22" spans="1:17" ht="13.5" customHeight="1">
      <c r="A22" s="2251"/>
      <c r="B22" s="314" t="s">
        <v>2263</v>
      </c>
      <c r="C22" s="2293" t="str">
        <f>C8</f>
        <v>估价对象所在区域基础设施水平</v>
      </c>
      <c r="D22" s="2265"/>
      <c r="E22" s="2252"/>
      <c r="F22" s="2292" t="s">
        <v>2269</v>
      </c>
      <c r="G22" s="2294"/>
    </row>
    <row r="23" spans="1:17" s="750" customFormat="1" ht="14.4"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4.4"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10"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2447.34</v>
      </c>
      <c r="C1" s="2460"/>
      <c r="D1" s="2460"/>
      <c r="E1" s="2460"/>
      <c r="F1" s="2460"/>
      <c r="G1" s="2461"/>
      <c r="H1" s="2461"/>
      <c r="I1" s="2461"/>
      <c r="J1" s="2461"/>
      <c r="K1" s="2461"/>
    </row>
    <row r="2" spans="1:11" ht="16.2">
      <c r="A2" s="2299" t="s">
        <v>653</v>
      </c>
      <c r="B2" s="2299">
        <f>SUM(C14:C23)</f>
        <v>5389.47</v>
      </c>
      <c r="C2" s="2460"/>
      <c r="D2" s="2460"/>
      <c r="E2" s="2460"/>
      <c r="F2" s="2460"/>
      <c r="G2" s="2461"/>
      <c r="H2" s="2461"/>
      <c r="I2" s="2461"/>
      <c r="J2" s="2461"/>
      <c r="K2" s="2461"/>
    </row>
    <row r="3" spans="1:11" ht="15.6">
      <c r="A3" s="2299" t="s">
        <v>662</v>
      </c>
      <c r="B3" s="2301">
        <f>项目基本情况!D3</f>
        <v>45783</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1374</v>
      </c>
      <c r="C5" s="2299">
        <f ca="1">IF(B5=D14,结果表!H102,ROUND(B5*10000/$B$1,0))</f>
        <v>5614</v>
      </c>
      <c r="D5" s="2299">
        <f ca="1">ROUND(B5*10000/$B$2,0)</f>
        <v>2549</v>
      </c>
      <c r="E5" s="2460"/>
      <c r="F5" s="2461"/>
      <c r="G5" s="2461"/>
      <c r="H5" s="2461"/>
      <c r="I5" s="2461"/>
      <c r="J5" s="2461"/>
      <c r="K5" s="2461"/>
    </row>
    <row r="6" spans="1:11" ht="15.6">
      <c r="A6" s="2299" t="s">
        <v>656</v>
      </c>
      <c r="B6" s="2299">
        <f ca="1">SUM(G14:G23)</f>
        <v>1374</v>
      </c>
      <c r="C6" s="2299">
        <f ca="1">IF(B6=G14,结果表!H108,ROUND(B6*10000/$B$1,0))</f>
        <v>5614</v>
      </c>
      <c r="D6" s="2299">
        <f ca="1">ROUND(B6*10000/$B$2,0)</f>
        <v>2549</v>
      </c>
      <c r="E6" s="2460"/>
      <c r="F6" s="2461"/>
      <c r="G6" s="2461"/>
      <c r="H6" s="2461"/>
      <c r="I6" s="2461"/>
      <c r="J6" s="2461"/>
      <c r="K6" s="2461"/>
    </row>
    <row r="7" spans="1:11" ht="15.6">
      <c r="A7" s="2299" t="s">
        <v>664</v>
      </c>
      <c r="B7" s="2299">
        <f>SUM(H14:H23)</f>
        <v>0</v>
      </c>
      <c r="C7" s="2299" t="str">
        <f>IF(B7=H14,结果表!H110,ROUND(B7*10000/$B$1,0))</f>
        <v>——</v>
      </c>
      <c r="D7" s="2299">
        <f>ROUND(B7*10000/$B$2,0)</f>
        <v>0</v>
      </c>
      <c r="E7" s="2460"/>
      <c r="F7" s="2461"/>
      <c r="G7" s="2461"/>
      <c r="H7" s="2461"/>
      <c r="I7" s="2461"/>
      <c r="J7" s="2461"/>
      <c r="K7" s="2461"/>
    </row>
    <row r="8" spans="1:11" ht="15.6">
      <c r="A8" s="2299" t="s">
        <v>587</v>
      </c>
      <c r="B8" s="2299">
        <f>SUM(I14:I23)</f>
        <v>0</v>
      </c>
      <c r="C8" s="2299" t="str">
        <f>IF(B8=I14,结果表!H112,ROUND(B8*10000/$B$1,0))</f>
        <v>——</v>
      </c>
      <c r="D8" s="2299">
        <f>ROUND(B8*10000/$B$2,0)</f>
        <v>0</v>
      </c>
      <c r="E8" s="2460"/>
      <c r="F8" s="2461"/>
      <c r="G8" s="2461"/>
      <c r="H8" s="2461"/>
      <c r="I8" s="2461"/>
      <c r="J8" s="2461"/>
      <c r="K8" s="2461"/>
    </row>
    <row r="9" spans="1:11" ht="15.6">
      <c r="A9" s="2299" t="s">
        <v>655</v>
      </c>
      <c r="B9" s="1243"/>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3"/>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2447.34</v>
      </c>
      <c r="C14" s="2305">
        <f>'数据-汇总表'!D19</f>
        <v>5389.47</v>
      </c>
      <c r="D14" s="2305">
        <f ca="1">结果表!H118</f>
        <v>1374</v>
      </c>
      <c r="E14" s="2305">
        <f ca="1">ROUND(D14*10000/B14,0)</f>
        <v>5614</v>
      </c>
      <c r="F14" s="2305">
        <f ca="1">ROUND(D14*10000/C14,0)</f>
        <v>2549</v>
      </c>
      <c r="G14" s="2305">
        <f ca="1">结果表!H107</f>
        <v>1374</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3"/>
      <c r="H15" s="1243"/>
      <c r="I15" s="2306"/>
      <c r="J15" s="2461"/>
      <c r="K15" s="2461"/>
    </row>
    <row r="16" spans="1:11" ht="15.6">
      <c r="A16" s="2304" t="s">
        <v>648</v>
      </c>
      <c r="B16" s="2306"/>
      <c r="C16" s="2306"/>
      <c r="D16" s="2306"/>
      <c r="E16" s="2305" t="e">
        <f t="shared" si="0"/>
        <v>#DIV/0!</v>
      </c>
      <c r="F16" s="2305" t="e">
        <f t="shared" si="1"/>
        <v>#DIV/0!</v>
      </c>
      <c r="G16" s="1243"/>
      <c r="H16" s="1243"/>
      <c r="I16" s="2306"/>
      <c r="J16" s="2461"/>
      <c r="K16" s="2461"/>
    </row>
    <row r="17" spans="1:11" ht="15.6">
      <c r="A17" s="2304" t="s">
        <v>647</v>
      </c>
      <c r="B17" s="2306"/>
      <c r="C17" s="2306"/>
      <c r="D17" s="2306"/>
      <c r="E17" s="2305" t="e">
        <f t="shared" si="0"/>
        <v>#DIV/0!</v>
      </c>
      <c r="F17" s="2305" t="e">
        <f t="shared" si="1"/>
        <v>#DIV/0!</v>
      </c>
      <c r="G17" s="1243"/>
      <c r="H17" s="1243"/>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1" zoomScaleNormal="100" zoomScaleSheetLayoutView="100" zoomScalePageLayoutView="80" workbookViewId="0">
      <selection activeCell="D33" sqref="D33"/>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v>
      </c>
      <c r="D1" s="645"/>
      <c r="E1" s="645"/>
      <c r="F1" s="1620" t="s">
        <v>1263</v>
      </c>
      <c r="G1" s="1452" t="s">
        <v>3421</v>
      </c>
      <c r="H1" s="1620" t="str">
        <f>IF(G1="现房","——","估价对象范围")</f>
        <v>——</v>
      </c>
      <c r="I1" s="1621"/>
    </row>
    <row r="2" spans="1:12" ht="21.75" customHeight="1" thickBot="1">
      <c r="A2" s="3306" t="str">
        <f>项目基本情况!S2</f>
        <v>北京市怀柔区开放东路21号房地产</v>
      </c>
      <c r="B2" s="3307"/>
      <c r="C2" s="3307"/>
      <c r="D2" s="3307"/>
      <c r="E2" s="3307"/>
      <c r="F2" s="3307"/>
      <c r="G2" s="3307"/>
      <c r="H2" s="3307"/>
      <c r="I2" s="3308"/>
    </row>
    <row r="3" spans="1:12" ht="13.2">
      <c r="A3" s="3310" t="s">
        <v>1264</v>
      </c>
      <c r="B3" s="3311"/>
      <c r="C3" s="3311"/>
      <c r="D3" s="3311"/>
      <c r="E3" s="3311"/>
      <c r="F3" s="3311"/>
      <c r="G3" s="3311"/>
      <c r="H3" s="3311"/>
      <c r="I3" s="3311"/>
    </row>
    <row r="4" spans="1:12" ht="14.4">
      <c r="A4" s="1623" t="s">
        <v>1265</v>
      </c>
      <c r="B4" s="1624" t="s">
        <v>1266</v>
      </c>
      <c r="C4" s="1625" t="s">
        <v>3486</v>
      </c>
      <c r="D4" s="1625" t="s">
        <v>3476</v>
      </c>
      <c r="E4" s="3312" t="s">
        <v>1267</v>
      </c>
      <c r="F4" s="3313"/>
      <c r="G4" s="3313"/>
      <c r="H4" s="3313"/>
      <c r="I4" s="3314"/>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86" t="s">
        <v>1268</v>
      </c>
      <c r="B5" s="3273">
        <v>25</v>
      </c>
      <c r="C5" s="3289"/>
      <c r="D5" s="3309"/>
      <c r="E5" s="122" t="s">
        <v>1269</v>
      </c>
      <c r="F5" s="1626"/>
      <c r="G5" s="1626"/>
      <c r="H5" s="1626"/>
      <c r="I5" s="1280"/>
    </row>
    <row r="6" spans="1:12" ht="13.2">
      <c r="A6" s="3286"/>
      <c r="B6" s="3273"/>
      <c r="C6" s="3290"/>
      <c r="D6" s="3309"/>
      <c r="E6" s="122" t="s">
        <v>1270</v>
      </c>
      <c r="F6" s="1626"/>
      <c r="G6" s="1626"/>
      <c r="H6" s="1626"/>
      <c r="I6" s="1280"/>
    </row>
    <row r="7" spans="1:12" ht="13.2">
      <c r="A7" s="3286"/>
      <c r="B7" s="3273"/>
      <c r="C7" s="3291"/>
      <c r="D7" s="3309"/>
      <c r="E7" s="122" t="s">
        <v>1271</v>
      </c>
      <c r="F7" s="1626"/>
      <c r="G7" s="1626"/>
      <c r="H7" s="1626"/>
      <c r="I7" s="1280"/>
    </row>
    <row r="8" spans="1:12" ht="13.2">
      <c r="A8" s="3286" t="s">
        <v>1272</v>
      </c>
      <c r="B8" s="3273">
        <v>15</v>
      </c>
      <c r="C8" s="3289"/>
      <c r="D8" s="3309"/>
      <c r="E8" s="122" t="s">
        <v>1273</v>
      </c>
      <c r="F8" s="1626"/>
      <c r="G8" s="1626"/>
      <c r="H8" s="1626"/>
      <c r="I8" s="1280"/>
    </row>
    <row r="9" spans="1:12" ht="13.2">
      <c r="A9" s="3286"/>
      <c r="B9" s="3273"/>
      <c r="C9" s="3291"/>
      <c r="D9" s="3309"/>
      <c r="E9" s="122" t="s">
        <v>1274</v>
      </c>
      <c r="F9" s="1626"/>
      <c r="G9" s="1626"/>
      <c r="H9" s="1626"/>
      <c r="I9" s="1280"/>
    </row>
    <row r="10" spans="1:12" ht="13.2">
      <c r="A10" s="3286" t="s">
        <v>1275</v>
      </c>
      <c r="B10" s="3273">
        <v>15</v>
      </c>
      <c r="C10" s="3289"/>
      <c r="D10" s="3309"/>
      <c r="E10" s="122" t="s">
        <v>1276</v>
      </c>
      <c r="F10" s="1626"/>
      <c r="G10" s="1626"/>
      <c r="H10" s="1626"/>
      <c r="I10" s="1280"/>
    </row>
    <row r="11" spans="1:12" ht="13.2">
      <c r="A11" s="3286"/>
      <c r="B11" s="3273"/>
      <c r="C11" s="3291"/>
      <c r="D11" s="3309"/>
      <c r="E11" s="122" t="s">
        <v>1277</v>
      </c>
      <c r="F11" s="1626"/>
      <c r="G11" s="1626"/>
      <c r="H11" s="1626"/>
      <c r="I11" s="1280"/>
    </row>
    <row r="12" spans="1:12" ht="13.2">
      <c r="A12" s="3286" t="s">
        <v>1278</v>
      </c>
      <c r="B12" s="3273">
        <v>15</v>
      </c>
      <c r="C12" s="3289"/>
      <c r="D12" s="3309"/>
      <c r="E12" s="122" t="s">
        <v>1279</v>
      </c>
      <c r="F12" s="1626"/>
      <c r="G12" s="1626"/>
      <c r="H12" s="1626"/>
      <c r="I12" s="1280"/>
    </row>
    <row r="13" spans="1:12" ht="13.2">
      <c r="A13" s="3286"/>
      <c r="B13" s="3273"/>
      <c r="C13" s="3291"/>
      <c r="D13" s="3309"/>
      <c r="E13" s="122" t="s">
        <v>1280</v>
      </c>
      <c r="F13" s="1626"/>
      <c r="G13" s="1626"/>
      <c r="H13" s="1626"/>
      <c r="I13" s="1280"/>
    </row>
    <row r="14" spans="1:12" ht="13.2">
      <c r="A14" s="3286" t="s">
        <v>1281</v>
      </c>
      <c r="B14" s="3273">
        <v>30</v>
      </c>
      <c r="C14" s="3289">
        <v>5</v>
      </c>
      <c r="D14" s="3309">
        <v>5</v>
      </c>
      <c r="E14" s="122" t="s">
        <v>1282</v>
      </c>
      <c r="F14" s="1626"/>
      <c r="G14" s="1626"/>
      <c r="H14" s="1626"/>
      <c r="I14" s="1280"/>
    </row>
    <row r="15" spans="1:12" ht="13.2">
      <c r="A15" s="3286"/>
      <c r="B15" s="3273"/>
      <c r="C15" s="3290"/>
      <c r="D15" s="3309"/>
      <c r="E15" s="122" t="s">
        <v>1283</v>
      </c>
      <c r="F15" s="1626"/>
      <c r="G15" s="1626"/>
      <c r="H15" s="1626"/>
      <c r="I15" s="1280"/>
    </row>
    <row r="16" spans="1:12" ht="13.2">
      <c r="A16" s="3286"/>
      <c r="B16" s="3273"/>
      <c r="C16" s="3291"/>
      <c r="D16" s="3309"/>
      <c r="E16" s="122" t="s">
        <v>1284</v>
      </c>
      <c r="F16" s="1626"/>
      <c r="G16" s="1626"/>
      <c r="H16" s="1626"/>
      <c r="I16" s="1280"/>
    </row>
    <row r="17" spans="1:36" ht="14.4">
      <c r="A17" s="1627" t="s">
        <v>1285</v>
      </c>
      <c r="B17" s="54"/>
      <c r="C17" s="123">
        <f>SUM(C5:C16)</f>
        <v>5</v>
      </c>
      <c r="D17" s="123">
        <f>SUM(D5:D16)</f>
        <v>5</v>
      </c>
      <c r="E17" s="120"/>
      <c r="F17" s="120"/>
      <c r="G17" s="120"/>
      <c r="H17" s="120"/>
      <c r="I17" s="120"/>
      <c r="K17" s="293"/>
      <c r="L17" s="293" t="s">
        <v>1286</v>
      </c>
      <c r="M17" s="293" t="s">
        <v>1287</v>
      </c>
    </row>
    <row r="18" spans="1:36" ht="31.95" customHeight="1" thickBot="1">
      <c r="A18" s="1628" t="s">
        <v>1288</v>
      </c>
      <c r="B18" s="1541"/>
      <c r="C18" s="124">
        <f>ROUND(C17/SUM(C17:D17),2)</f>
        <v>0.5</v>
      </c>
      <c r="D18" s="124">
        <f>1-C18</f>
        <v>0.5</v>
      </c>
      <c r="E18" s="3296" t="s">
        <v>2131</v>
      </c>
      <c r="F18" s="3297"/>
      <c r="G18" s="3297"/>
      <c r="H18" s="3297"/>
      <c r="I18" s="3297"/>
      <c r="K18" s="293" t="s">
        <v>1289</v>
      </c>
      <c r="L18" s="293">
        <f>IF(C1="",'数据-汇总表'!E3,SUMIF(项目类型,C1,'数据-汇总表'!E17:E26)+SUMIF(项目类型,C1,'数据-汇总表'!I17:I26))</f>
        <v>2447.34</v>
      </c>
      <c r="M18" s="293">
        <f>IF(C1="",'数据-汇总表'!E3,SUMIF(项目类型,C1,'数据-汇总表'!E17:E26))</f>
        <v>2447.34</v>
      </c>
    </row>
    <row r="19" spans="1:36" ht="14.4">
      <c r="A19" s="1629" t="s">
        <v>1290</v>
      </c>
      <c r="B19" s="1630" t="s">
        <v>1291</v>
      </c>
      <c r="C19" s="125">
        <f ca="1">SUMIF(INDIRECT("'"&amp;C4&amp;"'"&amp;"!A:A"),结果表!B19,INDIRECT("'"&amp;C4&amp;"'"&amp;"!B:B"))</f>
        <v>1437</v>
      </c>
      <c r="D19" s="126">
        <f ca="1">SUMIF(INDIRECT("'"&amp;D4&amp;"'"&amp;"!A:A"),结果表!B19,INDIRECT("'"&amp;D4&amp;"'"&amp;"!B:B"))</f>
        <v>1311</v>
      </c>
      <c r="E19" s="1629" t="s">
        <v>1292</v>
      </c>
      <c r="F19" s="1630" t="s">
        <v>1291</v>
      </c>
      <c r="G19" s="127">
        <f ca="1">ROUND(C19*$C$18+D19*$D$18,0)</f>
        <v>1374</v>
      </c>
      <c r="H19" s="1631" t="s">
        <v>1293</v>
      </c>
      <c r="I19" s="120"/>
      <c r="K19" s="293" t="s">
        <v>1294</v>
      </c>
      <c r="L19" s="293">
        <f>IF(C1="",'数据-汇总表'!D3,SUMIF(项目类型,C1,'数据-汇总表'!D17:D26)+SUMIF(项目类型,C1,'数据-汇总表'!H17:H27))</f>
        <v>5389.47</v>
      </c>
      <c r="M19" s="293">
        <f>IF(C1="",'数据-汇总表'!D3,SUMIF(项目类型,C1,'数据-汇总表'!D17:D26))</f>
        <v>5389.47</v>
      </c>
    </row>
    <row r="20" spans="1:36" ht="14.4">
      <c r="A20" s="1632"/>
      <c r="B20" s="43" t="s">
        <v>1295</v>
      </c>
      <c r="C20" s="128">
        <f ca="1">SUMIF(INDIRECT("'"&amp;C4&amp;"'"&amp;"!A:A"),结果表!B20,INDIRECT("'"&amp;C4&amp;"'"&amp;"!B:B"))</f>
        <v>5872</v>
      </c>
      <c r="D20" s="129">
        <f ca="1">SUMIF(INDIRECT("'"&amp;D4&amp;"'"&amp;"!A:A"),结果表!B20,INDIRECT("'"&amp;D4&amp;"'"&amp;"!B:B"))</f>
        <v>5357</v>
      </c>
      <c r="E20" s="1632"/>
      <c r="F20" s="43" t="s">
        <v>1295</v>
      </c>
      <c r="G20" s="130">
        <f ca="1">ROUND(C20*$C$18+D20*$D$18,0)</f>
        <v>5615</v>
      </c>
      <c r="H20" s="759" t="s">
        <v>1296</v>
      </c>
      <c r="I20" s="120"/>
    </row>
    <row r="21" spans="1:36" ht="15" customHeight="1" thickBot="1">
      <c r="A21" s="448"/>
      <c r="B21" s="93" t="s">
        <v>1297</v>
      </c>
      <c r="C21" s="677">
        <f ca="1">ROUND(C19*10000/L19,0)</f>
        <v>2666</v>
      </c>
      <c r="D21" s="678">
        <f ca="1">ROUND(D19*10000/L19,0)</f>
        <v>2433</v>
      </c>
      <c r="E21" s="448"/>
      <c r="F21" s="93" t="s">
        <v>1297</v>
      </c>
      <c r="G21" s="131">
        <f ca="1">ROUND(G19*10000/L19,0)</f>
        <v>2549</v>
      </c>
      <c r="H21" s="1633" t="s">
        <v>1296</v>
      </c>
      <c r="I21" s="120"/>
    </row>
    <row r="22" spans="1:36" ht="15" thickBot="1">
      <c r="A22" s="1563" t="s">
        <v>1298</v>
      </c>
      <c r="B22" s="1634"/>
      <c r="C22" s="1635"/>
      <c r="D22" s="679">
        <f ca="1">IF(C19&lt;D19,D19/C19-1,C19/D19-1)</f>
        <v>9.6109839816933551E-2</v>
      </c>
      <c r="E22" s="120"/>
      <c r="F22" s="120"/>
      <c r="G22" s="120"/>
      <c r="H22" s="120"/>
      <c r="I22" s="120"/>
    </row>
    <row r="23" spans="1:36" ht="13.8" thickBot="1">
      <c r="A23" s="645"/>
      <c r="B23" s="645"/>
      <c r="C23" s="645"/>
      <c r="D23" s="645"/>
      <c r="E23" s="120"/>
      <c r="F23" s="120"/>
      <c r="G23" s="120"/>
      <c r="H23" s="120"/>
      <c r="I23" s="120"/>
    </row>
    <row r="24" spans="1:36" ht="14.4">
      <c r="A24" s="3280" t="s">
        <v>1299</v>
      </c>
      <c r="B24" s="1630" t="s">
        <v>1291</v>
      </c>
      <c r="C24" s="127">
        <f>IF(B30=0,0,D30)</f>
        <v>0</v>
      </c>
      <c r="D24" s="1636"/>
      <c r="E24" s="120"/>
      <c r="F24" s="120"/>
      <c r="G24" s="120"/>
      <c r="H24" s="120"/>
      <c r="I24" s="120"/>
    </row>
    <row r="25" spans="1:36" ht="14.4">
      <c r="A25" s="3281"/>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1374</v>
      </c>
      <c r="D32" s="1640" t="s">
        <v>3517</v>
      </c>
      <c r="E32" s="120"/>
      <c r="F32" s="120"/>
      <c r="G32" s="120"/>
      <c r="H32" s="120"/>
      <c r="I32" s="120"/>
    </row>
    <row r="33" spans="1:15" ht="14.4">
      <c r="A33" s="739" t="s">
        <v>1306</v>
      </c>
      <c r="B33" s="122"/>
      <c r="C33" s="1641" t="s">
        <v>3518</v>
      </c>
      <c r="D33" s="1642" t="s">
        <v>3486</v>
      </c>
      <c r="E33" s="1643" t="s">
        <v>1307</v>
      </c>
      <c r="F33" s="1644" t="str">
        <f>IF(D32="楼面单价","取值（单价）","取值（总价）")</f>
        <v>取值（总价）</v>
      </c>
      <c r="G33" s="120"/>
      <c r="H33" s="120"/>
      <c r="I33" s="120"/>
    </row>
    <row r="34" spans="1:15" ht="14.4">
      <c r="A34" s="1645"/>
      <c r="B34" s="1646" t="s">
        <v>1308</v>
      </c>
      <c r="C34" s="139">
        <f ca="1">IF(C33="自定义",F34,C32-C35)</f>
        <v>760</v>
      </c>
      <c r="D34" s="807">
        <f ca="1">IF(C33="自定义",ROUND(C34/C32,3),IF(C33="收益比率",SUMIF(INDIRECT("'"&amp;D33&amp;"'"&amp;"!b:b"),"土地收益比率",INDIRECT("'"&amp;D33&amp;"'"&amp;"!c:c")),SUMIF(INDIRECT("'"&amp;D33&amp;"'"&amp;"!b:b"),"土地成本比率",INDIRECT("'"&amp;D33&amp;"'"&amp;"!c:c"))))</f>
        <v>0.55299999999999994</v>
      </c>
      <c r="E34" s="1647" t="s">
        <v>1309</v>
      </c>
      <c r="F34" s="1242"/>
      <c r="G34" s="120"/>
      <c r="H34" s="120"/>
      <c r="I34" s="120"/>
    </row>
    <row r="35" spans="1:15" ht="15" thickBot="1">
      <c r="A35" s="1648"/>
      <c r="B35" s="1649" t="s">
        <v>1310</v>
      </c>
      <c r="C35" s="1089">
        <f ca="1">IF(C33="自定义",F35,ROUND(C32*D35,0))</f>
        <v>614</v>
      </c>
      <c r="D35" s="1090">
        <f ca="1">IF(C33="自定义",ROUND(C35/C32,3),IF(C33="收益比率",SUMIF(INDIRECT("'"&amp;D33&amp;"'"&amp;"!b:b"),"建筑物收益比率",INDIRECT("'"&amp;D33&amp;"'"&amp;"!c:c")),SUMIF(INDIRECT("'"&amp;D33&amp;"'"&amp;"!b:b"),"建筑物成本比率",INDIRECT("'"&amp;D33&amp;"'"&amp;"!c:c"))))</f>
        <v>0.44700000000000001</v>
      </c>
      <c r="E35" s="1650" t="s">
        <v>1311</v>
      </c>
      <c r="F35" s="145"/>
      <c r="G35" s="120"/>
      <c r="H35" s="120"/>
      <c r="I35" s="120"/>
    </row>
    <row r="36" spans="1:15" ht="15" thickBot="1">
      <c r="A36" s="3300" t="s">
        <v>1312</v>
      </c>
      <c r="B36" s="1651" t="s">
        <v>1313</v>
      </c>
      <c r="C36" s="136"/>
      <c r="D36" s="1652"/>
      <c r="E36" s="1566"/>
      <c r="F36" s="1653"/>
      <c r="G36" s="120"/>
      <c r="H36" s="120"/>
      <c r="I36" s="120"/>
    </row>
    <row r="37" spans="1:15" ht="15" thickBot="1">
      <c r="A37" s="3301"/>
      <c r="B37" s="1554" t="s">
        <v>1314</v>
      </c>
      <c r="C37" s="138"/>
      <c r="D37" s="1070"/>
      <c r="E37" s="1070"/>
      <c r="F37" s="1653"/>
      <c r="G37" s="120"/>
      <c r="H37" s="120"/>
      <c r="I37" s="120"/>
    </row>
    <row r="38" spans="1:15" ht="15" thickBot="1">
      <c r="A38" s="3302"/>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77" t="s">
        <v>1326</v>
      </c>
      <c r="B45" s="3278"/>
      <c r="C45" s="3279"/>
      <c r="D45" s="146">
        <f ca="1">ROUND(H101*F45,0)</f>
        <v>1374</v>
      </c>
      <c r="E45" s="147" t="s">
        <v>1327</v>
      </c>
      <c r="F45" s="148">
        <v>1</v>
      </c>
      <c r="G45" s="149" t="s">
        <v>1328</v>
      </c>
      <c r="H45" s="120"/>
      <c r="I45" s="120"/>
      <c r="J45" s="3355" t="s">
        <v>1329</v>
      </c>
      <c r="K45" s="3355"/>
      <c r="L45" s="3355"/>
      <c r="M45" s="3355"/>
      <c r="N45" s="3355"/>
      <c r="O45" s="3355"/>
    </row>
    <row r="46" spans="1:15" ht="14.25" customHeight="1">
      <c r="A46" s="3274" t="s">
        <v>1330</v>
      </c>
      <c r="B46" s="3275"/>
      <c r="C46" s="3275"/>
      <c r="D46" s="3275"/>
      <c r="E46" s="3275"/>
      <c r="F46" s="3275"/>
      <c r="G46" s="3276"/>
      <c r="H46" s="1667"/>
      <c r="I46" s="150"/>
      <c r="J46" s="2309">
        <v>1</v>
      </c>
      <c r="K46" s="3336" t="s">
        <v>1331</v>
      </c>
      <c r="L46" s="3336"/>
      <c r="M46" s="3356"/>
      <c r="N46" s="3356"/>
      <c r="O46" s="3356"/>
    </row>
    <row r="47" spans="1:15" ht="12" customHeight="1">
      <c r="A47" s="151" t="s">
        <v>1332</v>
      </c>
      <c r="B47" s="152"/>
      <c r="C47" s="153"/>
      <c r="D47" s="1023" t="s">
        <v>1333</v>
      </c>
      <c r="E47" s="293" t="s">
        <v>1334</v>
      </c>
      <c r="F47" s="154" t="s">
        <v>1335</v>
      </c>
      <c r="G47" s="2332" t="s">
        <v>1336</v>
      </c>
      <c r="H47" s="2333"/>
      <c r="I47" s="150"/>
      <c r="J47" s="2309">
        <v>2</v>
      </c>
      <c r="K47" s="3336" t="s">
        <v>1337</v>
      </c>
      <c r="L47" s="3336"/>
      <c r="M47" s="3357">
        <f>'数据-取费表'!B2</f>
        <v>45783</v>
      </c>
      <c r="N47" s="3357"/>
      <c r="O47" s="3357"/>
    </row>
    <row r="48" spans="1:15" ht="26.4">
      <c r="A48" s="3305" t="s">
        <v>1338</v>
      </c>
      <c r="B48" s="3288"/>
      <c r="C48" s="328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36" t="s">
        <v>1340</v>
      </c>
      <c r="L48" s="3336"/>
      <c r="M48" s="3358">
        <f ca="1">H101</f>
        <v>1374</v>
      </c>
      <c r="N48" s="3358"/>
      <c r="O48" s="3358"/>
    </row>
    <row r="49" spans="1:35" ht="25.5" customHeight="1">
      <c r="A49" s="2151" t="s">
        <v>1341</v>
      </c>
      <c r="B49" s="3272" t="s">
        <v>1342</v>
      </c>
      <c r="C49" s="3272"/>
      <c r="D49" s="1477">
        <v>0</v>
      </c>
      <c r="E49" s="315" t="s">
        <v>1343</v>
      </c>
      <c r="F49" s="2232" t="s">
        <v>28</v>
      </c>
      <c r="G49" s="3342"/>
      <c r="H49" s="2133" t="s">
        <v>2134</v>
      </c>
      <c r="I49" s="2134"/>
      <c r="J49" s="2309">
        <v>4</v>
      </c>
      <c r="K49" s="3336" t="str">
        <f>IF(项目基本情况!E8="房地产抵押价值","房地产抵押价值","抵押担保权已注销时的房地产抵押价值")</f>
        <v>房地产抵押价值</v>
      </c>
      <c r="L49" s="3336"/>
      <c r="M49" s="3358">
        <f ca="1">IF(项目基本情况!E8="房地产抵押价值",H107,H109)</f>
        <v>1374</v>
      </c>
      <c r="N49" s="3358"/>
      <c r="O49" s="3358"/>
    </row>
    <row r="50" spans="1:35" ht="25.5" customHeight="1">
      <c r="A50" s="2337"/>
      <c r="B50" s="3272" t="s">
        <v>1344</v>
      </c>
      <c r="C50" s="3272"/>
      <c r="D50" s="2188"/>
      <c r="E50" s="322"/>
      <c r="F50" s="2232"/>
      <c r="G50" s="3343"/>
      <c r="H50" s="2135" t="s">
        <v>2135</v>
      </c>
      <c r="I50" s="2134"/>
      <c r="J50" s="3355" t="s">
        <v>1345</v>
      </c>
      <c r="K50" s="3355"/>
      <c r="L50" s="3355"/>
      <c r="M50" s="3355"/>
      <c r="N50" s="3355"/>
      <c r="O50" s="3355"/>
    </row>
    <row r="51" spans="1:35" ht="20.399999999999999" customHeight="1">
      <c r="A51" s="2338"/>
      <c r="B51" s="3272" t="s">
        <v>1346</v>
      </c>
      <c r="C51" s="3272"/>
      <c r="D51" s="1023"/>
      <c r="E51" s="318"/>
      <c r="F51" s="2232"/>
      <c r="G51" s="3344"/>
      <c r="H51" s="2135" t="s">
        <v>2136</v>
      </c>
      <c r="I51" s="2134"/>
      <c r="J51" s="2310" t="s">
        <v>1347</v>
      </c>
      <c r="K51" s="3336" t="s">
        <v>1348</v>
      </c>
      <c r="L51" s="3336"/>
      <c r="M51" s="2310" t="s">
        <v>1349</v>
      </c>
      <c r="N51" s="2310" t="s">
        <v>1350</v>
      </c>
      <c r="O51" s="2310" t="s">
        <v>1351</v>
      </c>
    </row>
    <row r="52" spans="1:35" ht="24" customHeight="1">
      <c r="A52" s="2152" t="s">
        <v>1352</v>
      </c>
      <c r="B52" s="3272" t="s">
        <v>1353</v>
      </c>
      <c r="C52" s="3272"/>
      <c r="D52" s="1023">
        <f ca="1">ROUND(D45*'数据-取费表'!B41/(1+'数据-取费表'!C42),0)</f>
        <v>73</v>
      </c>
      <c r="E52" s="1255" t="s">
        <v>1354</v>
      </c>
      <c r="F52" s="2339">
        <f>'数据-取费表'!B41</f>
        <v>5.6000000000000001E-2</v>
      </c>
      <c r="G52" s="2340"/>
      <c r="H52" s="2330"/>
      <c r="I52" s="1668"/>
      <c r="J52" s="2309">
        <v>1</v>
      </c>
      <c r="K52" s="3337" t="s">
        <v>1355</v>
      </c>
      <c r="L52" s="3337"/>
      <c r="M52" s="2311" t="b">
        <f>D48</f>
        <v>0</v>
      </c>
      <c r="N52" s="2309" t="str">
        <f>E48</f>
        <v>销售额×税（费）率</v>
      </c>
      <c r="O52" s="2312">
        <f>F48</f>
        <v>5.6000000000000001E-2</v>
      </c>
    </row>
    <row r="53" spans="1:35" ht="12" customHeight="1">
      <c r="A53" s="2152" t="s">
        <v>1356</v>
      </c>
      <c r="B53" s="3298" t="s">
        <v>2291</v>
      </c>
      <c r="C53" s="3299"/>
      <c r="D53" s="1023">
        <f ca="1">ROUND(D45*'数据-取费表'!B41/(1+'数据-取费表'!C42),0)</f>
        <v>73</v>
      </c>
      <c r="E53" s="1255" t="s">
        <v>1354</v>
      </c>
      <c r="F53" s="2339">
        <f>'数据-取费表'!B41</f>
        <v>5.6000000000000001E-2</v>
      </c>
      <c r="G53" s="2340"/>
      <c r="H53" s="2330"/>
      <c r="I53" s="1668"/>
      <c r="J53" s="2309">
        <v>2</v>
      </c>
      <c r="K53" s="3337" t="s">
        <v>1357</v>
      </c>
      <c r="L53" s="3337"/>
      <c r="M53" s="2311">
        <f t="shared" ref="M53:O54" ca="1" si="0">D55</f>
        <v>1</v>
      </c>
      <c r="N53" s="2309" t="str">
        <f t="shared" si="0"/>
        <v>销售额×税（费）率</v>
      </c>
      <c r="O53" s="2312" t="str">
        <f t="shared" si="0"/>
        <v>免征</v>
      </c>
    </row>
    <row r="54" spans="1:35" ht="12" customHeight="1">
      <c r="A54" s="2152" t="s">
        <v>1358</v>
      </c>
      <c r="B54" s="3298" t="s">
        <v>2292</v>
      </c>
      <c r="C54" s="3299"/>
      <c r="D54" s="1023">
        <f ca="1">C68</f>
        <v>73</v>
      </c>
      <c r="E54" s="318" t="s">
        <v>1359</v>
      </c>
      <c r="F54" s="2339">
        <f>'数据-取费表'!B41</f>
        <v>5.6000000000000001E-2</v>
      </c>
      <c r="G54" s="2340"/>
      <c r="H54" s="2341"/>
      <c r="I54" s="1668"/>
      <c r="J54" s="2309">
        <v>3</v>
      </c>
      <c r="K54" s="3337" t="s">
        <v>1360</v>
      </c>
      <c r="L54" s="3337"/>
      <c r="M54" s="2311">
        <f t="shared" ca="1" si="0"/>
        <v>778</v>
      </c>
      <c r="N54" s="2309" t="str">
        <f t="shared" si="0"/>
        <v>增值额×税（费）率</v>
      </c>
      <c r="O54" s="2313" t="str">
        <f t="shared" si="0"/>
        <v>免征</v>
      </c>
    </row>
    <row r="55" spans="1:35" ht="24" customHeight="1">
      <c r="A55" s="3287" t="s">
        <v>1361</v>
      </c>
      <c r="B55" s="3288"/>
      <c r="C55" s="3288"/>
      <c r="D55" s="12">
        <f ca="1">IF(H55="个人住宅",0,ROUND(D45*I55,0))</f>
        <v>1</v>
      </c>
      <c r="E55" s="1255" t="s">
        <v>1362</v>
      </c>
      <c r="F55" s="2339" t="str">
        <f>IF(H55="正常",I55,"免征")</f>
        <v>免征</v>
      </c>
      <c r="G55" s="2340"/>
      <c r="H55" s="2336"/>
      <c r="I55" s="156">
        <f>'数据-取费表'!B49</f>
        <v>5.0000000000000001E-4</v>
      </c>
      <c r="J55" s="2309">
        <f>IF(H59="非个人房产","",4)</f>
        <v>4</v>
      </c>
      <c r="K55" s="3337" t="str">
        <f>IF(H59="非个人房产","——","个人所得税")</f>
        <v>个人所得税</v>
      </c>
      <c r="L55" s="3337"/>
      <c r="M55" s="2314">
        <f ca="1">D59</f>
        <v>13</v>
      </c>
      <c r="N55" s="1882" t="str">
        <f>E59</f>
        <v>差额计税</v>
      </c>
      <c r="O55" s="2315">
        <f>F59</f>
        <v>0.01</v>
      </c>
    </row>
    <row r="56" spans="1:35" ht="25.2">
      <c r="A56" s="3287" t="s">
        <v>1363</v>
      </c>
      <c r="B56" s="3288"/>
      <c r="C56" s="3288"/>
      <c r="D56" s="12">
        <f ca="1">IF(H56="个人住宅",D57,D58)</f>
        <v>778</v>
      </c>
      <c r="E56" s="1255" t="s">
        <v>1364</v>
      </c>
      <c r="F56" s="2339" t="str">
        <f>IF(H56="正常",F58,"免征")</f>
        <v>免征</v>
      </c>
      <c r="G56" s="2342" t="s">
        <v>1365</v>
      </c>
      <c r="H56" s="2343"/>
      <c r="I56" s="1669"/>
      <c r="J56" s="2309" t="str">
        <f>IF(项目基本情况!K6="上海银行",IF(J55="",4,J55+1),"")</f>
        <v/>
      </c>
      <c r="K56" s="3360" t="str">
        <f>IF(项目基本情况!K6="上海银行","其他处置费用","")</f>
        <v/>
      </c>
      <c r="L56" s="3361"/>
      <c r="M56" s="2311" t="str">
        <f>IF(项目基本情况!K6="上海银行",M69,"")</f>
        <v/>
      </c>
      <c r="N56" s="3360" t="str">
        <f>IF(项目基本情况!K6="上海银行","包含处置中涉及的律师、诉讼、拍卖、评估等费用","")</f>
        <v/>
      </c>
      <c r="O56" s="3363"/>
    </row>
    <row r="57" spans="1:35" ht="13.2">
      <c r="A57" s="2152" t="s">
        <v>1341</v>
      </c>
      <c r="B57" s="3298" t="s">
        <v>1366</v>
      </c>
      <c r="C57" s="3299"/>
      <c r="D57" s="1477">
        <v>0</v>
      </c>
      <c r="E57" s="315" t="s">
        <v>1343</v>
      </c>
      <c r="F57" s="293"/>
      <c r="G57" s="2340"/>
      <c r="H57" s="2344"/>
      <c r="I57" s="1669"/>
      <c r="J57" s="3337">
        <f>IF(AND(J55="",J56=""),4,IF(项目基本情况!K6="上海银行",结果表!J56+1,结果表!J55+1))</f>
        <v>5</v>
      </c>
      <c r="K57" s="3337" t="s">
        <v>1367</v>
      </c>
      <c r="L57" s="2316" t="s">
        <v>1368</v>
      </c>
      <c r="M57" s="2317"/>
      <c r="N57" s="2318">
        <f ca="1">SUMIF(M52:M56,"&lt;9e307")</f>
        <v>792</v>
      </c>
      <c r="O57" s="2319"/>
      <c r="P57" s="2463">
        <f ca="1">N57/M49</f>
        <v>0.57641921397379914</v>
      </c>
    </row>
    <row r="58" spans="1:35" ht="25.2">
      <c r="A58" s="2152" t="s">
        <v>1352</v>
      </c>
      <c r="B58" s="3298" t="s">
        <v>1369</v>
      </c>
      <c r="C58" s="3272"/>
      <c r="D58" s="12">
        <f ca="1">IF(H58="转让取得",C81,C97)</f>
        <v>778</v>
      </c>
      <c r="E58" s="1255" t="s">
        <v>1364</v>
      </c>
      <c r="F58" s="293" t="s">
        <v>28</v>
      </c>
      <c r="G58" s="2340"/>
      <c r="H58" s="2343"/>
      <c r="I58" s="1669"/>
      <c r="J58" s="3337"/>
      <c r="K58" s="3337"/>
      <c r="L58" s="2316" t="s">
        <v>1370</v>
      </c>
      <c r="M58" s="2320"/>
      <c r="N58" s="2321" t="str">
        <f ca="1">NUMBERSTRING(INT(N57*10000),2)&amp;"元整"</f>
        <v>柒佰玖拾贰万元整</v>
      </c>
      <c r="O58" s="2322"/>
    </row>
    <row r="59" spans="1:35" ht="24.6" thickBot="1">
      <c r="A59" s="3340" t="s">
        <v>1371</v>
      </c>
      <c r="B59" s="3341"/>
      <c r="C59" s="3341"/>
      <c r="D59" s="2345">
        <f ca="1">IF(H59="非个人房产","——",IF(H59="个人住宅（满五唯一有凭证）",0,IF(H59="个人其他（无凭证）",ROUND(D45*F59,0),ROUND(C67*F59,0))))</f>
        <v>13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38">
        <f>J57+1</f>
        <v>6</v>
      </c>
      <c r="K59" s="3337" t="s">
        <v>1372</v>
      </c>
      <c r="L59" s="2309" t="s">
        <v>1368</v>
      </c>
      <c r="M59" s="2323"/>
      <c r="N59" s="2324">
        <f ca="1">M49-N57</f>
        <v>582</v>
      </c>
      <c r="O59" s="2325"/>
    </row>
    <row r="60" spans="1:35" ht="12" customHeight="1">
      <c r="A60" s="1670"/>
      <c r="B60" s="645"/>
      <c r="C60" s="645"/>
      <c r="D60" s="645"/>
      <c r="E60" s="1465"/>
      <c r="F60" s="1669"/>
      <c r="G60" s="1669"/>
      <c r="H60" s="150"/>
      <c r="I60" s="120"/>
      <c r="J60" s="3339"/>
      <c r="K60" s="3337"/>
      <c r="L60" s="2316" t="s">
        <v>1370</v>
      </c>
      <c r="M60" s="2320"/>
      <c r="N60" s="2321" t="str">
        <f ca="1">NUMBERSTRING(INT(N59*10000),2)&amp;"元整"</f>
        <v>伍佰捌拾贰万元整</v>
      </c>
      <c r="O60" s="2322"/>
    </row>
    <row r="61" spans="1:35" ht="13.8" thickBot="1">
      <c r="A61" s="3285" t="s">
        <v>1373</v>
      </c>
      <c r="B61" s="3285"/>
      <c r="C61" s="3285"/>
      <c r="D61" s="3285"/>
      <c r="E61" s="3285"/>
      <c r="F61" s="1669"/>
      <c r="G61" s="1669"/>
      <c r="H61" s="150"/>
      <c r="I61" s="120"/>
      <c r="J61" s="2309">
        <f>J59+1</f>
        <v>7</v>
      </c>
      <c r="K61" s="3337" t="s">
        <v>1374</v>
      </c>
      <c r="L61" s="3337"/>
      <c r="M61" s="2326"/>
      <c r="N61" s="2327">
        <f ca="1">ROUND(N59*10000/'数据-汇总表'!E3,0)</f>
        <v>2378</v>
      </c>
      <c r="O61" s="2328"/>
    </row>
    <row r="62" spans="1:35" ht="13.2">
      <c r="A62" s="3303" t="s">
        <v>1375</v>
      </c>
      <c r="B62" s="3304"/>
      <c r="C62" s="1864"/>
      <c r="D62" s="1864" t="s">
        <v>1376</v>
      </c>
      <c r="E62" s="157" t="s">
        <v>1377</v>
      </c>
      <c r="F62" s="1669"/>
      <c r="G62" s="1669"/>
      <c r="H62" s="150"/>
      <c r="I62" s="120"/>
    </row>
    <row r="63" spans="1:35" ht="13.2">
      <c r="A63" s="164" t="s">
        <v>330</v>
      </c>
      <c r="B63" s="158" t="s">
        <v>1378</v>
      </c>
      <c r="C63" s="2349">
        <f ca="1">ROUND((C64+C65)/(1+'数据-取费表'!C42),0)</f>
        <v>1309</v>
      </c>
      <c r="D63" s="158"/>
      <c r="E63" s="159"/>
      <c r="F63" s="1669"/>
      <c r="G63" s="1669"/>
      <c r="H63" s="150"/>
      <c r="I63" s="120"/>
      <c r="J63" s="3362" t="s">
        <v>1379</v>
      </c>
      <c r="K63" s="1244" t="s">
        <v>1380</v>
      </c>
      <c r="L63" s="1244">
        <f ca="1">IF(M49&gt;10000,M49*0.5%,IF(AND(M49&gt;1000,M49&lt;=10000),M49*1%,IF(AND(M49&gt;100,M49&lt;=1000),M49*3%,IF(AND(M49&gt;10,M49&lt;=100),M49*5%,M49*8%))))</f>
        <v>13.74</v>
      </c>
      <c r="M63" s="293">
        <f ca="1">ROUND(L63,1)</f>
        <v>13.7</v>
      </c>
      <c r="N63" s="2329"/>
      <c r="Z63" s="1622"/>
      <c r="AI63" s="1560"/>
    </row>
    <row r="64" spans="1:35" ht="14.25" customHeight="1">
      <c r="A64" s="160" t="s">
        <v>325</v>
      </c>
      <c r="B64" s="161" t="s">
        <v>1381</v>
      </c>
      <c r="C64" s="2350">
        <f ca="1">D45</f>
        <v>1374</v>
      </c>
      <c r="D64" s="161" t="s">
        <v>26</v>
      </c>
      <c r="E64" s="163"/>
      <c r="F64" s="1669"/>
      <c r="G64" s="1669"/>
      <c r="H64" s="150"/>
      <c r="I64" s="120"/>
      <c r="J64" s="3362"/>
      <c r="K64" s="1244" t="s">
        <v>1382</v>
      </c>
      <c r="L64" s="1244">
        <f ca="1">IF(M49&gt;2000,M49*0.5%,IF(AND(M49&gt;1000,M49&lt;=2000),M49*0.6%,IF(AND(M49&gt;500,M49&lt;=1000),M49*0.7%,IF(AND(M49&gt;200,M49&lt;=500),M49*0.8%,IF(AND(M49&gt;100,M49&lt;=200),M49*0.9%,IF(AND(M49&gt;50,M49&lt;=100),M49*1%,IF(AND(M49&gt;20,M49&lt;=50),M49*1.5%,IF(AND(M49&gt;10,M49&lt;=20),M49*2%,IF(AND(M49&gt;1,M49&lt;=10),M49*2.5%)))))))))</f>
        <v>8.2439999999999998</v>
      </c>
      <c r="M64" s="293">
        <f t="shared" ref="M64:M65" ca="1" si="1">ROUND(L64,1)</f>
        <v>8.1999999999999993</v>
      </c>
      <c r="N64" s="2330" t="s">
        <v>1383</v>
      </c>
      <c r="Z64" s="1622"/>
      <c r="AI64" s="1560"/>
    </row>
    <row r="65" spans="1:35" ht="14.25" customHeight="1">
      <c r="A65" s="160" t="s">
        <v>326</v>
      </c>
      <c r="B65" s="161" t="s">
        <v>1384</v>
      </c>
      <c r="C65" s="2351"/>
      <c r="D65" s="161"/>
      <c r="E65" s="163"/>
      <c r="F65" s="1669"/>
      <c r="G65" s="1669"/>
      <c r="H65" s="150"/>
      <c r="I65" s="120"/>
      <c r="J65" s="3362"/>
      <c r="K65" s="1244" t="s">
        <v>1385</v>
      </c>
      <c r="L65" s="1244">
        <f ca="1">IF(M49&gt;1000,M49*0.1%,IF(AND(M49&gt;500,M49&lt;=1000),M49*0.5%,IF(AND(M49&gt;50,M49&lt;=500),M49*1%,IF(AND(M49&gt;1,M49&lt;=50),M49*1.5%))))</f>
        <v>1.3740000000000001</v>
      </c>
      <c r="M65" s="293">
        <f t="shared" ca="1" si="1"/>
        <v>1.4</v>
      </c>
      <c r="N65" s="2330" t="s">
        <v>1383</v>
      </c>
      <c r="Z65" s="1622"/>
      <c r="AI65" s="1560"/>
    </row>
    <row r="66" spans="1:35" ht="14.25" customHeight="1">
      <c r="A66" s="164" t="s">
        <v>327</v>
      </c>
      <c r="B66" s="165" t="s">
        <v>1386</v>
      </c>
      <c r="C66" s="2352"/>
      <c r="D66" s="165" t="s">
        <v>26</v>
      </c>
      <c r="E66" s="1250" t="s">
        <v>671</v>
      </c>
      <c r="F66" s="1669"/>
      <c r="G66" s="1669"/>
      <c r="H66" s="150"/>
      <c r="I66" s="120"/>
      <c r="J66" s="3362"/>
      <c r="K66" s="1244" t="s">
        <v>1387</v>
      </c>
      <c r="L66" s="1244">
        <f ca="1">M49*0.5%</f>
        <v>6.87</v>
      </c>
      <c r="M66" s="293">
        <f ca="1">IF(L66&gt;0.5,0.5,ROUND(L66,0))</f>
        <v>0.5</v>
      </c>
      <c r="N66" s="2330" t="s">
        <v>1388</v>
      </c>
      <c r="Z66" s="1622"/>
      <c r="AI66" s="1560"/>
    </row>
    <row r="67" spans="1:35" ht="14.25" customHeight="1">
      <c r="A67" s="164" t="s">
        <v>328</v>
      </c>
      <c r="B67" s="165" t="s">
        <v>1389</v>
      </c>
      <c r="C67" s="2353">
        <f ca="1">C63-C66</f>
        <v>1309</v>
      </c>
      <c r="D67" s="161" t="s">
        <v>26</v>
      </c>
      <c r="E67" s="163"/>
      <c r="F67" s="1669"/>
      <c r="G67" s="1669"/>
      <c r="H67" s="150"/>
      <c r="I67" s="120"/>
      <c r="J67" s="3362"/>
      <c r="K67" s="1244" t="s">
        <v>1390</v>
      </c>
      <c r="L67" s="1244">
        <f ca="1">IF(M49&gt;=10000,(8.25+(M49-10000)*0.01%),IF(AND(M49&gt;=8000,M49&lt;10000),(7.85+(M49-8000)*0.02%),IF(AND(M49&gt;=5000,M49&lt;8000),(6.65+(M49-5000)*0.04%),IF(AND(M49&gt;=2000,M49&lt;5000),(4.25+(PM49-2000)*0.08%),IF(AND(M49&gt;=1000,M49&lt;2000),(2.75+(M49-1000)*0.15%),IF(AND(M49&gt;=100,M49&lt;1000),(0.5+(M49-100)*0.25%),IF(AND(M49&gt;0,M49&lt;100),M49*0.5%)))))))</f>
        <v>3.3109999999999999</v>
      </c>
      <c r="M67" s="293">
        <f ca="1">ROUND(L67*0.9,1)</f>
        <v>3</v>
      </c>
      <c r="N67" s="2329"/>
      <c r="Z67" s="1622"/>
      <c r="AI67" s="1560"/>
    </row>
    <row r="68" spans="1:35" ht="14.25" customHeight="1" thickBot="1">
      <c r="A68" s="167" t="s">
        <v>329</v>
      </c>
      <c r="B68" s="168" t="s">
        <v>1391</v>
      </c>
      <c r="C68" s="2354">
        <f ca="1">IF(C67&lt;=0,0,ROUND(C67*D68,0))</f>
        <v>73</v>
      </c>
      <c r="D68" s="2355">
        <f>'数据-取费表'!B41</f>
        <v>5.6000000000000001E-2</v>
      </c>
      <c r="E68" s="169"/>
      <c r="F68" s="1669"/>
      <c r="G68" s="1669"/>
      <c r="H68" s="150"/>
      <c r="I68" s="120"/>
      <c r="J68" s="3362"/>
      <c r="K68" s="1244" t="s">
        <v>1392</v>
      </c>
      <c r="L68" s="1244">
        <f ca="1">IF(M49&gt;10000,M49*0.5%,IF(AND(M49&gt;5000,M49&lt;=10000),M49*1%,IF(AND(M49&gt;1000,M49&lt;=5000),M49*2%,IF(AND(M49&gt;200,M49&lt;=1000),M49*3%,M49*5%))))</f>
        <v>27.48</v>
      </c>
      <c r="M68" s="293">
        <f ca="1">ROUND(L68,1)</f>
        <v>27.5</v>
      </c>
      <c r="N68" s="2329"/>
      <c r="Z68" s="1622"/>
      <c r="AI68" s="1560"/>
    </row>
    <row r="69" spans="1:35" ht="16.5" customHeight="1">
      <c r="A69" s="1671"/>
      <c r="B69" s="1672"/>
      <c r="C69" s="1673"/>
      <c r="D69" s="1674"/>
      <c r="E69" s="1675"/>
      <c r="F69" s="1465"/>
      <c r="G69" s="1465"/>
      <c r="H69" s="1466"/>
      <c r="I69" s="645"/>
      <c r="J69" s="3362"/>
      <c r="K69" s="1244" t="s">
        <v>1393</v>
      </c>
      <c r="L69" s="1244"/>
      <c r="M69" s="293">
        <f ca="1">ROUND(SUM(M63:M68),0)</f>
        <v>54</v>
      </c>
      <c r="N69" s="2331">
        <f ca="1">M69/M49</f>
        <v>3.9301310043668124E-2</v>
      </c>
      <c r="Z69" s="1622"/>
      <c r="AI69" s="1560"/>
    </row>
    <row r="70" spans="1:35" s="641" customFormat="1" ht="14.4" thickBot="1">
      <c r="A70" s="3324" t="s">
        <v>1394</v>
      </c>
      <c r="B70" s="3325"/>
      <c r="C70" s="3325"/>
      <c r="D70" s="3325"/>
      <c r="E70" s="3325"/>
      <c r="F70" s="3325"/>
      <c r="G70" s="3325"/>
      <c r="H70" s="3325"/>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03" t="s">
        <v>1375</v>
      </c>
      <c r="B71" s="3304"/>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3">
        <f ca="1">ROUND(D45/(1+'数据-取费表'!C42),0)</f>
        <v>1309</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3">
        <f ca="1">C74+C78</f>
        <v>8</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298" t="s">
        <v>1402</v>
      </c>
      <c r="F76" s="3272"/>
      <c r="G76" s="3272"/>
      <c r="H76" s="332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8</v>
      </c>
      <c r="D78" s="2362">
        <f>'数据-取费表'!B43</f>
        <v>6.000000000000001E-3</v>
      </c>
      <c r="E78" s="3282" t="s">
        <v>1406</v>
      </c>
      <c r="F78" s="3283"/>
      <c r="G78" s="3283"/>
      <c r="H78" s="329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3">
        <f ca="1">C72-C73</f>
        <v>1301</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162.625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4">
        <f ca="1">ROUND(IF(C79&lt;=0,0,IF(C80&gt;=200%,C79*60%-C73*35%,IF(C80&gt;=100%,C79*50%-C73*15%,IF(C80&gt;=50%,C79*40%-C73*5%,IF(C80&lt;50%,C79*30%,0))))),0)</f>
        <v>778</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4" t="s">
        <v>1410</v>
      </c>
      <c r="B83" s="3325"/>
      <c r="C83" s="3325"/>
      <c r="D83" s="3325"/>
      <c r="E83" s="3325"/>
      <c r="F83" s="3325"/>
      <c r="G83" s="3325"/>
      <c r="H83" s="332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03" t="s">
        <v>1375</v>
      </c>
      <c r="B84" s="3304"/>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3">
        <f ca="1">ROUND(D45/(1+'数据-取费表'!C42),0)</f>
        <v>1309</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3">
        <f ca="1">IF(H88="仅含出让金",C87+C90+C91+C92+C93+C94,C87+C91+C92+C93+C94)</f>
        <v>8</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7"/>
      <c r="D88" s="2362"/>
      <c r="E88" s="184" t="s">
        <v>1413</v>
      </c>
      <c r="F88" s="2147"/>
      <c r="G88" s="185"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7"/>
      <c r="D90" s="2362"/>
      <c r="E90" s="184" t="str">
        <f>IF(H88="-","土地取得成本中已包含该笔费用"," ")</f>
        <v xml:space="preserve"> </v>
      </c>
      <c r="F90" s="2147"/>
      <c r="G90" s="3364" t="s">
        <v>2129</v>
      </c>
      <c r="H90" s="3365"/>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282" t="s">
        <v>1419</v>
      </c>
      <c r="F91" s="3283"/>
      <c r="G91" s="328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282" t="s">
        <v>1422</v>
      </c>
      <c r="F92" s="3283"/>
      <c r="G92" s="3283"/>
      <c r="H92" s="3292"/>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8</v>
      </c>
      <c r="D93" s="2362">
        <f>'数据-取费表'!B43</f>
        <v>6.000000000000001E-3</v>
      </c>
      <c r="E93" s="3282" t="s">
        <v>1406</v>
      </c>
      <c r="F93" s="3283"/>
      <c r="G93" s="3283"/>
      <c r="H93" s="329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293" t="s">
        <v>1426</v>
      </c>
      <c r="F94" s="3294"/>
      <c r="G94" s="3294"/>
      <c r="H94" s="329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3">
        <f ca="1">ROUND(C85-C86,0)</f>
        <v>1301</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162.625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4">
        <f ca="1">ROUND(IF(C95&lt;=0,0,IF(C96&gt;=200%,C95*60%-C86*35%,IF(C96&gt;=100%,C95*50%-C86*15%,IF(C96&gt;=50%,C95*40%-C86*5%,IF(C96&lt;50%,C95*30%,0))))),0)</f>
        <v>778</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66" t="s">
        <v>1428</v>
      </c>
      <c r="B100" s="3267"/>
      <c r="C100" s="3267"/>
      <c r="D100" s="3284"/>
      <c r="E100" s="3267" t="s">
        <v>1429</v>
      </c>
      <c r="F100" s="3267"/>
      <c r="G100" s="3267"/>
      <c r="H100" s="3284"/>
      <c r="I100" s="120"/>
    </row>
    <row r="101" spans="1:35" ht="18.75" customHeight="1">
      <c r="A101" s="3345" t="s">
        <v>1430</v>
      </c>
      <c r="B101" s="3346"/>
      <c r="C101" s="2370" t="str">
        <f>C4</f>
        <v>成本法</v>
      </c>
      <c r="D101" s="2371" t="str">
        <f>D4</f>
        <v>收益法</v>
      </c>
      <c r="E101" s="3359" t="s">
        <v>1431</v>
      </c>
      <c r="F101" s="3316"/>
      <c r="G101" s="1686" t="s">
        <v>1432</v>
      </c>
      <c r="H101" s="2380">
        <f ca="1">H118</f>
        <v>1374</v>
      </c>
      <c r="I101" s="120"/>
    </row>
    <row r="102" spans="1:35" ht="18.75" customHeight="1">
      <c r="A102" s="3318" t="s">
        <v>1433</v>
      </c>
      <c r="B102" s="2369" t="s">
        <v>1432</v>
      </c>
      <c r="C102" s="2370">
        <f ca="1">IF(D32="楼面单价",ROUND(C19,0),C19)</f>
        <v>1437</v>
      </c>
      <c r="D102" s="2371">
        <f ca="1">IF(D32="楼面单价",ROUND(D19,0),D19)</f>
        <v>1311</v>
      </c>
      <c r="E102" s="3359"/>
      <c r="F102" s="3316"/>
      <c r="G102" s="1686" t="s">
        <v>1434</v>
      </c>
      <c r="H102" s="2340">
        <f ca="1">I118</f>
        <v>5614</v>
      </c>
      <c r="I102" s="120"/>
    </row>
    <row r="103" spans="1:35" ht="42.75" customHeight="1">
      <c r="A103" s="3318"/>
      <c r="B103" s="2369" t="s">
        <v>1434</v>
      </c>
      <c r="C103" s="2372">
        <f ca="1">C20</f>
        <v>5872</v>
      </c>
      <c r="D103" s="2373">
        <f ca="1">D20</f>
        <v>5357</v>
      </c>
      <c r="E103" s="3353" t="s">
        <v>1435</v>
      </c>
      <c r="F103" s="3354"/>
      <c r="G103" s="1687" t="s">
        <v>1436</v>
      </c>
      <c r="H103" s="2380">
        <f>IF(D36="正常操作",H104+H105+H106,H105+H106)</f>
        <v>0</v>
      </c>
      <c r="I103" s="120"/>
    </row>
    <row r="104" spans="1:35" ht="18.75" customHeight="1">
      <c r="A104" s="3318" t="s">
        <v>1437</v>
      </c>
      <c r="B104" s="2374" t="s">
        <v>1432</v>
      </c>
      <c r="C104" s="2375">
        <f ca="1">H118</f>
        <v>1374</v>
      </c>
      <c r="D104" s="2376"/>
      <c r="E104" s="1554" t="s">
        <v>1438</v>
      </c>
      <c r="F104" s="1547"/>
      <c r="G104" s="1687" t="s">
        <v>1436</v>
      </c>
      <c r="H104" s="2381">
        <f>IF(D36="同一抵押权人同一抵押物续贷",C36&amp;"（续贷，未扣减，详见特别提示）",C36)</f>
        <v>0</v>
      </c>
      <c r="I104" s="120"/>
    </row>
    <row r="105" spans="1:35" ht="18.75" customHeight="1" thickBot="1">
      <c r="A105" s="3319"/>
      <c r="B105" s="2377" t="s">
        <v>1434</v>
      </c>
      <c r="C105" s="2378">
        <f ca="1">I118</f>
        <v>5614</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15" t="str">
        <f>IF(项目基本情况!E8="已注销","——","3.房地产抵押价值")</f>
        <v>3.房地产抵押价值</v>
      </c>
      <c r="F107" s="3316"/>
      <c r="G107" s="1686" t="s">
        <v>1432</v>
      </c>
      <c r="H107" s="2380">
        <f ca="1">IF(E107="——","——",H101-H103)</f>
        <v>1374</v>
      </c>
      <c r="I107" s="120"/>
    </row>
    <row r="108" spans="1:35" ht="18.75" customHeight="1">
      <c r="A108" s="120"/>
      <c r="B108" s="120"/>
      <c r="C108" s="120"/>
      <c r="D108" s="120"/>
      <c r="E108" s="3315"/>
      <c r="F108" s="3316"/>
      <c r="G108" s="1686" t="s">
        <v>1434</v>
      </c>
      <c r="H108" s="2340">
        <f ca="1">IF(H107=H101,H102,ROUND(H107*10000/'数据-汇总表'!E3,0))</f>
        <v>5614</v>
      </c>
      <c r="I108" s="120"/>
    </row>
    <row r="109" spans="1:35" ht="18.75" customHeight="1">
      <c r="A109" s="120"/>
      <c r="B109" s="120"/>
      <c r="C109" s="120"/>
      <c r="D109" s="120"/>
      <c r="E109" s="3315" t="str">
        <f>IF(项目基本情况!E8="已注销及未注销","4.抵押担保权已注销时的房地产抵押价值",IF(项目基本情况!E8="已注销","3.抵押担保权已注销时的房地产抵押价值","——"))</f>
        <v>——</v>
      </c>
      <c r="F109" s="3316"/>
      <c r="G109" s="1686" t="s">
        <v>1432</v>
      </c>
      <c r="H109" s="2383" t="str">
        <f>IF(E109="——","——",H101-H105-H106)</f>
        <v>——</v>
      </c>
      <c r="I109" s="120"/>
    </row>
    <row r="110" spans="1:35" ht="18.75" customHeight="1">
      <c r="A110" s="120"/>
      <c r="B110" s="120"/>
      <c r="C110" s="120"/>
      <c r="D110" s="120"/>
      <c r="E110" s="3315"/>
      <c r="F110" s="3316"/>
      <c r="G110" s="1686" t="s">
        <v>1434</v>
      </c>
      <c r="H110" s="2340" t="str">
        <f>IF(H109="——","——",ROUND(H109*10000/'数据-汇总表'!E3,0))</f>
        <v>——</v>
      </c>
      <c r="I110" s="120"/>
    </row>
    <row r="111" spans="1:35" ht="18.75" customHeight="1">
      <c r="A111" s="120"/>
      <c r="B111" s="120"/>
      <c r="C111" s="120"/>
      <c r="D111" s="120"/>
      <c r="E111" s="3347" t="str">
        <f>IF(项目基本情况!E9="抵押净值",IF(OR(项目基本情况!E8="已注销",项目基本情况!E8="房地产抵押价值"),"4.抵押净值","5.抵押净值"),"——")</f>
        <v>——</v>
      </c>
      <c r="F111" s="3317"/>
      <c r="G111" s="1686" t="s">
        <v>1432</v>
      </c>
      <c r="H111" s="2380" t="str">
        <f>IF(E111="——","——",N59)</f>
        <v>——</v>
      </c>
      <c r="I111" s="120"/>
    </row>
    <row r="112" spans="1:35" ht="18.75" customHeight="1" thickBot="1">
      <c r="A112" s="120"/>
      <c r="B112" s="120"/>
      <c r="C112" s="120"/>
      <c r="D112" s="120"/>
      <c r="E112" s="3348"/>
      <c r="F112" s="3349"/>
      <c r="G112" s="1689" t="s">
        <v>1434</v>
      </c>
      <c r="H112" s="2384" t="str">
        <f>IF(E111="——","——",N61)</f>
        <v>——</v>
      </c>
      <c r="I112" s="120"/>
    </row>
    <row r="113" spans="1:27" ht="18.75" customHeight="1">
      <c r="A113" s="120"/>
      <c r="B113" s="120"/>
      <c r="C113" s="120"/>
      <c r="D113" s="120"/>
      <c r="E113" s="3320" t="s">
        <v>1440</v>
      </c>
      <c r="F113" s="3320"/>
      <c r="G113" s="3320"/>
      <c r="H113" s="3320"/>
      <c r="I113" s="120"/>
    </row>
    <row r="114" spans="1:27" ht="3.75" customHeight="1">
      <c r="A114" s="645"/>
      <c r="B114" s="645"/>
      <c r="C114" s="645"/>
      <c r="D114" s="645"/>
      <c r="E114" s="1670"/>
      <c r="F114" s="1670"/>
      <c r="G114" s="1670"/>
      <c r="H114" s="1670"/>
      <c r="I114" s="645"/>
    </row>
    <row r="115" spans="1:27" ht="18.75" customHeight="1">
      <c r="A115" s="3330" t="s">
        <v>1442</v>
      </c>
      <c r="B115" s="3331"/>
      <c r="C115" s="3331"/>
      <c r="D115" s="3331"/>
      <c r="E115" s="3331"/>
      <c r="F115" s="3331"/>
      <c r="G115" s="3331"/>
      <c r="H115" s="3331"/>
      <c r="I115" s="3332"/>
    </row>
    <row r="116" spans="1:27" ht="27" customHeight="1">
      <c r="A116" s="3286" t="s">
        <v>1443</v>
      </c>
      <c r="B116" s="3321" t="s">
        <v>1444</v>
      </c>
      <c r="C116" s="3321" t="s">
        <v>1445</v>
      </c>
      <c r="D116" s="3334" t="s">
        <v>1446</v>
      </c>
      <c r="E116" s="3335"/>
      <c r="F116" s="3329" t="s">
        <v>1447</v>
      </c>
      <c r="G116" s="3329"/>
      <c r="H116" s="3286" t="s">
        <v>1448</v>
      </c>
      <c r="I116" s="3286"/>
    </row>
    <row r="117" spans="1:27" ht="18.75" customHeight="1">
      <c r="A117" s="3286"/>
      <c r="B117" s="3322"/>
      <c r="C117" s="3322"/>
      <c r="D117" s="2149" t="s">
        <v>1449</v>
      </c>
      <c r="E117" s="2149" t="s">
        <v>1450</v>
      </c>
      <c r="F117" s="2149" t="s">
        <v>1449</v>
      </c>
      <c r="G117" s="2149" t="s">
        <v>1451</v>
      </c>
      <c r="H117" s="2149" t="s">
        <v>1449</v>
      </c>
      <c r="I117" s="2149" t="s">
        <v>1451</v>
      </c>
    </row>
    <row r="118" spans="1:27" ht="24.75" customHeight="1">
      <c r="A118" s="2385" t="str">
        <f>项目基本情况!S2</f>
        <v>北京市怀柔区开放东路21号房地产</v>
      </c>
      <c r="B118" s="2149">
        <f>M18</f>
        <v>2447.34</v>
      </c>
      <c r="C118" s="2149">
        <f>M19</f>
        <v>5389.47</v>
      </c>
      <c r="D118" s="2149">
        <f ca="1">ROUND(IF(D32="总价",C34,E118*B118/10000),0)</f>
        <v>760</v>
      </c>
      <c r="E118" s="2149">
        <f ca="1">ROUND(IF(C33="自定义",IF(D32="楼面单价",C34,D118*10000/B118),I118-G118),0)</f>
        <v>3105</v>
      </c>
      <c r="F118" s="2149">
        <f ca="1">ROUND(IF(D32="总价",C35,G118*B118/10000),0)</f>
        <v>614</v>
      </c>
      <c r="G118" s="2149">
        <f ca="1">ROUND(IF(D32="楼面单价",C35,F118*10000/B118),0)</f>
        <v>2509</v>
      </c>
      <c r="H118" s="2149">
        <f ca="1">ROUND(IF(D32="总价",C32,I118*B118/10000),0)</f>
        <v>1374</v>
      </c>
      <c r="I118" s="2149">
        <f ca="1">ROUND(IF(D32="楼面单价",C32,H118*10000/B118),0)</f>
        <v>5614</v>
      </c>
    </row>
    <row r="119" spans="1:27" ht="18.75" customHeight="1">
      <c r="A119" s="3286" t="s">
        <v>1452</v>
      </c>
      <c r="B119" s="3286"/>
      <c r="C119" s="3286"/>
      <c r="D119" s="3326" t="str">
        <f ca="1">NUMBERSTRING(INT(D118*10000),2)&amp;"元整"</f>
        <v>柒佰陆拾万元整</v>
      </c>
      <c r="E119" s="3328"/>
      <c r="F119" s="3326" t="str">
        <f ca="1">NUMBERSTRING(INT(F118*10000),2)&amp;"元整"</f>
        <v>陆佰壹拾肆万元整</v>
      </c>
      <c r="G119" s="3328"/>
      <c r="H119" s="3326" t="str">
        <f ca="1">NUMBERSTRING(INT(H118*10000),2)&amp;"元整"</f>
        <v>壹仟叁佰柒拾肆万元整</v>
      </c>
      <c r="I119" s="3328"/>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6" t="s">
        <v>1452</v>
      </c>
      <c r="B121" s="3327"/>
      <c r="C121" s="3328"/>
      <c r="D121" s="3326" t="str">
        <f>IF(D120=0,"零元整",NUMBERSTRING(INT(D120*10000),2)&amp;"元整")</f>
        <v>零元整</v>
      </c>
      <c r="E121" s="3327"/>
      <c r="F121" s="3327"/>
      <c r="G121" s="3327"/>
      <c r="H121" s="3327"/>
      <c r="I121" s="3328"/>
      <c r="AA121" s="683"/>
    </row>
    <row r="122" spans="1:27" ht="18.75" customHeight="1">
      <c r="A122" s="3317" t="str">
        <f>IF(项目基本情况!B9="房地产市场价值","",MID(E107,3,LEN(E107)-2))</f>
        <v>房地产抵押价值</v>
      </c>
      <c r="B122" s="3317"/>
      <c r="C122" s="3317"/>
      <c r="D122" s="3350">
        <f ca="1">H107</f>
        <v>1374</v>
      </c>
      <c r="E122" s="3351"/>
      <c r="F122" s="3351"/>
      <c r="G122" s="3351"/>
      <c r="H122" s="3351"/>
      <c r="I122" s="3352"/>
      <c r="AA122" s="683"/>
    </row>
    <row r="123" spans="1:27" ht="18.75" customHeight="1">
      <c r="A123" s="3286" t="s">
        <v>1452</v>
      </c>
      <c r="B123" s="3286"/>
      <c r="C123" s="3286"/>
      <c r="D123" s="3326" t="str">
        <f ca="1">NUMBERSTRING(INT(D122*10000),2)&amp;"元整"</f>
        <v>壹仟叁佰柒拾肆万元整</v>
      </c>
      <c r="E123" s="3327"/>
      <c r="F123" s="3327"/>
      <c r="G123" s="3327"/>
      <c r="H123" s="3327"/>
      <c r="I123" s="3328"/>
      <c r="AA123" s="683"/>
    </row>
    <row r="124" spans="1:27" ht="18.75" customHeight="1">
      <c r="A124" s="3317" t="str">
        <f>IF(项目基本情况!B9="房地产市场价值","",MID(E109,3,LEN(E109)-2))</f>
        <v/>
      </c>
      <c r="B124" s="3317"/>
      <c r="C124" s="3317"/>
      <c r="D124" s="3350" t="str">
        <f>H109</f>
        <v>——</v>
      </c>
      <c r="E124" s="3351"/>
      <c r="F124" s="3351"/>
      <c r="G124" s="3351"/>
      <c r="H124" s="3351"/>
      <c r="I124" s="3352"/>
      <c r="AA124" s="683"/>
    </row>
    <row r="125" spans="1:27" ht="18.75" customHeight="1">
      <c r="A125" s="3286" t="s">
        <v>1452</v>
      </c>
      <c r="B125" s="3286"/>
      <c r="C125" s="3286"/>
      <c r="D125" s="3326" t="e">
        <f>NUMBERSTRING(INT(D124*10000),2)&amp;"元整"</f>
        <v>#VALUE!</v>
      </c>
      <c r="E125" s="3327"/>
      <c r="F125" s="3327"/>
      <c r="G125" s="3327"/>
      <c r="H125" s="3327"/>
      <c r="I125" s="3328"/>
      <c r="AA125" s="683"/>
    </row>
    <row r="126" spans="1:27" ht="18.75" customHeight="1">
      <c r="A126" s="3317" t="str">
        <f>IF(项目基本情况!B9="房地产市场价值","",MID(E111,3,LEN(E111)-2))</f>
        <v/>
      </c>
      <c r="B126" s="3317"/>
      <c r="C126" s="3317"/>
      <c r="D126" s="3350" t="str">
        <f>H111</f>
        <v>——</v>
      </c>
      <c r="E126" s="3351"/>
      <c r="F126" s="3351"/>
      <c r="G126" s="3351"/>
      <c r="H126" s="3351"/>
      <c r="I126" s="3352"/>
      <c r="AA126" s="683"/>
    </row>
    <row r="127" spans="1:27" ht="18.75" customHeight="1">
      <c r="A127" s="3286" t="s">
        <v>1452</v>
      </c>
      <c r="B127" s="3286"/>
      <c r="C127" s="3286"/>
      <c r="D127" s="3326" t="e">
        <f>NUMBERSTRING(INT(D126*10000),2)&amp;"元整"</f>
        <v>#VALUE!</v>
      </c>
      <c r="E127" s="3327"/>
      <c r="F127" s="3327"/>
      <c r="G127" s="3327"/>
      <c r="H127" s="3327"/>
      <c r="I127" s="3328"/>
      <c r="AA127" s="683"/>
    </row>
    <row r="128" spans="1:27" ht="21.75" customHeight="1">
      <c r="A128" s="3333" t="s">
        <v>1453</v>
      </c>
      <c r="B128" s="3333"/>
      <c r="C128" s="3333"/>
      <c r="D128" s="3333"/>
      <c r="E128" s="3333"/>
      <c r="F128" s="3333"/>
      <c r="G128" s="3333"/>
      <c r="H128" s="3333"/>
      <c r="I128" s="3333"/>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2" zoomScale="70" zoomScaleNormal="70" zoomScaleSheetLayoutView="70" workbookViewId="0">
      <selection activeCell="C23" sqref="C23"/>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t="s">
        <v>3</v>
      </c>
      <c r="C1" s="189"/>
      <c r="D1" s="189"/>
      <c r="E1" s="189"/>
      <c r="F1" s="189"/>
      <c r="G1" s="1061">
        <f>MATCH(B1,'数据-取费表'!A6:A16,0)+5</f>
        <v>6</v>
      </c>
    </row>
    <row r="2" spans="1:9" s="191" customFormat="1" ht="18" customHeight="1">
      <c r="A2" s="192" t="s">
        <v>1462</v>
      </c>
      <c r="B2" s="193">
        <f ca="1">IF(D2="——",C52,C52-E2)</f>
        <v>1437</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5872</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648</v>
      </c>
      <c r="D5" s="202" t="s">
        <v>1469</v>
      </c>
      <c r="E5" s="203" t="s">
        <v>1470</v>
      </c>
      <c r="F5" s="203" t="s">
        <v>1471</v>
      </c>
      <c r="G5" s="204"/>
    </row>
    <row r="6" spans="1:9" s="205" customFormat="1" ht="13.5" customHeight="1">
      <c r="A6" s="731" t="s">
        <v>1472</v>
      </c>
      <c r="B6" s="206" t="s">
        <v>1473</v>
      </c>
      <c r="C6" s="207">
        <f>基准地价修正!B2</f>
        <v>591</v>
      </c>
      <c r="D6" s="208"/>
      <c r="E6" s="209"/>
      <c r="F6" s="209"/>
      <c r="G6" s="210"/>
    </row>
    <row r="7" spans="1:9" s="205" customFormat="1" ht="13.5" customHeight="1">
      <c r="A7" s="731" t="s">
        <v>1474</v>
      </c>
      <c r="B7" s="206" t="s">
        <v>1475</v>
      </c>
      <c r="C7" s="211">
        <f>ROUND(C6*F7,0)</f>
        <v>18</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39</v>
      </c>
      <c r="D8" s="213"/>
      <c r="E8" s="211"/>
      <c r="F8" s="212"/>
      <c r="G8" s="1713" t="s">
        <v>3477</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120</v>
      </c>
      <c r="F9" s="212"/>
      <c r="G9" s="1714" t="s">
        <v>3479</v>
      </c>
      <c r="H9" s="1069"/>
      <c r="I9" s="1715" t="s">
        <v>1479</v>
      </c>
    </row>
    <row r="10" spans="1:9" s="205" customFormat="1" ht="13.5" customHeight="1">
      <c r="A10" s="732" t="s">
        <v>356</v>
      </c>
      <c r="B10" s="215" t="s">
        <v>1480</v>
      </c>
      <c r="C10" s="216">
        <f ca="1">ROUND(D10*E10/10000,0)</f>
        <v>39</v>
      </c>
      <c r="D10" s="794">
        <f ca="1">IF(B1="",'数据-汇总表'!E6,IF(INDIRECT("'数据-取费表'!c"&amp;$G$1)="住宅",INDIRECT("'数据-取费表'!s"&amp;$G$1),INDIRECT("'数据-取费表'!k"&amp;$G$1)+INDIRECT("'数据-取费表'!s"&amp;$G$1)))</f>
        <v>2447.34</v>
      </c>
      <c r="E10" s="216">
        <f>'数据-取费表'!B28</f>
        <v>160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2447.34</v>
      </c>
      <c r="E19" s="202">
        <f>'数据-取费表'!B31</f>
        <v>200</v>
      </c>
      <c r="F19" s="222"/>
      <c r="G19" s="1713" t="s">
        <v>3478</v>
      </c>
    </row>
    <row r="20" spans="1:7" s="205" customFormat="1" ht="13.5" customHeight="1">
      <c r="A20" s="246" t="s">
        <v>1493</v>
      </c>
      <c r="B20" s="201" t="s">
        <v>1494</v>
      </c>
      <c r="C20" s="223">
        <f ca="1">ROUND((C5+C19)*F20,0)</f>
        <v>13</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20</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20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f ca="1">C28</f>
        <v>53</v>
      </c>
      <c r="D27" s="226">
        <f ca="1">C29</f>
        <v>1.6000000000000001E-3</v>
      </c>
      <c r="E27" s="227" t="s">
        <v>1514</v>
      </c>
      <c r="F27" s="237">
        <f ca="1">IF(B1="",'数据-取费表'!Q16,INDIRECT("'数据-取费表'!q"&amp;$G$1))</f>
        <v>0.08</v>
      </c>
      <c r="G27" s="238" t="s">
        <v>1515</v>
      </c>
    </row>
    <row r="28" spans="1:7" s="205" customFormat="1" ht="13.5" customHeight="1">
      <c r="A28" s="733" t="s">
        <v>346</v>
      </c>
      <c r="B28" s="239" t="s">
        <v>1516</v>
      </c>
      <c r="C28" s="240">
        <f ca="1">ROUND((C5+C19+C20)*F27*'数据-取费表'!B21/'数据-取费表'!B20,0)</f>
        <v>53</v>
      </c>
      <c r="D28" s="226"/>
      <c r="E28" s="227"/>
      <c r="F28" s="237"/>
      <c r="G28" s="238"/>
    </row>
    <row r="29" spans="1:7" s="205" customFormat="1" ht="13.5" customHeight="1">
      <c r="A29" s="733" t="s">
        <v>347</v>
      </c>
      <c r="B29" s="239" t="s">
        <v>1517</v>
      </c>
      <c r="C29" s="229">
        <f ca="1">ROUND(C21*F27*'数据-取费表'!B21/'数据-取费表'!B20,4)</f>
        <v>1.6000000000000001E-3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794</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761</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666</v>
      </c>
      <c r="D34" s="208"/>
      <c r="E34" s="211"/>
      <c r="F34" s="248">
        <f ca="1">IF('数据-取费表'!B24=0,1,IF(B1="",'数据-取费表'!N16,INDIRECT("'数据-取费表'!n"&amp;$G$1)))</f>
        <v>1</v>
      </c>
      <c r="G34" s="210" t="s">
        <v>1526</v>
      </c>
    </row>
    <row r="35" spans="1:7" ht="13.5" customHeight="1">
      <c r="A35" s="733" t="s">
        <v>351</v>
      </c>
      <c r="B35" s="206" t="s">
        <v>1527</v>
      </c>
      <c r="C35" s="211">
        <f ca="1">ROUND(C34*F35,0)</f>
        <v>33</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49</v>
      </c>
      <c r="D37" s="208">
        <f ca="1">D19</f>
        <v>2447.34</v>
      </c>
      <c r="E37" s="240">
        <f>'数据-取费表'!B35</f>
        <v>200</v>
      </c>
      <c r="F37" s="250"/>
      <c r="G37" s="252" t="s">
        <v>1532</v>
      </c>
    </row>
    <row r="38" spans="1:7" ht="13.5" customHeight="1">
      <c r="A38" s="733" t="s">
        <v>354</v>
      </c>
      <c r="B38" s="206" t="s">
        <v>1533</v>
      </c>
      <c r="C38" s="211">
        <f ca="1">ROUND(C34*F38,0)</f>
        <v>13</v>
      </c>
      <c r="D38" s="211"/>
      <c r="E38" s="211"/>
      <c r="F38" s="250">
        <f>'数据-取费表'!B36</f>
        <v>0.02</v>
      </c>
      <c r="G38" s="210" t="s">
        <v>1528</v>
      </c>
    </row>
    <row r="39" spans="1:7" s="205" customFormat="1" ht="13.5" customHeight="1">
      <c r="A39" s="246" t="s">
        <v>1534</v>
      </c>
      <c r="B39" s="201" t="s">
        <v>1535</v>
      </c>
      <c r="C39" s="223">
        <f ca="1">ROUND(C33*F20,0)</f>
        <v>15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12</v>
      </c>
      <c r="D42" s="229"/>
      <c r="E42" s="229"/>
      <c r="F42" s="230"/>
      <c r="G42" s="3366" t="s">
        <v>1544</v>
      </c>
    </row>
    <row r="43" spans="1:7" ht="13.5" customHeight="1">
      <c r="A43" s="733" t="s">
        <v>347</v>
      </c>
      <c r="B43" s="206" t="s">
        <v>1545</v>
      </c>
      <c r="C43" s="229">
        <f ca="1">ROUND(IF('数据-取费表'!B22&lt;=1,C39*F22*'数据-取费表'!B21/2,C39*(POWER((1+F22),'数据-取费表'!B21/2)-1)),0)</f>
        <v>0</v>
      </c>
      <c r="D43" s="229"/>
      <c r="E43" s="229"/>
      <c r="F43" s="230"/>
      <c r="G43" s="3367"/>
    </row>
    <row r="44" spans="1:7" ht="13.5" customHeight="1">
      <c r="A44" s="733" t="s">
        <v>348</v>
      </c>
      <c r="B44" s="206" t="s">
        <v>1546</v>
      </c>
      <c r="C44" s="229">
        <f ca="1">ROUND(IF('数据-取费表'!B22&lt;=1,C40*F22*'数据-取费表'!B21/2,C40*(POWER((1+F22),'数据-取费表'!B21/2)-1)),4)</f>
        <v>2.9999999999999997E-4</v>
      </c>
      <c r="D44" s="229"/>
      <c r="E44" s="229"/>
      <c r="F44" s="230"/>
      <c r="G44" s="3368"/>
    </row>
    <row r="45" spans="1:7" s="205" customFormat="1" ht="13.5" customHeight="1">
      <c r="A45" s="246" t="s">
        <v>1547</v>
      </c>
      <c r="B45" s="235" t="s">
        <v>1513</v>
      </c>
      <c r="C45" s="236">
        <f ca="1">C46</f>
        <v>62</v>
      </c>
      <c r="D45" s="226">
        <f ca="1">C47</f>
        <v>1.6000000000000001E-3</v>
      </c>
      <c r="E45" s="227" t="s">
        <v>1539</v>
      </c>
      <c r="F45" s="237">
        <f ca="1">F27</f>
        <v>0.08</v>
      </c>
      <c r="G45" s="238" t="s">
        <v>1548</v>
      </c>
    </row>
    <row r="46" spans="1:7" s="205" customFormat="1" ht="13.5" customHeight="1">
      <c r="A46" s="733" t="s">
        <v>346</v>
      </c>
      <c r="B46" s="239" t="s">
        <v>1549</v>
      </c>
      <c r="C46" s="240">
        <f ca="1">ROUND((C33+C39)*F27,0)</f>
        <v>62</v>
      </c>
      <c r="D46" s="254"/>
      <c r="E46" s="227"/>
      <c r="F46" s="237"/>
      <c r="G46" s="238"/>
    </row>
    <row r="47" spans="1:7" s="205" customFormat="1" ht="13.5" customHeight="1">
      <c r="A47" s="733" t="s">
        <v>347</v>
      </c>
      <c r="B47" s="239" t="s">
        <v>1550</v>
      </c>
      <c r="C47" s="229">
        <f ca="1">ROUND(C40*F27,4)</f>
        <v>1.6000000000000001E-3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919</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643</v>
      </c>
      <c r="D51" s="223"/>
      <c r="E51" s="223"/>
      <c r="F51" s="255"/>
      <c r="G51" s="225" t="s">
        <v>1560</v>
      </c>
    </row>
    <row r="52" spans="1:7" s="199" customFormat="1" ht="16.8" thickBot="1">
      <c r="A52" s="256" t="s">
        <v>1561</v>
      </c>
      <c r="B52" s="257"/>
      <c r="C52" s="258">
        <f ca="1">C31+C51</f>
        <v>1437</v>
      </c>
      <c r="D52" s="257"/>
      <c r="E52" s="257"/>
      <c r="F52" s="257"/>
      <c r="G52" s="259"/>
    </row>
    <row r="55" spans="1:7" ht="15">
      <c r="B55" s="261" t="s">
        <v>1562</v>
      </c>
      <c r="C55" s="262"/>
    </row>
    <row r="56" spans="1:7">
      <c r="B56" s="264" t="s">
        <v>802</v>
      </c>
      <c r="C56" s="266">
        <f ca="1">1-C57</f>
        <v>0.55299999999999994</v>
      </c>
    </row>
    <row r="57" spans="1:7">
      <c r="B57" s="264" t="s">
        <v>803</v>
      </c>
      <c r="C57" s="265">
        <f ca="1">ROUND(C51/C52,3)</f>
        <v>0.44700000000000001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4" t="str">
        <f>项目基本情况!B1</f>
        <v>北京市怀柔区开放东路21号房地产抵押价值预评估</v>
      </c>
      <c r="C37" s="3184"/>
      <c r="D37" s="3184"/>
      <c r="E37" s="3184"/>
      <c r="F37" s="3184"/>
      <c r="G37" s="3184"/>
      <c r="H37" s="3184"/>
      <c r="I37" s="318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79" zoomScaleNormal="80" zoomScaleSheetLayoutView="100" workbookViewId="0">
      <selection activeCell="E24" sqref="E24"/>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5389.47</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591</v>
      </c>
      <c r="C2" s="1845" t="s">
        <v>1935</v>
      </c>
      <c r="D2" s="161" t="s">
        <v>1936</v>
      </c>
      <c r="E2" s="3119" t="s">
        <v>3</v>
      </c>
      <c r="F2" s="161" t="s">
        <v>1937</v>
      </c>
      <c r="G2" s="162" t="str">
        <f>IF(E2="商业",项目基本情况!B37,IF(E2="办公",项目基本情况!C37,IF(E2="住宅",项目基本情况!D37,IF(E2="工业",项目基本情况!E37,项目基本情况!F37))))</f>
        <v>八级</v>
      </c>
      <c r="H2" s="161" t="s">
        <v>1938</v>
      </c>
      <c r="I2" s="162" t="str">
        <f>IF(E2="商业",项目基本情况!B38,IF(E2="办公",项目基本情况!C38,IF(E2="住宅",项目基本情况!D38,IF(E2="工业",项目基本情况!E38,项目基本情况!F38))))</f>
        <v>Ⅷ-怀1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1.5418000000000001</v>
      </c>
      <c r="T2" s="3062">
        <f t="shared" ref="T2:T16" si="0">ROUND($C$5*$C$22*$C$23*$C$24*S2*$C$28,0)</f>
        <v>1690</v>
      </c>
      <c r="U2" s="1129"/>
      <c r="V2" s="3062">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1097</v>
      </c>
      <c r="C3" s="1845" t="s">
        <v>1941</v>
      </c>
      <c r="D3" s="161" t="s">
        <v>1942</v>
      </c>
      <c r="E3" s="3117" t="s">
        <v>2479</v>
      </c>
      <c r="F3" s="1847" t="s">
        <v>3485</v>
      </c>
      <c r="G3" s="707">
        <f>IF(F3="宗地容积率",'数据-汇总表'!I4,IF(F3="估价对象容积率",'数据-汇总表'!I6,'数据-汇总表'!I7))</f>
        <v>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2">
        <f>ROUND(SUMPRODUCT((B106:B110=R3)*(C105:N105=G2)*(C106:N110)),4)</f>
        <v>1.1883999999999999</v>
      </c>
      <c r="T3" s="3062">
        <f t="shared" si="0"/>
        <v>1303</v>
      </c>
      <c r="U3" s="1129"/>
      <c r="V3" s="3062">
        <f t="shared" ref="V3:V16" si="1">ROUND(T3*U3/10000,0)</f>
        <v>0</v>
      </c>
      <c r="W3" s="1132"/>
      <c r="X3" s="1132"/>
      <c r="Y3" s="1132"/>
      <c r="Z3" s="1132"/>
      <c r="AA3" s="1132"/>
      <c r="AB3" s="1132"/>
      <c r="AC3" s="1133"/>
      <c r="AD3" s="1134"/>
      <c r="AE3" s="1134"/>
      <c r="AF3" s="1134"/>
      <c r="AG3" s="1134"/>
      <c r="AH3" s="1134"/>
      <c r="AI3" s="1134"/>
      <c r="AJ3" s="1135"/>
    </row>
    <row r="4" spans="1:36" ht="15.6">
      <c r="A4" s="3376"/>
      <c r="B4" s="3377"/>
      <c r="C4" s="3377"/>
      <c r="D4" s="3378"/>
      <c r="E4" s="3378"/>
      <c r="F4" s="3378"/>
      <c r="G4" s="3378"/>
      <c r="H4" s="3378"/>
      <c r="I4" s="3378"/>
      <c r="J4" s="3379"/>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0.96940000000000004</v>
      </c>
      <c r="T4" s="3062">
        <f t="shared" si="0"/>
        <v>1063</v>
      </c>
      <c r="U4" s="1129"/>
      <c r="V4" s="3062">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1350</v>
      </c>
      <c r="D5" s="1251">
        <f>ROUND(C6*C17+C20,0)</f>
        <v>1350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0.82299999999999995</v>
      </c>
      <c r="T5" s="3062">
        <f t="shared" si="0"/>
        <v>902</v>
      </c>
      <c r="U5" s="1129"/>
      <c r="V5" s="3062">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1350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0.74980000000000002</v>
      </c>
      <c r="T6" s="3062">
        <f t="shared" si="0"/>
        <v>822</v>
      </c>
      <c r="U6" s="1129"/>
      <c r="V6" s="3062">
        <f t="shared" si="1"/>
        <v>0</v>
      </c>
      <c r="W6" s="1132"/>
      <c r="X6" s="1132"/>
      <c r="Y6" s="1132"/>
      <c r="Z6" s="1132"/>
      <c r="AA6" s="1132"/>
      <c r="AB6" s="1132"/>
      <c r="AC6" s="1854"/>
      <c r="AD6" s="1855"/>
      <c r="AE6" s="1855"/>
      <c r="AF6" s="1855"/>
      <c r="AG6" s="1855"/>
      <c r="AH6" s="1855"/>
      <c r="AI6" s="1855"/>
      <c r="AJ6" s="1856"/>
    </row>
    <row r="7" spans="1:36" ht="24.6" thickBot="1">
      <c r="A7" s="3011"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1955</v>
      </c>
      <c r="X7" s="1130" t="str">
        <f>G2</f>
        <v>八级</v>
      </c>
      <c r="Y7" s="1130" t="s">
        <v>1956</v>
      </c>
      <c r="Z7" s="1131">
        <f>G3</f>
        <v>1</v>
      </c>
      <c r="AA7" s="1132"/>
      <c r="AB7" s="1132"/>
      <c r="AC7" s="1133"/>
      <c r="AD7" s="1134"/>
      <c r="AE7" s="1134"/>
      <c r="AF7" s="1134"/>
      <c r="AG7" s="1134"/>
      <c r="AH7" s="1134"/>
      <c r="AI7" s="1134"/>
      <c r="AJ7" s="1135"/>
    </row>
    <row r="8" spans="1:36" ht="15">
      <c r="A8" s="3008"/>
      <c r="B8" s="161" t="s">
        <v>1957</v>
      </c>
      <c r="C8" s="1869"/>
      <c r="D8" s="711" t="s">
        <v>112</v>
      </c>
      <c r="E8" s="712" t="e">
        <f>ROUND(C11/E7,4)</f>
        <v>#DIV/0!</v>
      </c>
      <c r="F8" s="1870" t="s">
        <v>1958</v>
      </c>
      <c r="G8" s="1871"/>
      <c r="H8" s="1871"/>
      <c r="I8" s="1871"/>
      <c r="J8" s="1872"/>
      <c r="K8" s="1055"/>
      <c r="L8" s="1846" t="s">
        <v>1959</v>
      </c>
      <c r="M8" s="810">
        <f>SUMPRODUCT((区片价!B234:B276=I2)*(区片价!C3:G3=E2)*(区片价!C234:G276))</f>
        <v>1350</v>
      </c>
      <c r="N8" s="812">
        <f>SUMPRODUCT((因素修正幅度!B234:B276=I2)*(因素修正幅度!C3:G3=E2)*(因素修正幅度!C234:G276))</f>
        <v>0.14699999999999999</v>
      </c>
      <c r="O8" s="1055"/>
      <c r="P8" s="1055"/>
      <c r="Q8" s="1055"/>
      <c r="R8" s="1128">
        <v>7</v>
      </c>
      <c r="S8" s="1129"/>
      <c r="T8" s="3062">
        <f t="shared" si="0"/>
        <v>0</v>
      </c>
      <c r="U8" s="1129"/>
      <c r="V8" s="3062">
        <f t="shared" si="1"/>
        <v>0</v>
      </c>
      <c r="W8" s="3373" t="s">
        <v>1960</v>
      </c>
      <c r="X8" s="337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375"/>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37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24.6" thickBot="1">
      <c r="A13" s="3011" t="s">
        <v>3242</v>
      </c>
      <c r="B13" s="1877" t="s">
        <v>1982</v>
      </c>
      <c r="C13" s="710">
        <f>ROUND(C16*D16*E16*F16*G16*H16*I16*J16,4)</f>
        <v>0</v>
      </c>
      <c r="D13" s="1878" t="s">
        <v>1983</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24">
      <c r="A14" s="3007"/>
      <c r="B14" s="1882" t="s">
        <v>1985</v>
      </c>
      <c r="C14" s="1883" t="s">
        <v>1986</v>
      </c>
      <c r="D14" s="1260" t="s">
        <v>1987</v>
      </c>
      <c r="E14" s="27" t="s">
        <v>1988</v>
      </c>
      <c r="F14" s="3019" t="s">
        <v>3243</v>
      </c>
      <c r="G14" s="3019" t="s">
        <v>3243</v>
      </c>
      <c r="H14" s="3019" t="s">
        <v>3243</v>
      </c>
      <c r="I14" s="3019" t="s">
        <v>3243</v>
      </c>
      <c r="J14" s="3019" t="s">
        <v>3243</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3244</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7"/>
      <c r="B18" s="2309"/>
      <c r="C18" s="3033"/>
      <c r="D18" s="3028" t="s">
        <v>3248</v>
      </c>
      <c r="E18" s="2356"/>
      <c r="F18" s="3029" t="s">
        <v>3251</v>
      </c>
      <c r="G18" s="3033">
        <f>ROUND(1-(1/(POWER(1+G24,E18))),4)</f>
        <v>0</v>
      </c>
      <c r="H18" s="3029" t="s">
        <v>3253</v>
      </c>
      <c r="I18" s="3033">
        <f>ROUND(1-(1/(POWER(1+G24,J24))),4)</f>
        <v>0.91279999999999994</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4.4" thickBot="1">
      <c r="A19" s="3039"/>
      <c r="B19" s="3040"/>
      <c r="C19" s="3041"/>
      <c r="D19" s="3041" t="s">
        <v>3249</v>
      </c>
      <c r="E19" s="3042"/>
      <c r="F19" s="3043" t="s">
        <v>3252</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3.8">
      <c r="A20" s="3380" t="s">
        <v>3254</v>
      </c>
      <c r="B20" s="158" t="s">
        <v>1994</v>
      </c>
      <c r="C20" s="3030">
        <f>ROUND(IF(F21="与级别开发程度一致",0,(G21-E21)/C21),0)</f>
        <v>0</v>
      </c>
      <c r="D20" s="3045" t="s">
        <v>1998</v>
      </c>
      <c r="E20" s="3046"/>
      <c r="F20" s="3386" t="s">
        <v>1995</v>
      </c>
      <c r="G20" s="3387"/>
      <c r="H20" s="3031" t="s">
        <v>3495</v>
      </c>
      <c r="I20" s="3031" t="s">
        <v>3496</v>
      </c>
      <c r="J20" s="3032" t="s">
        <v>3497</v>
      </c>
      <c r="K20" s="1888" t="s">
        <v>3498</v>
      </c>
      <c r="L20" s="1888" t="s">
        <v>3499</v>
      </c>
      <c r="M20" s="1888" t="s">
        <v>3500</v>
      </c>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7" thickBot="1">
      <c r="A21" s="3381"/>
      <c r="B21" s="2001" t="s">
        <v>1997</v>
      </c>
      <c r="C21" s="2002">
        <f>IF(E3="M4科研用地",SUMPRODUCT((修正!A2:A7=E3)*(修正!B1:M1=G2)*(修正!B2:M7)),SUMPRODUCT((修正!A2:A7=E2)*(修正!B1:M1=G2)*(修正!B2:M7)))</f>
        <v>1</v>
      </c>
      <c r="D21" s="178" t="str">
        <f>IF(OR(G2="八级",G2="九级",G2="十级",G2="十一级",G2="十二级"),"五通一平","七通一平")</f>
        <v>五通一平</v>
      </c>
      <c r="E21" s="1992">
        <f>SUMPRODUCT((修正!B1:M1=G2)*(修正!B17:M17))</f>
        <v>185</v>
      </c>
      <c r="F21" s="1993" t="s">
        <v>3484</v>
      </c>
      <c r="G21" s="1994">
        <f>SUM(H21:O21)</f>
        <v>185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10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 thickBot="1">
      <c r="A22" s="1995" t="s">
        <v>363</v>
      </c>
      <c r="B22" s="1996" t="s">
        <v>2000</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7"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5" t="s">
        <v>2002</v>
      </c>
      <c r="E23" s="716">
        <v>44197</v>
      </c>
      <c r="F23" s="1895" t="s">
        <v>2003</v>
      </c>
      <c r="G23" s="717">
        <f>'数据-取费表'!B2</f>
        <v>45783</v>
      </c>
      <c r="H23" s="3047" t="s">
        <v>3256</v>
      </c>
      <c r="I23" s="3048" t="str">
        <f>IF(H23="季度增幅（自定义）",SUMIF(N25:N28,E2,O25:O28),"")</f>
        <v/>
      </c>
      <c r="J23" s="3140" t="s">
        <v>3255</v>
      </c>
      <c r="K23" s="1060"/>
      <c r="L23" s="1896" t="s">
        <v>2004</v>
      </c>
      <c r="M23" s="1240">
        <f>ROUND(SUMIF(地价!B2:G2,E2,地价!B16:G16),0)</f>
        <v>318</v>
      </c>
      <c r="N23" s="1897" t="s">
        <v>2005</v>
      </c>
      <c r="O23" s="718">
        <f>ROUNDDOWN(DATEDIF(E23,G23,"M")/3,0)</f>
        <v>17</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0.74299999999999999</v>
      </c>
      <c r="D24" s="1901" t="s">
        <v>2007</v>
      </c>
      <c r="E24" s="1247">
        <f>存贷款利率!E27/100</f>
        <v>4.3499999999999997E-2</v>
      </c>
      <c r="F24" s="1901" t="s">
        <v>1999</v>
      </c>
      <c r="G24" s="723">
        <f>SUMIF(M30:Q30,E2,M33:Q33)</f>
        <v>0.05</v>
      </c>
      <c r="H24" s="1901" t="s">
        <v>2008</v>
      </c>
      <c r="I24" s="724">
        <f>SUMIF('数据-取费表'!C6:C15,E2,'数据-取费表'!F6:F15)/COUNTIF('数据-取费表'!C6:C15,E2)</f>
        <v>23.24</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4.4">
      <c r="A25" s="1906" t="s">
        <v>366</v>
      </c>
      <c r="B25" s="1907" t="s">
        <v>3335</v>
      </c>
      <c r="C25" s="460">
        <f>IF(B25="容积率修正",IF(G3&lt;10,D26,J26),C27)</f>
        <v>1</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3257</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3258</v>
      </c>
      <c r="J26" s="373"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1.0052000000000001</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591</v>
      </c>
      <c r="D30" s="1924"/>
      <c r="E30" s="1841"/>
      <c r="F30" s="1925"/>
      <c r="G30" s="1841"/>
      <c r="H30" s="1841"/>
      <c r="I30" s="1841"/>
      <c r="J30" s="1926"/>
      <c r="K30" s="1055"/>
      <c r="L30" s="3054" t="s">
        <v>1936</v>
      </c>
      <c r="M30" s="3055" t="s">
        <v>1990</v>
      </c>
      <c r="N30" s="3055" t="s">
        <v>1991</v>
      </c>
      <c r="O30" s="3055" t="s">
        <v>1992</v>
      </c>
      <c r="P30" s="3055" t="s">
        <v>1993</v>
      </c>
      <c r="Q30" s="3058"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6" t="s">
        <v>1996</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1096</v>
      </c>
      <c r="D33" s="1939">
        <f>'数据-汇总表'!D3</f>
        <v>5389.47</v>
      </c>
      <c r="E33" s="726">
        <f>ROUND(C33*D33/10000,0)</f>
        <v>591</v>
      </c>
      <c r="F33" s="3049" t="s">
        <v>3260</v>
      </c>
      <c r="G33" s="1940"/>
      <c r="H33" s="1940"/>
      <c r="I33" s="1940"/>
      <c r="J33" s="1941"/>
      <c r="K33" s="1055"/>
      <c r="L33" s="3052" t="s">
        <v>3263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f>ROUND(IF(E2="工业",C33*M42,IF(B25="楼层修正",SUM(V2:V16)*M41*10000/D34,C33*M41)),0)</f>
        <v>164</v>
      </c>
      <c r="D34" s="1944"/>
      <c r="E34" s="726">
        <f>ROUND(IF(B25="楼层修正",SUM(V2:V16)*M40,C34*D34/10000),0)</f>
        <v>0</v>
      </c>
      <c r="F34" s="1945" t="s">
        <v>2032</v>
      </c>
      <c r="G34" s="1946"/>
      <c r="H34" s="1946"/>
      <c r="I34" s="1946"/>
      <c r="J34" s="1947"/>
      <c r="K34" s="1055"/>
      <c r="L34" s="3052" t="s">
        <v>3264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84"/>
      <c r="B37" s="1954" t="s">
        <v>2036</v>
      </c>
      <c r="C37" s="166">
        <f>ROUND(D5*C22*C23*C24*C28*F37,0)</f>
        <v>548</v>
      </c>
      <c r="D37" s="1939"/>
      <c r="E37" s="162">
        <f>ROUND(C37*D37/10000,0)</f>
        <v>0</v>
      </c>
      <c r="F37" s="162">
        <f>SUMIF(修正!A57:A68,G2,修正!B57:B68)</f>
        <v>0.5</v>
      </c>
      <c r="G37" s="162">
        <f>ROUND(IF(E2="工业",C37*$M$42,C37*$M$41),0)</f>
        <v>82</v>
      </c>
      <c r="H37" s="162">
        <f>D37</f>
        <v>0</v>
      </c>
      <c r="I37" s="162">
        <f>ROUND(G37*H37/10000,0)</f>
        <v>0</v>
      </c>
      <c r="J37" s="2753"/>
      <c r="K37" s="3060" t="s">
        <v>3266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85"/>
      <c r="B38" s="1883" t="s">
        <v>2037</v>
      </c>
      <c r="C38" s="166">
        <f>ROUND(D5*C22*C23*C24*C28*F38,0)</f>
        <v>219</v>
      </c>
      <c r="D38" s="1939"/>
      <c r="E38" s="162">
        <f t="shared" ref="E38:E42" si="4">ROUND(C38*D38/10000,0)</f>
        <v>0</v>
      </c>
      <c r="F38" s="162">
        <f>SUMIF(修正!A57:A68,G2,修正!C57:C68)</f>
        <v>0.2</v>
      </c>
      <c r="G38" s="162">
        <f>ROUND(IF(E2="工业",C38*$M$42,C38*$M$41),0)</f>
        <v>33</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85"/>
      <c r="B39" s="1883" t="s">
        <v>3259</v>
      </c>
      <c r="C39" s="166">
        <f>ROUND(D5*C22*C23*C24*C28*F39,0)</f>
        <v>219</v>
      </c>
      <c r="D39" s="1939"/>
      <c r="E39" s="162">
        <f t="shared" si="4"/>
        <v>0</v>
      </c>
      <c r="F39" s="162">
        <f>SUMIF(修正!A57:A68,G2,修正!D57:D68)</f>
        <v>0.2</v>
      </c>
      <c r="G39" s="162">
        <f>ROUND(IF(E2="工业",C39*$M$42,C39*$M$41),0)</f>
        <v>33</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219</v>
      </c>
      <c r="D40" s="1939"/>
      <c r="E40" s="162">
        <f t="shared" si="4"/>
        <v>0</v>
      </c>
      <c r="F40" s="166">
        <f>SUMIF(修正!A57:A68,G2,修正!E57:E68)</f>
        <v>0.2</v>
      </c>
      <c r="G40" s="162">
        <f>ROUND(IF(E2="工业",C40*$M$42,C40*$M$41),0)</f>
        <v>33</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SUMIF(修正!A57:A68,G2,修正!F57:F68)</f>
        <v>0.2</v>
      </c>
      <c r="G41" s="162">
        <f>ROUND(IF(E2="工业",C41*$M$42,C41*$M$41),0)</f>
        <v>0</v>
      </c>
      <c r="H41" s="162">
        <f t="shared" si="5"/>
        <v>0</v>
      </c>
      <c r="I41" s="162">
        <f t="shared" si="6"/>
        <v>0</v>
      </c>
      <c r="J41" s="938"/>
      <c r="L41" s="3061" t="s">
        <v>3267</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0</v>
      </c>
      <c r="D42" s="1944"/>
      <c r="E42" s="178">
        <f t="shared" si="4"/>
        <v>0</v>
      </c>
      <c r="F42" s="722">
        <f>SUMIF(修正!A57:A68,G2,修正!G57:G68)</f>
        <v>0.1</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f>ROUND(POWER(1+E44,H44-G44)*(POWER(1+E44,G44)-1)/(POWER(1+E44,H44)-1),4)</f>
        <v>0</v>
      </c>
      <c r="D44" s="162" t="s">
        <v>1999</v>
      </c>
      <c r="E44" s="1990">
        <f>G24</f>
        <v>0.05</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9" t="s">
        <v>3269</v>
      </c>
      <c r="B52" s="1261">
        <f>估价对象房地状况!C19</f>
        <v>0</v>
      </c>
      <c r="C52" s="1886"/>
      <c r="D52" s="1001">
        <f t="shared" si="7"/>
        <v>0</v>
      </c>
      <c r="E52" s="702"/>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c r="D56" s="1001">
        <f t="shared" si="7"/>
        <v>0</v>
      </c>
      <c r="E56" s="702"/>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9" t="s">
        <v>3269</v>
      </c>
      <c r="B63" s="1261">
        <f>估价对象房地状况!C19</f>
        <v>0</v>
      </c>
      <c r="C63" s="1886"/>
      <c r="D63" s="1001">
        <f t="shared" si="12"/>
        <v>0</v>
      </c>
      <c r="E63" s="702"/>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c r="D67" s="1001">
        <f t="shared" si="12"/>
        <v>0</v>
      </c>
      <c r="E67" s="702"/>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9" t="s">
        <v>3269</v>
      </c>
      <c r="B74" s="1261">
        <f>估价对象房地状况!C19</f>
        <v>0</v>
      </c>
      <c r="C74" s="1886"/>
      <c r="D74" s="1001">
        <f t="shared" si="17"/>
        <v>0</v>
      </c>
      <c r="E74" s="704"/>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7">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4"/>
      <c r="F76" s="1674"/>
      <c r="G76" s="999"/>
      <c r="H76" s="1002" t="str">
        <f t="shared" si="18"/>
        <v>——</v>
      </c>
      <c r="I76" s="3067">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7">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7">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4"/>
      <c r="F79" s="1674"/>
      <c r="G79" s="999"/>
      <c r="H79" s="1002" t="str">
        <f t="shared" si="18"/>
        <v>——</v>
      </c>
      <c r="I79" s="3067">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8">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1.0052000000000001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9.6">
      <c r="A83" s="1969" t="s">
        <v>2070</v>
      </c>
      <c r="B83" s="1261" t="str">
        <f>估价对象房地状况!G15</f>
        <v>估价对象位于XX开发区，园区建设成熟度XX，产业集聚程度XX</v>
      </c>
      <c r="C83" s="1886" t="s">
        <v>3481</v>
      </c>
      <c r="D83" s="1001">
        <f t="shared" ref="D83:D90" si="22">SUMIF($J$82:$N$82,C83,J83:N83)</f>
        <v>0</v>
      </c>
      <c r="E83" s="701">
        <f>ROUND(SUM(D83:D90),4)</f>
        <v>5.1999999999999998E-3</v>
      </c>
      <c r="F83" s="1674">
        <f>IF(E2="工业",SUMIF(L1:L12,G2,N1:N12),"——")</f>
        <v>0.14699999999999999</v>
      </c>
      <c r="G83" s="999">
        <v>1.9099999999999999E-2</v>
      </c>
      <c r="H83" s="1002">
        <f t="shared" ref="H83:H90" si="23">IFERROR(ROUNDDOWN($F$83*I83/2,4),"——")</f>
        <v>1.9099999999999999E-2</v>
      </c>
      <c r="I83" s="3067">
        <v>0.26</v>
      </c>
      <c r="J83" s="1000">
        <f t="shared" ref="J83:J90" si="24">K83+$G83</f>
        <v>3.8199999999999998E-2</v>
      </c>
      <c r="K83" s="1000">
        <f t="shared" ref="K83:K90" si="25">$L83+$G83</f>
        <v>1.9099999999999999E-2</v>
      </c>
      <c r="L83" s="1000">
        <v>0</v>
      </c>
      <c r="M83" s="1000">
        <f t="shared" ref="M83:N90" si="26">L83-$G83</f>
        <v>-1.9099999999999999E-2</v>
      </c>
      <c r="N83" s="1000">
        <f t="shared" si="26"/>
        <v>-3.8199999999999998E-2</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t="s">
        <v>3481</v>
      </c>
      <c r="D84" s="1001">
        <f t="shared" si="22"/>
        <v>0</v>
      </c>
      <c r="E84" s="704"/>
      <c r="F84" s="1674"/>
      <c r="G84" s="999">
        <v>2.1999999999999999E-2</v>
      </c>
      <c r="H84" s="1002">
        <f t="shared" si="23"/>
        <v>2.1999999999999999E-2</v>
      </c>
      <c r="I84" s="3067">
        <v>0.3</v>
      </c>
      <c r="J84" s="1000">
        <f t="shared" si="24"/>
        <v>4.3999999999999997E-2</v>
      </c>
      <c r="K84" s="1000">
        <f t="shared" si="25"/>
        <v>2.1999999999999999E-2</v>
      </c>
      <c r="L84" s="1000">
        <v>0</v>
      </c>
      <c r="M84" s="1000">
        <f t="shared" si="26"/>
        <v>-2.1999999999999999E-2</v>
      </c>
      <c r="N84" s="1000">
        <f t="shared" si="26"/>
        <v>-4.3999999999999997E-2</v>
      </c>
      <c r="Z84" s="1844"/>
      <c r="AA84" s="1894"/>
      <c r="AG84" s="1057"/>
      <c r="AK84" s="1894"/>
    </row>
    <row r="85" spans="1:37" ht="48">
      <c r="A85" s="3069" t="s">
        <v>3270</v>
      </c>
      <c r="B85" s="1261">
        <f>估价对象房地状况!G17</f>
        <v>0</v>
      </c>
      <c r="C85" s="1886" t="s">
        <v>3481</v>
      </c>
      <c r="D85" s="1001">
        <f t="shared" si="22"/>
        <v>0</v>
      </c>
      <c r="E85" s="704"/>
      <c r="F85" s="1674"/>
      <c r="G85" s="999">
        <v>7.3000000000000001E-3</v>
      </c>
      <c r="H85" s="1002">
        <f t="shared" si="23"/>
        <v>7.3000000000000001E-3</v>
      </c>
      <c r="I85" s="3067">
        <v>0.1</v>
      </c>
      <c r="J85" s="1000">
        <f t="shared" si="24"/>
        <v>1.46E-2</v>
      </c>
      <c r="K85" s="1000">
        <f t="shared" si="25"/>
        <v>7.3000000000000001E-3</v>
      </c>
      <c r="L85" s="1000">
        <v>0</v>
      </c>
      <c r="M85" s="1000">
        <f t="shared" si="26"/>
        <v>-7.3000000000000001E-3</v>
      </c>
      <c r="N85" s="1000">
        <f t="shared" si="26"/>
        <v>-1.46E-2</v>
      </c>
      <c r="Z85" s="1844"/>
      <c r="AA85" s="1894"/>
      <c r="AG85" s="1057"/>
      <c r="AK85" s="1894"/>
    </row>
    <row r="86" spans="1:37" ht="13.8">
      <c r="A86" s="1969" t="s">
        <v>2067</v>
      </c>
      <c r="B86" s="1261">
        <f>估价对象房地状况!G22</f>
        <v>0</v>
      </c>
      <c r="C86" s="1886" t="s">
        <v>3482</v>
      </c>
      <c r="D86" s="1001">
        <f t="shared" si="22"/>
        <v>-7.1999999999999998E-3</v>
      </c>
      <c r="E86" s="704"/>
      <c r="F86" s="1674"/>
      <c r="G86" s="999">
        <v>3.5999999999999999E-3</v>
      </c>
      <c r="H86" s="1002">
        <f t="shared" si="23"/>
        <v>3.5999999999999999E-3</v>
      </c>
      <c r="I86" s="3067">
        <v>0.05</v>
      </c>
      <c r="J86" s="1000">
        <f t="shared" si="24"/>
        <v>7.1999999999999998E-3</v>
      </c>
      <c r="K86" s="1000">
        <f t="shared" si="25"/>
        <v>3.5999999999999999E-3</v>
      </c>
      <c r="L86" s="1000">
        <v>0</v>
      </c>
      <c r="M86" s="1000">
        <f t="shared" si="26"/>
        <v>-3.5999999999999999E-3</v>
      </c>
      <c r="N86" s="1000">
        <f t="shared" si="26"/>
        <v>-7.1999999999999998E-3</v>
      </c>
      <c r="Z86" s="1844"/>
      <c r="AA86" s="1894"/>
      <c r="AG86" s="1057"/>
      <c r="AK86" s="1894"/>
    </row>
    <row r="87" spans="1:37" ht="26.4">
      <c r="A87" s="1969" t="s">
        <v>2059</v>
      </c>
      <c r="B87" s="1239" t="str">
        <f>估价对象房地状况!G19</f>
        <v>估价对象所在区域公共配套设施齐备情况</v>
      </c>
      <c r="C87" s="1886" t="s">
        <v>3483</v>
      </c>
      <c r="D87" s="1001">
        <f t="shared" si="22"/>
        <v>4.4000000000000003E-3</v>
      </c>
      <c r="E87" s="704"/>
      <c r="F87" s="1674"/>
      <c r="G87" s="999">
        <v>4.4000000000000003E-3</v>
      </c>
      <c r="H87" s="1002">
        <f t="shared" si="23"/>
        <v>4.4000000000000003E-3</v>
      </c>
      <c r="I87" s="3067">
        <v>0.06</v>
      </c>
      <c r="J87" s="1000">
        <f t="shared" si="24"/>
        <v>8.8000000000000005E-3</v>
      </c>
      <c r="K87" s="1000">
        <f t="shared" si="25"/>
        <v>4.4000000000000003E-3</v>
      </c>
      <c r="L87" s="1000">
        <v>0</v>
      </c>
      <c r="M87" s="1000">
        <f t="shared" si="26"/>
        <v>-4.4000000000000003E-3</v>
      </c>
      <c r="N87" s="1000">
        <f t="shared" si="26"/>
        <v>-8.8000000000000005E-3</v>
      </c>
    </row>
    <row r="88" spans="1:37" ht="26.4">
      <c r="A88" s="1969" t="s">
        <v>2060</v>
      </c>
      <c r="B88" s="1239" t="str">
        <f>估价对象房地状况!G20</f>
        <v>估价对象所在区域基础设施水平</v>
      </c>
      <c r="C88" s="1886" t="s">
        <v>3481</v>
      </c>
      <c r="D88" s="1001">
        <f t="shared" si="22"/>
        <v>0</v>
      </c>
      <c r="E88" s="704"/>
      <c r="F88" s="1674"/>
      <c r="G88" s="999">
        <v>8.8000000000000005E-3</v>
      </c>
      <c r="H88" s="1002">
        <f t="shared" si="23"/>
        <v>8.8000000000000005E-3</v>
      </c>
      <c r="I88" s="3067">
        <v>0.12</v>
      </c>
      <c r="J88" s="1000">
        <f t="shared" si="24"/>
        <v>1.7600000000000001E-2</v>
      </c>
      <c r="K88" s="1000">
        <f t="shared" si="25"/>
        <v>8.8000000000000005E-3</v>
      </c>
      <c r="L88" s="1000">
        <v>0</v>
      </c>
      <c r="M88" s="1000">
        <f t="shared" si="26"/>
        <v>-8.8000000000000005E-3</v>
      </c>
      <c r="N88" s="1000">
        <f t="shared" si="26"/>
        <v>-1.7600000000000001E-2</v>
      </c>
    </row>
    <row r="89" spans="1:37" ht="36">
      <c r="A89" s="1969" t="s">
        <v>2057</v>
      </c>
      <c r="B89" s="1974" t="s">
        <v>2071</v>
      </c>
      <c r="C89" s="1886" t="s">
        <v>3483</v>
      </c>
      <c r="D89" s="1001">
        <f t="shared" si="22"/>
        <v>4.4000000000000003E-3</v>
      </c>
      <c r="E89" s="704"/>
      <c r="F89" s="1674"/>
      <c r="G89" s="999">
        <v>4.4000000000000003E-3</v>
      </c>
      <c r="H89" s="1002">
        <f t="shared" si="23"/>
        <v>4.4000000000000003E-3</v>
      </c>
      <c r="I89" s="3067">
        <v>0.06</v>
      </c>
      <c r="J89" s="1000">
        <f t="shared" si="24"/>
        <v>8.8000000000000005E-3</v>
      </c>
      <c r="K89" s="1000">
        <f t="shared" si="25"/>
        <v>4.4000000000000003E-3</v>
      </c>
      <c r="L89" s="1000">
        <v>0</v>
      </c>
      <c r="M89" s="1000">
        <f t="shared" si="26"/>
        <v>-4.4000000000000003E-3</v>
      </c>
      <c r="N89" s="1000">
        <f t="shared" si="26"/>
        <v>-8.8000000000000005E-3</v>
      </c>
    </row>
    <row r="90" spans="1:37" ht="40.200000000000003" thickBot="1">
      <c r="A90" s="1976" t="s">
        <v>2072</v>
      </c>
      <c r="B90" s="1981" t="str">
        <f>估价对象房地状况!G18</f>
        <v>该园区内是否有污染型企业，绿化情况，卫生条件，整体环境状况判断</v>
      </c>
      <c r="C90" s="1886" t="s">
        <v>3483</v>
      </c>
      <c r="D90" s="1001">
        <f t="shared" si="22"/>
        <v>3.5999999999999999E-3</v>
      </c>
      <c r="E90" s="705"/>
      <c r="F90" s="1674"/>
      <c r="G90" s="999">
        <v>3.5999999999999999E-3</v>
      </c>
      <c r="H90" s="1002">
        <f t="shared" si="23"/>
        <v>3.5999999999999999E-3</v>
      </c>
      <c r="I90" s="3068">
        <v>0.05</v>
      </c>
      <c r="J90" s="1000">
        <f t="shared" si="24"/>
        <v>7.1999999999999998E-3</v>
      </c>
      <c r="K90" s="1000">
        <f t="shared" si="25"/>
        <v>3.5999999999999999E-3</v>
      </c>
      <c r="L90" s="1000">
        <v>0</v>
      </c>
      <c r="M90" s="1000">
        <f t="shared" si="26"/>
        <v>-3.5999999999999999E-3</v>
      </c>
      <c r="N90" s="1000">
        <f t="shared" si="26"/>
        <v>-7.1999999999999998E-3</v>
      </c>
    </row>
    <row r="91" spans="1:37" ht="13.8">
      <c r="A91" s="3077" t="s">
        <v>2612</v>
      </c>
      <c r="B91" s="3078">
        <f>1+E93</f>
        <v>1</v>
      </c>
      <c r="C91" s="3071"/>
      <c r="D91" s="3072"/>
      <c r="E91" s="1674"/>
      <c r="F91" s="1674"/>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49" t="s">
        <v>3289</v>
      </c>
      <c r="K92" s="2149" t="s">
        <v>3290</v>
      </c>
      <c r="L92" s="2149" t="s">
        <v>3291</v>
      </c>
      <c r="M92" s="2149" t="s">
        <v>3292</v>
      </c>
      <c r="N92" s="2149" t="s">
        <v>3293</v>
      </c>
    </row>
    <row r="93" spans="1:37" ht="24">
      <c r="A93" s="3069" t="s">
        <v>3272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52.8">
      <c r="A94" s="3079" t="s">
        <v>3273</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48">
      <c r="A95" s="3069" t="s">
        <v>3269</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7.200000000000003">
      <c r="A96" s="3079" t="s">
        <v>3274</v>
      </c>
      <c r="B96" s="3085" t="s">
        <v>3285</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3275</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36">
      <c r="A98" s="3079" t="s">
        <v>3276</v>
      </c>
      <c r="B98" s="3086" t="s">
        <v>3286</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6.4">
      <c r="A99" s="3079" t="s">
        <v>3277</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6.4">
      <c r="A100" s="3079" t="s">
        <v>3278</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40.200000000000003" thickBot="1">
      <c r="A101" s="3080" t="s">
        <v>3279</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382" t="s">
        <v>3294</v>
      </c>
      <c r="B103" s="3382"/>
      <c r="C103" s="3382"/>
      <c r="D103" s="3382"/>
      <c r="E103" s="3382"/>
      <c r="F103" s="3382"/>
      <c r="G103" s="3382"/>
      <c r="H103" s="3382"/>
      <c r="I103" s="3382"/>
      <c r="J103" s="3382"/>
      <c r="K103" s="1666"/>
      <c r="L103" s="1666"/>
      <c r="M103" s="1666"/>
      <c r="N103" s="1666"/>
    </row>
    <row r="104" spans="1:14">
      <c r="A104" s="3383" t="s">
        <v>3295</v>
      </c>
      <c r="B104" s="3383" t="s">
        <v>3296</v>
      </c>
      <c r="C104" s="3089" t="s">
        <v>3297</v>
      </c>
      <c r="D104" s="3090"/>
      <c r="E104" s="3090"/>
      <c r="F104" s="3090"/>
      <c r="G104" s="3090"/>
      <c r="H104" s="3090"/>
      <c r="I104" s="3090"/>
      <c r="J104" s="3091"/>
      <c r="K104" s="3092"/>
      <c r="L104" s="3092"/>
      <c r="M104" s="3092"/>
      <c r="N104" s="3092"/>
    </row>
    <row r="105" spans="1:14">
      <c r="A105" s="3383"/>
      <c r="B105" s="3383"/>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369"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7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7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7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7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70"/>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37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372" t="s">
        <v>3311</v>
      </c>
      <c r="B113" s="3372"/>
      <c r="C113" s="3372"/>
      <c r="D113" s="3372"/>
      <c r="E113" s="3372"/>
      <c r="F113" s="3372"/>
      <c r="G113" s="3372"/>
      <c r="H113" s="3372"/>
      <c r="I113" s="3372"/>
      <c r="J113" s="3372"/>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8" thickBot="1">
      <c r="A115" s="3096"/>
      <c r="B115" s="3096"/>
      <c r="C115" s="3096"/>
      <c r="D115" s="3096"/>
      <c r="E115" s="3096"/>
      <c r="F115" s="3096"/>
      <c r="G115" s="3096"/>
      <c r="H115" s="3096"/>
      <c r="I115" s="3096"/>
      <c r="J115" s="3096"/>
      <c r="K115" s="1963"/>
      <c r="L115" s="3096"/>
      <c r="M115" s="3096"/>
      <c r="N115" s="3096"/>
    </row>
    <row r="116" spans="1:14" ht="25.8" thickBot="1">
      <c r="A116" s="3097" t="s">
        <v>3312</v>
      </c>
      <c r="B116" s="3113">
        <f>G3</f>
        <v>1</v>
      </c>
      <c r="C116" s="3098" t="s">
        <v>3313</v>
      </c>
      <c r="D116" s="3099">
        <f>SUMPRODUCT((A118:A122=F116)*(B117:M117=H116)*B118:M122)</f>
        <v>0.57150000000000001</v>
      </c>
      <c r="E116" s="161" t="s">
        <v>3314</v>
      </c>
      <c r="F116" s="3100" t="str">
        <f>E2</f>
        <v>工业</v>
      </c>
      <c r="G116" s="161" t="s">
        <v>3315</v>
      </c>
      <c r="H116" s="3100" t="str">
        <f>G2</f>
        <v>八级</v>
      </c>
      <c r="I116" s="161"/>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5">I118</f>
        <v>0.8306</v>
      </c>
      <c r="K118" s="3088">
        <f t="shared" si="35"/>
        <v>0.8306</v>
      </c>
      <c r="L118" s="3088">
        <f t="shared" si="35"/>
        <v>0.8306</v>
      </c>
      <c r="M118" s="3108">
        <f t="shared" si="35"/>
        <v>0.8306</v>
      </c>
      <c r="N118" s="3096"/>
    </row>
    <row r="119" spans="1:14">
      <c r="A119" s="3056" t="s">
        <v>3329</v>
      </c>
      <c r="B119" s="3088">
        <f>ROUND(0.993-0.0112*B116,4)</f>
        <v>0.98180000000000001</v>
      </c>
      <c r="C119" s="3088">
        <f>B119</f>
        <v>0.98180000000000001</v>
      </c>
      <c r="D119" s="3088">
        <f>ROUND(0.9415-0.0142*B116,4)</f>
        <v>0.92730000000000001</v>
      </c>
      <c r="E119" s="3088">
        <f t="shared" ref="E119:H120" si="36">D119</f>
        <v>0.92730000000000001</v>
      </c>
      <c r="F119" s="3088">
        <f t="shared" si="36"/>
        <v>0.92730000000000001</v>
      </c>
      <c r="G119" s="3088">
        <f t="shared" si="36"/>
        <v>0.92730000000000001</v>
      </c>
      <c r="H119" s="3088">
        <f t="shared" si="36"/>
        <v>0.92730000000000001</v>
      </c>
      <c r="I119" s="3088">
        <f>ROUND(0.838-0.0182*B116,4)</f>
        <v>0.81979999999999997</v>
      </c>
      <c r="J119" s="3088">
        <f t="shared" si="35"/>
        <v>0.81979999999999997</v>
      </c>
      <c r="K119" s="3088">
        <f t="shared" si="35"/>
        <v>0.81979999999999997</v>
      </c>
      <c r="L119" s="3088">
        <f t="shared" si="35"/>
        <v>0.81979999999999997</v>
      </c>
      <c r="M119" s="3108">
        <f t="shared" si="35"/>
        <v>0.81979999999999997</v>
      </c>
      <c r="N119" s="3096"/>
    </row>
    <row r="120" spans="1:14">
      <c r="A120" s="3056" t="s">
        <v>3330</v>
      </c>
      <c r="B120" s="3088">
        <f>ROUND(0.9448-0.0115*B116,4)</f>
        <v>0.93330000000000002</v>
      </c>
      <c r="C120" s="3088">
        <f>B120</f>
        <v>0.93330000000000002</v>
      </c>
      <c r="D120" s="3088">
        <f>ROUND(0.937-0.0145*B116,4)</f>
        <v>0.92249999999999999</v>
      </c>
      <c r="E120" s="3088">
        <f t="shared" si="36"/>
        <v>0.92249999999999999</v>
      </c>
      <c r="F120" s="3088">
        <f t="shared" si="36"/>
        <v>0.92249999999999999</v>
      </c>
      <c r="G120" s="3088">
        <f t="shared" si="36"/>
        <v>0.92249999999999999</v>
      </c>
      <c r="H120" s="3088">
        <f t="shared" si="36"/>
        <v>0.92249999999999999</v>
      </c>
      <c r="I120" s="3088">
        <f>ROUND(0.7965-0.0185*B116,4)</f>
        <v>0.77800000000000002</v>
      </c>
      <c r="J120" s="3088">
        <f t="shared" si="35"/>
        <v>0.77800000000000002</v>
      </c>
      <c r="K120" s="3088">
        <f t="shared" si="35"/>
        <v>0.77800000000000002</v>
      </c>
      <c r="L120" s="3088">
        <f t="shared" si="35"/>
        <v>0.77800000000000002</v>
      </c>
      <c r="M120" s="3108">
        <f t="shared" si="35"/>
        <v>0.77800000000000002</v>
      </c>
      <c r="N120" s="3096"/>
    </row>
    <row r="121" spans="1:14" ht="13.8" thickBot="1">
      <c r="A121" s="3109" t="s">
        <v>3331</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5"/>
        <v>0.57150000000000001</v>
      </c>
      <c r="K121" s="3110">
        <f t="shared" si="35"/>
        <v>0.57150000000000001</v>
      </c>
      <c r="L121" s="3110">
        <f t="shared" si="35"/>
        <v>0.57150000000000001</v>
      </c>
      <c r="M121" s="3111">
        <f t="shared" si="35"/>
        <v>0.57150000000000001</v>
      </c>
      <c r="N121" s="3096"/>
    </row>
    <row r="122" spans="1:14">
      <c r="A122" s="3112" t="s">
        <v>2612</v>
      </c>
      <c r="B122" s="3088">
        <f>ROUND(0.9404-0.0106*B116,4)</f>
        <v>0.92979999999999996</v>
      </c>
      <c r="C122" s="3088">
        <f>B122</f>
        <v>0.92979999999999996</v>
      </c>
      <c r="D122" s="3088">
        <f>ROUND(0.8955-0.0135*B116,4)</f>
        <v>0.88200000000000001</v>
      </c>
      <c r="E122" s="3088">
        <f t="shared" ref="E122:H122" si="37">D122</f>
        <v>0.88200000000000001</v>
      </c>
      <c r="F122" s="3088">
        <f t="shared" si="37"/>
        <v>0.88200000000000001</v>
      </c>
      <c r="G122" s="3088">
        <f t="shared" si="37"/>
        <v>0.88200000000000001</v>
      </c>
      <c r="H122" s="3088">
        <f t="shared" si="37"/>
        <v>0.88200000000000001</v>
      </c>
      <c r="I122" s="3088">
        <f>ROUND(0.7632-0.0166*B116,4)</f>
        <v>0.74660000000000004</v>
      </c>
      <c r="J122" s="3088">
        <f t="shared" si="35"/>
        <v>0.74660000000000004</v>
      </c>
      <c r="K122" s="3088">
        <f t="shared" si="35"/>
        <v>0.74660000000000004</v>
      </c>
      <c r="L122" s="3088">
        <f t="shared" si="35"/>
        <v>0.74660000000000004</v>
      </c>
      <c r="M122" s="3108">
        <f t="shared" si="35"/>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9" zoomScale="70" zoomScaleNormal="70" zoomScaleSheetLayoutView="70" workbookViewId="0">
      <selection activeCell="C7" sqref="C7"/>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v>
      </c>
      <c r="D1" s="1270" t="s">
        <v>43</v>
      </c>
      <c r="E1" s="1271" t="s">
        <v>678</v>
      </c>
      <c r="F1" s="998">
        <f ca="1">J53</f>
        <v>23.24</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1311</v>
      </c>
      <c r="C2" s="1288" t="s">
        <v>805</v>
      </c>
      <c r="D2" s="1288"/>
      <c r="E2" s="1294"/>
      <c r="F2" s="1295"/>
      <c r="G2" s="2477"/>
      <c r="H2" s="2467"/>
      <c r="I2" s="2467"/>
      <c r="J2" s="2467"/>
      <c r="K2" s="2468"/>
      <c r="L2" s="2467"/>
      <c r="M2" s="2467"/>
    </row>
    <row r="3" spans="1:37" ht="18" customHeight="1" thickBot="1">
      <c r="A3" s="1296" t="s">
        <v>806</v>
      </c>
      <c r="B3" s="1297">
        <f ca="1">IF(ISERROR(B2*10000/F43),0,ROUND(B2*10000/F43,0))</f>
        <v>5357</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105</v>
      </c>
      <c r="D5" s="1272" t="s">
        <v>693</v>
      </c>
      <c r="E5" s="1007"/>
      <c r="F5" s="1008"/>
      <c r="G5" s="1291"/>
      <c r="H5" s="290">
        <v>1</v>
      </c>
      <c r="I5" s="291" t="s">
        <v>692</v>
      </c>
      <c r="J5" s="1006">
        <f ca="1">J6+J10+J12</f>
        <v>0</v>
      </c>
      <c r="K5" s="1272" t="s">
        <v>693</v>
      </c>
      <c r="L5" s="1007"/>
      <c r="M5" s="1008"/>
    </row>
    <row r="6" spans="1:37" ht="18" customHeight="1">
      <c r="A6" s="1005" t="s">
        <v>398</v>
      </c>
      <c r="B6" s="3390" t="s">
        <v>694</v>
      </c>
      <c r="C6" s="1010">
        <f ca="1">ROUND(F6*F8*F7*(1-F9)/10000,0)</f>
        <v>105</v>
      </c>
      <c r="D6" s="146" t="s">
        <v>2109</v>
      </c>
      <c r="E6" s="293" t="s">
        <v>696</v>
      </c>
      <c r="F6" s="294">
        <f ca="1">INDIRECT("'数据-取费表'!u"&amp;$G$1)</f>
        <v>1.3</v>
      </c>
      <c r="G6" s="1291"/>
      <c r="H6" s="1005" t="s">
        <v>398</v>
      </c>
      <c r="I6" s="3390" t="s">
        <v>694</v>
      </c>
      <c r="J6" s="292">
        <f ca="1">ROUND(M6*M8*M7*(1-M9)/10000,0)</f>
        <v>0</v>
      </c>
      <c r="K6" s="146" t="s">
        <v>2108</v>
      </c>
      <c r="L6" s="293" t="s">
        <v>696</v>
      </c>
      <c r="M6" s="294">
        <f ca="1">INDIRECT("'数据-取费表'!z"&amp;$G$1)</f>
        <v>0</v>
      </c>
    </row>
    <row r="7" spans="1:37" ht="18" customHeight="1">
      <c r="A7" s="1009"/>
      <c r="B7" s="3391"/>
      <c r="C7" s="1011"/>
      <c r="D7" s="298"/>
      <c r="E7" s="1012" t="s">
        <v>697</v>
      </c>
      <c r="F7" s="294">
        <f ca="1">IF(INDIRECT("'数据-取费表'!ah"&amp;$G$1)="",INDIRECT("'数据-取费表'!k"&amp;$G$1),INDIRECT("'数据-取费表'!ah"&amp;$G$1))</f>
        <v>2447.34</v>
      </c>
      <c r="G7" s="1291"/>
      <c r="H7" s="295"/>
      <c r="I7" s="3391"/>
      <c r="J7" s="297"/>
      <c r="K7" s="298"/>
      <c r="L7" s="293" t="s">
        <v>697</v>
      </c>
      <c r="M7" s="294">
        <f ca="1">F7</f>
        <v>2447.34</v>
      </c>
    </row>
    <row r="8" spans="1:37" ht="18" customHeight="1">
      <c r="A8" s="295"/>
      <c r="B8" s="3391"/>
      <c r="C8" s="297"/>
      <c r="D8" s="298"/>
      <c r="E8" s="293" t="s">
        <v>698</v>
      </c>
      <c r="F8" s="294">
        <f ca="1">INDIRECT("'数据-取费表'!ai"&amp;$G$1)</f>
        <v>365</v>
      </c>
      <c r="G8" s="1291"/>
      <c r="H8" s="295"/>
      <c r="I8" s="3391"/>
      <c r="J8" s="297"/>
      <c r="K8" s="298"/>
      <c r="L8" s="293" t="s">
        <v>698</v>
      </c>
      <c r="M8" s="294">
        <f ca="1">INDIRECT("'数据-取费表'!ai"&amp;$G$1)</f>
        <v>365</v>
      </c>
    </row>
    <row r="9" spans="1:37" ht="18" customHeight="1">
      <c r="A9" s="295"/>
      <c r="B9" s="3392"/>
      <c r="C9" s="297"/>
      <c r="D9" s="298"/>
      <c r="E9" s="293" t="s">
        <v>699</v>
      </c>
      <c r="F9" s="303">
        <f ca="1">INDIRECT("'数据-取费表'!w"&amp;$G$1)</f>
        <v>0.1</v>
      </c>
      <c r="G9" s="1291"/>
      <c r="H9" s="295"/>
      <c r="I9" s="3392"/>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t="s">
        <v>3480</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643</v>
      </c>
      <c r="D13" s="1017" t="s">
        <v>705</v>
      </c>
      <c r="E13" s="1017" t="s">
        <v>706</v>
      </c>
      <c r="F13" s="1018">
        <f ca="1">INDIRECT("'数据-取费表'!y"&amp;$G$1)</f>
        <v>0.7</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666</v>
      </c>
      <c r="D14" s="1256" t="s">
        <v>708</v>
      </c>
      <c r="E14" s="1254"/>
      <c r="F14" s="310"/>
      <c r="G14" s="1291"/>
      <c r="H14" s="927" t="s">
        <v>398</v>
      </c>
      <c r="I14" s="293" t="s">
        <v>709</v>
      </c>
      <c r="J14" s="21">
        <f ca="1">C29</f>
        <v>919</v>
      </c>
      <c r="K14" s="12"/>
      <c r="L14" s="758"/>
      <c r="M14" s="759"/>
    </row>
    <row r="15" spans="1:37" s="1303" customFormat="1" ht="18" customHeight="1" thickBot="1">
      <c r="A15" s="927" t="s">
        <v>399</v>
      </c>
      <c r="B15" s="293" t="s">
        <v>710</v>
      </c>
      <c r="C15" s="21">
        <f ca="1">ROUND(C14*F15,0)</f>
        <v>33</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5</v>
      </c>
      <c r="K16" s="1023" t="s">
        <v>715</v>
      </c>
      <c r="L16" s="1024"/>
      <c r="M16" s="1008"/>
    </row>
    <row r="17" spans="1:37" s="1303" customFormat="1" ht="18" customHeight="1">
      <c r="A17" s="927" t="s">
        <v>681</v>
      </c>
      <c r="B17" s="293" t="s">
        <v>716</v>
      </c>
      <c r="C17" s="21">
        <f ca="1">ROUND(F17*(F43+INDIRECT("'数据-取费表'!S"&amp;$G$1))/10000,0)</f>
        <v>49</v>
      </c>
      <c r="D17" s="293" t="s">
        <v>717</v>
      </c>
      <c r="E17" s="293" t="s">
        <v>718</v>
      </c>
      <c r="F17" s="23">
        <f>'数据-取费表'!B35</f>
        <v>200</v>
      </c>
      <c r="G17" s="1302"/>
      <c r="H17" s="927" t="s">
        <v>398</v>
      </c>
      <c r="I17" s="293" t="s">
        <v>719</v>
      </c>
      <c r="J17" s="2139">
        <f ca="1">ROUND(IF(AND(项目基本情况!B11="自然人",项目基本情况!B10="北京市"),J6*M17/(1+'数据-取费表'!C42),J18+J19+J20),2)</f>
        <v>0.81</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13</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761</v>
      </c>
      <c r="D19" s="122" t="s">
        <v>726</v>
      </c>
      <c r="E19" s="1268"/>
      <c r="F19" s="23"/>
      <c r="G19" s="1291"/>
      <c r="H19" s="927" t="s">
        <v>399</v>
      </c>
      <c r="I19" s="293" t="s">
        <v>727</v>
      </c>
      <c r="J19" s="21">
        <f ca="1">IF(K19="按租金收入计税",ROUND(J6*M19/(1+'数据-取费表'!C42),2),ROUND(C29*M19*0.7,2))</f>
        <v>0</v>
      </c>
      <c r="K19" s="1277" t="s">
        <v>3336</v>
      </c>
      <c r="L19" s="293" t="s">
        <v>712</v>
      </c>
      <c r="M19" s="313">
        <f>IF(K19="按租金收入计税",'数据-取费表'!B51,'数据-取费表'!B50)</f>
        <v>0.12</v>
      </c>
    </row>
    <row r="20" spans="1:37" s="1303" customFormat="1" ht="18" customHeight="1">
      <c r="A20" s="927" t="s">
        <v>402</v>
      </c>
      <c r="B20" s="293" t="s">
        <v>728</v>
      </c>
      <c r="C20" s="21">
        <f ca="1">ROUND(C19*F20,0)</f>
        <v>15</v>
      </c>
      <c r="D20" s="314" t="s">
        <v>729</v>
      </c>
      <c r="E20" s="293" t="s">
        <v>712</v>
      </c>
      <c r="F20" s="313">
        <f>'数据-取费表'!B37</f>
        <v>0.02</v>
      </c>
      <c r="G20" s="1302"/>
      <c r="H20" s="927" t="s">
        <v>680</v>
      </c>
      <c r="I20" s="146" t="s">
        <v>730</v>
      </c>
      <c r="J20" s="22">
        <f ca="1">ROUND(M20*M21/10000,2)</f>
        <v>0.81</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5389.47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4.5999999999999996</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12</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-5</v>
      </c>
      <c r="K25" s="1031" t="s">
        <v>753</v>
      </c>
      <c r="L25" s="1032"/>
      <c r="M25" s="1033"/>
    </row>
    <row r="26" spans="1:37">
      <c r="A26" s="927" t="s">
        <v>397</v>
      </c>
      <c r="B26" s="293" t="s">
        <v>754</v>
      </c>
      <c r="C26" s="21">
        <f ca="1">ROUND((C19+C20)*F26,0)</f>
        <v>62</v>
      </c>
      <c r="D26" s="314" t="s">
        <v>755</v>
      </c>
      <c r="E26" s="304" t="s">
        <v>756</v>
      </c>
      <c r="F26" s="303">
        <f ca="1">INDIRECT("'数据-取费表'!q"&amp;$G$1)</f>
        <v>0.08</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1.6000000000000001E-3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919</v>
      </c>
      <c r="D29" s="1028"/>
      <c r="E29" s="1026"/>
      <c r="F29" s="1029"/>
      <c r="G29" s="1302"/>
      <c r="H29" s="324" t="s">
        <v>396</v>
      </c>
      <c r="I29" s="325" t="s">
        <v>768</v>
      </c>
      <c r="J29" s="326">
        <f ca="1">ROUND(J26/(1+F40)^F41,0)</f>
        <v>0</v>
      </c>
      <c r="K29" s="327" t="s">
        <v>769</v>
      </c>
      <c r="L29" s="328"/>
      <c r="M29" s="329">
        <f ca="1">INDIRECT("'数据-取费表'!k"&amp;$G$1)</f>
        <v>2447.34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25</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18.41</v>
      </c>
      <c r="D31" s="1256" t="s">
        <v>720</v>
      </c>
      <c r="E31" s="1255" t="s">
        <v>770</v>
      </c>
      <c r="F31" s="2138" t="str">
        <f>IF(项目基本情况!B11="企业","——",IF(M47="住宅",IF(F6*F7*F8/12/(1+'数据-取费表'!F30)&gt;100000,4%,2.5%),IF(F6*F7*F8/12/(1+'数据-取费表'!F30)&gt;100000,12%,7%)))</f>
        <v>——</v>
      </c>
      <c r="G31" s="1291"/>
      <c r="H31" s="2568" t="s">
        <v>2306</v>
      </c>
      <c r="I31" s="1304"/>
      <c r="J31" s="1305"/>
      <c r="K31" s="120"/>
      <c r="L31" s="2470"/>
      <c r="M31" s="2471"/>
    </row>
    <row r="32" spans="1:37" ht="18" customHeight="1">
      <c r="A32" s="927" t="s">
        <v>397</v>
      </c>
      <c r="B32" s="293" t="s">
        <v>723</v>
      </c>
      <c r="C32" s="21">
        <f ca="1">IF(项目基本情况!B11="自然人","——",ROUND(C6*F32/(1+'数据-取费表'!C42),2))</f>
        <v>5.6</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1">
        <f ca="1">IF(项目基本情况!B11="自然人","——",IF(D33="按租金收入计税",ROUND(C6*F33/(1+'数据-取费表'!C42),2),IF(D33="按房产原值计税",ROUND(C29*F33*0.7,2),INDIRECT("'数据-取费表'!Aj"&amp;$G$1))))</f>
        <v>12</v>
      </c>
      <c r="D33" s="1277" t="s">
        <v>3336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2">
        <f ca="1">IF(项目基本情况!B11="自然人","——",ROUND(F34*F35/10000,2))</f>
        <v>0.81</v>
      </c>
      <c r="D34" s="315" t="s">
        <v>731</v>
      </c>
      <c r="E34" s="293" t="s">
        <v>732</v>
      </c>
      <c r="F34" s="316">
        <f>'数据-取费表'!B52</f>
        <v>1.5</v>
      </c>
      <c r="G34" s="1291"/>
      <c r="H34" s="2469"/>
      <c r="I34" s="1304"/>
      <c r="J34" s="1305"/>
      <c r="K34" s="2474"/>
      <c r="L34" s="2475"/>
      <c r="M34" s="2475"/>
    </row>
    <row r="35" spans="1:18" ht="18" customHeight="1">
      <c r="A35" s="1039"/>
      <c r="B35" s="1037"/>
      <c r="C35" s="26"/>
      <c r="D35" s="318"/>
      <c r="E35" s="293" t="s">
        <v>736</v>
      </c>
      <c r="F35" s="294">
        <f ca="1">INDIRECT("'数据-取费表'!r"&amp;$G$1)</f>
        <v>5389.47</v>
      </c>
      <c r="G35" s="1291"/>
      <c r="H35" s="2469"/>
      <c r="I35" s="1304"/>
      <c r="J35" s="1305"/>
      <c r="K35" s="2473"/>
      <c r="L35" s="2472"/>
      <c r="M35" s="2472"/>
    </row>
    <row r="36" spans="1:18" ht="18" customHeight="1">
      <c r="A36" s="1038" t="s">
        <v>402</v>
      </c>
      <c r="B36" s="293" t="s">
        <v>738</v>
      </c>
      <c r="C36" s="21">
        <f ca="1">ROUND(C29*F36,2)</f>
        <v>4.5999999999999996</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1">
        <f ca="1">ROUND(C13*F37,2)</f>
        <v>0.64</v>
      </c>
      <c r="D37" s="1255" t="s">
        <v>743</v>
      </c>
      <c r="E37" s="293" t="s">
        <v>744</v>
      </c>
      <c r="F37" s="320">
        <f ca="1">INDIRECT("'数据-取费表'!Al"&amp;$G$1)</f>
        <v>1E-3</v>
      </c>
      <c r="G37" s="1291"/>
      <c r="H37" s="2472"/>
      <c r="I37" s="1304"/>
      <c r="J37" s="1305"/>
      <c r="K37" s="2330"/>
      <c r="L37" s="2472"/>
      <c r="M37" s="2472"/>
    </row>
    <row r="38" spans="1:18" ht="18" customHeight="1" thickBot="1">
      <c r="A38" s="1025" t="s">
        <v>684</v>
      </c>
      <c r="B38" s="1026" t="s">
        <v>728</v>
      </c>
      <c r="C38" s="1027">
        <f ca="1">ROUND(C5*F38,2)</f>
        <v>1.05</v>
      </c>
      <c r="D38" s="1028" t="s">
        <v>748</v>
      </c>
      <c r="E38" s="1026" t="s">
        <v>744</v>
      </c>
      <c r="F38" s="1022">
        <f ca="1">INDIRECT("'数据-取费表'!Am"&amp;$G$1)</f>
        <v>0.01</v>
      </c>
      <c r="G38" s="1291"/>
      <c r="H38" s="2472"/>
      <c r="I38" s="1304"/>
      <c r="J38" s="1305"/>
      <c r="K38" s="2470"/>
      <c r="L38" s="2472"/>
      <c r="M38" s="2472"/>
    </row>
    <row r="39" spans="1:18" ht="24.6" customHeight="1" thickTop="1">
      <c r="A39" s="1015" t="s">
        <v>394</v>
      </c>
      <c r="B39" s="1030" t="s">
        <v>772</v>
      </c>
      <c r="C39" s="301">
        <f ca="1">C5-C30</f>
        <v>80</v>
      </c>
      <c r="D39" s="1031" t="s">
        <v>773</v>
      </c>
      <c r="E39" s="1032"/>
      <c r="F39" s="1033"/>
      <c r="G39" s="1291"/>
      <c r="H39" s="2472"/>
      <c r="I39" s="1304"/>
      <c r="J39" s="1305"/>
      <c r="K39" s="2470"/>
      <c r="L39" s="2472"/>
      <c r="M39" s="2472"/>
    </row>
    <row r="40" spans="1:18" ht="18" customHeight="1">
      <c r="A40" s="290" t="s">
        <v>395</v>
      </c>
      <c r="B40" s="291" t="s">
        <v>774</v>
      </c>
      <c r="C40" s="292">
        <f ca="1">ROUND(C39*(1-((1+F42)/(1+F40))^F41)/(F40-F42),0)</f>
        <v>1242</v>
      </c>
      <c r="D40" s="315" t="s">
        <v>758</v>
      </c>
      <c r="E40" s="293" t="s">
        <v>759</v>
      </c>
      <c r="F40" s="303">
        <f ca="1">INDIRECT("'数据-取费表'!I"&amp;$G$1)</f>
        <v>5.5E-2</v>
      </c>
      <c r="G40" s="1291"/>
      <c r="H40" s="1365">
        <f ca="1">C39/C5</f>
        <v>0.76190476190476186</v>
      </c>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23.24</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5075</v>
      </c>
      <c r="D43" s="327" t="s">
        <v>777</v>
      </c>
      <c r="E43" s="328" t="s">
        <v>778</v>
      </c>
      <c r="F43" s="329">
        <f ca="1">INDIRECT("'数据-取费表'!k"&amp;$G$1)</f>
        <v>2447.34</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8" thickBot="1">
      <c r="A46" s="1310" t="s">
        <v>809</v>
      </c>
      <c r="C46" s="1311">
        <f ca="1">C68-C40</f>
        <v>-1320</v>
      </c>
      <c r="D46" s="1312" t="str">
        <f>C2</f>
        <v>万元</v>
      </c>
      <c r="E46" s="1306"/>
      <c r="F46" s="1306"/>
      <c r="I46" s="1313" t="s">
        <v>810</v>
      </c>
      <c r="J46" s="1314"/>
      <c r="K46" s="1315"/>
      <c r="L46" s="1316">
        <f ca="1">IF(M47="住宅",0,IF(L48&gt;J51,L60,J60))</f>
        <v>69</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3487</v>
      </c>
      <c r="K47" s="1322" t="s">
        <v>816</v>
      </c>
      <c r="L47" s="1323">
        <f ca="1">INDIRECT("'数据-取费表'!d"&amp;$G$1)</f>
        <v>0</v>
      </c>
      <c r="M47" s="1287" t="str">
        <f>IF(ISNUMBER(FIND("住宅",C1)),"住宅","非住宅")</f>
        <v>非住宅</v>
      </c>
      <c r="O47" s="1324" t="s">
        <v>403</v>
      </c>
      <c r="P47" s="1325" t="s">
        <v>817</v>
      </c>
      <c r="Q47" s="1326">
        <f ca="1">C40+J29</f>
        <v>1242</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3488</v>
      </c>
      <c r="K48" s="1329" t="s">
        <v>820</v>
      </c>
      <c r="L48" s="1330">
        <f ca="1">INDIRECT("'数据-取费表'!f"&amp;$G$1)</f>
        <v>23.24</v>
      </c>
      <c r="O48" s="1324" t="s">
        <v>404</v>
      </c>
      <c r="P48" s="1325" t="s">
        <v>821</v>
      </c>
      <c r="Q48" s="1326">
        <f ca="1">J60</f>
        <v>69</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f>'数据-取费表'!N18</f>
        <v>2004</v>
      </c>
      <c r="K49" s="1329" t="s">
        <v>824</v>
      </c>
      <c r="L49" s="1332"/>
      <c r="O49" s="1333" t="s">
        <v>405</v>
      </c>
      <c r="P49" s="1325" t="s">
        <v>825</v>
      </c>
      <c r="Q49" s="1326">
        <f ca="1">C29</f>
        <v>919</v>
      </c>
      <c r="R49" s="1326" t="s">
        <v>818</v>
      </c>
    </row>
    <row r="50" spans="1:18" s="1291" customFormat="1" ht="13.8" thickBot="1">
      <c r="A50" s="921"/>
      <c r="B50" s="924"/>
      <c r="C50" s="1054"/>
      <c r="D50" s="898"/>
      <c r="E50" s="992" t="s">
        <v>697</v>
      </c>
      <c r="F50" s="993">
        <f ca="1">F7</f>
        <v>2447.34</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29</v>
      </c>
      <c r="K51" s="1338" t="s">
        <v>830</v>
      </c>
      <c r="L51" s="1339">
        <f ca="1">ROUND(-PV(INDIRECT("'数据-取费表'!h"&amp;$G$1),J51,(C39-C13*C76),0),0)</f>
        <v>530</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23.24</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23.24</v>
      </c>
      <c r="K53" s="3388" t="s">
        <v>837</v>
      </c>
      <c r="L53" s="3389"/>
      <c r="O53" s="1324" t="s">
        <v>409</v>
      </c>
      <c r="P53" s="1325" t="s">
        <v>838</v>
      </c>
      <c r="Q53" s="1326">
        <f ca="1">Q47+Q48</f>
        <v>1311</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0.13300000000000001</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643</v>
      </c>
      <c r="D56" s="1351"/>
      <c r="E56" s="1352"/>
      <c r="F56" s="1344"/>
      <c r="I56" s="1353" t="s">
        <v>842</v>
      </c>
      <c r="J56" s="1354" t="s">
        <v>3419</v>
      </c>
      <c r="K56" s="1327" t="s">
        <v>843</v>
      </c>
      <c r="L56" s="1330" t="str">
        <f ca="1">IF(L48&lt;J51,"——",L48-J53)</f>
        <v>——</v>
      </c>
      <c r="O56" s="1324" t="s">
        <v>403</v>
      </c>
      <c r="P56" s="1325" t="s">
        <v>817</v>
      </c>
      <c r="Q56" s="1326">
        <f ca="1">C40+J29</f>
        <v>1242</v>
      </c>
      <c r="R56" s="1326" t="s">
        <v>818</v>
      </c>
    </row>
    <row r="57" spans="1:18" s="1291" customFormat="1" ht="24.6" thickBot="1">
      <c r="A57" s="1355"/>
      <c r="B57" s="895" t="s">
        <v>767</v>
      </c>
      <c r="C57" s="229">
        <f ca="1">C29</f>
        <v>919</v>
      </c>
      <c r="D57" s="1356"/>
      <c r="E57" s="1357"/>
      <c r="F57" s="1358"/>
      <c r="I57" s="1359" t="s">
        <v>844</v>
      </c>
      <c r="J57" s="1360">
        <f ca="1">IF(OR(M47="住宅",J51&lt;L48,J56="是"),"——",J51-L48)</f>
        <v>5.7600000000000016</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6</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1</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368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69</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0.81</v>
      </c>
      <c r="D62" s="910" t="s">
        <v>786</v>
      </c>
      <c r="E62" s="895" t="s">
        <v>787</v>
      </c>
      <c r="F62" s="316">
        <f t="shared" si="0"/>
        <v>1.5</v>
      </c>
      <c r="I62" s="1366" t="s">
        <v>858</v>
      </c>
      <c r="J62" s="609" t="s">
        <v>859</v>
      </c>
      <c r="K62" s="609" t="s">
        <v>860</v>
      </c>
      <c r="L62" s="609" t="s">
        <v>861</v>
      </c>
      <c r="M62" s="1367" t="s">
        <v>862</v>
      </c>
      <c r="O62" s="1324" t="s">
        <v>409</v>
      </c>
      <c r="P62" s="1325" t="s">
        <v>863</v>
      </c>
      <c r="Q62" s="1326">
        <f ca="1">Q56+Q57</f>
        <v>1242</v>
      </c>
      <c r="R62" s="1326" t="s">
        <v>410</v>
      </c>
    </row>
    <row r="63" spans="1:18" s="1291" customFormat="1" ht="13.8" thickBot="1">
      <c r="A63" s="317"/>
      <c r="B63" s="901"/>
      <c r="C63" s="26"/>
      <c r="D63" s="911"/>
      <c r="E63" s="895" t="s">
        <v>788</v>
      </c>
      <c r="F63" s="294">
        <f t="shared" ca="1" si="0"/>
        <v>5389.47</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4.5999999999999996</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0.64</v>
      </c>
      <c r="D65" s="909" t="s">
        <v>743</v>
      </c>
      <c r="E65" s="895" t="s">
        <v>744</v>
      </c>
      <c r="F65" s="320">
        <f t="shared" ca="1" si="0"/>
        <v>1E-3</v>
      </c>
      <c r="I65" s="1366" t="s">
        <v>867</v>
      </c>
      <c r="J65" s="609">
        <v>40</v>
      </c>
      <c r="K65" s="609">
        <v>30</v>
      </c>
      <c r="L65" s="609">
        <v>50</v>
      </c>
      <c r="M65" s="1368">
        <v>0.02</v>
      </c>
      <c r="O65" s="1324" t="s">
        <v>403</v>
      </c>
      <c r="P65" s="1325" t="s">
        <v>868</v>
      </c>
      <c r="Q65" s="1326">
        <f ca="1">C40+J29</f>
        <v>1242</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-6</v>
      </c>
      <c r="D67" s="908" t="s">
        <v>753</v>
      </c>
      <c r="E67" s="913"/>
      <c r="F67" s="914"/>
      <c r="O67" s="1333" t="s">
        <v>405</v>
      </c>
      <c r="P67" s="1325" t="s">
        <v>850</v>
      </c>
      <c r="Q67" s="1369">
        <f ca="1">L51</f>
        <v>530</v>
      </c>
      <c r="R67" s="1326" t="s">
        <v>870</v>
      </c>
    </row>
    <row r="68" spans="1:18" s="1291" customFormat="1" ht="16.2" thickBot="1">
      <c r="A68" s="892" t="s">
        <v>395</v>
      </c>
      <c r="B68" s="893" t="s">
        <v>774</v>
      </c>
      <c r="C68" s="292">
        <f ca="1">ROUND(C67*(1-((1+F70)/(1+F68))^F69)/(F68-F70),0)</f>
        <v>-78</v>
      </c>
      <c r="D68" s="910" t="s">
        <v>758</v>
      </c>
      <c r="E68" s="895" t="s">
        <v>759</v>
      </c>
      <c r="F68" s="303">
        <f ca="1">F40</f>
        <v>5.5E-2</v>
      </c>
      <c r="O68" s="1333" t="s">
        <v>406</v>
      </c>
      <c r="P68" s="1370" t="s">
        <v>871</v>
      </c>
      <c r="Q68" s="1326">
        <f ca="1">ROUND(Q69-Q70*Q71,0)</f>
        <v>35</v>
      </c>
      <c r="R68" s="1326" t="s">
        <v>414</v>
      </c>
    </row>
    <row r="69" spans="1:18" s="1291" customFormat="1" ht="13.8" thickBot="1">
      <c r="A69" s="896"/>
      <c r="B69" s="897"/>
      <c r="C69" s="297"/>
      <c r="D69" s="915" t="s">
        <v>762</v>
      </c>
      <c r="E69" s="895" t="s">
        <v>763</v>
      </c>
      <c r="F69" s="323">
        <f ca="1">F41</f>
        <v>23.24</v>
      </c>
      <c r="O69" s="1333" t="s">
        <v>411</v>
      </c>
      <c r="P69" s="1370" t="s">
        <v>872</v>
      </c>
      <c r="Q69" s="1326">
        <f ca="1">C39</f>
        <v>80</v>
      </c>
      <c r="R69" s="1326" t="s">
        <v>818</v>
      </c>
    </row>
    <row r="70" spans="1:18" s="1291" customFormat="1" ht="13.8" thickBot="1">
      <c r="A70" s="899"/>
      <c r="B70" s="900"/>
      <c r="C70" s="301"/>
      <c r="D70" s="911"/>
      <c r="E70" s="895" t="s">
        <v>766</v>
      </c>
      <c r="F70" s="990"/>
      <c r="O70" s="1333" t="s">
        <v>412</v>
      </c>
      <c r="P70" s="1370" t="s">
        <v>873</v>
      </c>
      <c r="Q70" s="1326">
        <f ca="1">C13</f>
        <v>643</v>
      </c>
      <c r="R70" s="1326" t="s">
        <v>818</v>
      </c>
    </row>
    <row r="71" spans="1:18" s="1291" customFormat="1" ht="13.8" thickBot="1">
      <c r="A71" s="916" t="s">
        <v>396</v>
      </c>
      <c r="B71" s="917" t="s">
        <v>776</v>
      </c>
      <c r="C71" s="326">
        <f ca="1">ROUND(C68*10000/F71,0)</f>
        <v>-319</v>
      </c>
      <c r="D71" s="918" t="s">
        <v>777</v>
      </c>
      <c r="E71" s="919" t="s">
        <v>778</v>
      </c>
      <c r="F71" s="329">
        <f ca="1">F43</f>
        <v>2447.34</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45</v>
      </c>
      <c r="D75" s="1291"/>
      <c r="E75" s="1291"/>
      <c r="F75" s="1291"/>
      <c r="K75" s="1308"/>
      <c r="L75" s="1291"/>
      <c r="O75" s="1324" t="s">
        <v>409</v>
      </c>
      <c r="P75" s="1325" t="s">
        <v>838</v>
      </c>
      <c r="Q75" s="1326">
        <f ca="1">Q65+Q66</f>
        <v>1242</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0.43700000000000006</v>
      </c>
    </row>
    <row r="80" spans="1:18">
      <c r="B80" s="330" t="s">
        <v>800</v>
      </c>
      <c r="C80" s="265">
        <f ca="1">ROUND(C75/C39,3)</f>
        <v>0.56299999999999994</v>
      </c>
    </row>
    <row r="81" spans="2:3">
      <c r="B81" s="261" t="s">
        <v>801</v>
      </c>
      <c r="C81" s="229"/>
    </row>
    <row r="82" spans="2:3">
      <c r="B82" s="264" t="s">
        <v>802</v>
      </c>
      <c r="C82" s="266">
        <f ca="1">1-C83</f>
        <v>0.48199999999999998</v>
      </c>
    </row>
    <row r="83" spans="2:3">
      <c r="B83" s="264" t="s">
        <v>803</v>
      </c>
      <c r="C83" s="265">
        <f ca="1">ROUND(C13/C40,3)</f>
        <v>0.51800000000000002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966F4-5B98-4C8A-97E7-59F10AEBF137}">
  <sheetPr>
    <tabColor rgb="FF7030A0"/>
  </sheetPr>
  <dimension ref="A1:K28"/>
  <sheetViews>
    <sheetView workbookViewId="0">
      <selection activeCell="G4" sqref="G4"/>
    </sheetView>
  </sheetViews>
  <sheetFormatPr defaultRowHeight="14.4"/>
  <cols>
    <col min="1" max="1" width="9.5546875" bestFit="1" customWidth="1"/>
    <col min="2" max="2" width="14.33203125" customWidth="1"/>
    <col min="5" max="5" width="9.88671875" customWidth="1"/>
    <col min="6" max="6" width="21.109375" customWidth="1"/>
    <col min="7" max="7" width="17" customWidth="1"/>
  </cols>
  <sheetData>
    <row r="1" spans="1:9">
      <c r="A1" s="3162" t="s">
        <v>3429</v>
      </c>
      <c r="B1" s="3162" t="s">
        <v>3430</v>
      </c>
      <c r="C1" s="1404" t="s">
        <v>3431</v>
      </c>
      <c r="D1" s="3002" t="s">
        <v>3432</v>
      </c>
      <c r="E1" s="1404" t="s">
        <v>3433</v>
      </c>
      <c r="F1" s="1404"/>
      <c r="G1" s="1404" t="s">
        <v>3433</v>
      </c>
      <c r="I1" s="3163"/>
    </row>
    <row r="2" spans="1:9">
      <c r="A2" s="627" t="s">
        <v>3434</v>
      </c>
      <c r="B2" s="1513">
        <v>212</v>
      </c>
      <c r="C2">
        <v>2500</v>
      </c>
      <c r="D2" s="3002">
        <f>ROUND(C2*B2/10000,0)</f>
        <v>53</v>
      </c>
      <c r="E2" s="1404" t="s">
        <v>3491</v>
      </c>
      <c r="F2" s="1404" t="s">
        <v>3494</v>
      </c>
      <c r="G2" s="1404" t="s">
        <v>3435</v>
      </c>
      <c r="H2" s="1404" t="s">
        <v>3436</v>
      </c>
      <c r="I2" s="3163"/>
    </row>
    <row r="3" spans="1:9">
      <c r="A3" s="627" t="s">
        <v>3437</v>
      </c>
      <c r="B3" s="1513">
        <v>232.59</v>
      </c>
      <c r="C3">
        <v>2500</v>
      </c>
      <c r="D3" s="3002">
        <f>ROUND(C3*B3/10000,0)</f>
        <v>58</v>
      </c>
      <c r="E3" s="1404" t="s">
        <v>3492</v>
      </c>
      <c r="F3" s="1404" t="s">
        <v>3494</v>
      </c>
      <c r="G3" s="1404" t="s">
        <v>3435</v>
      </c>
      <c r="H3" s="1404" t="s">
        <v>3436</v>
      </c>
      <c r="I3" s="3163"/>
    </row>
    <row r="4" spans="1:9">
      <c r="A4" s="627" t="s">
        <v>3438</v>
      </c>
      <c r="B4" s="1513">
        <v>777.22</v>
      </c>
      <c r="C4">
        <v>2800</v>
      </c>
      <c r="D4" s="3002">
        <f>ROUND(C4*B4/10000,0)</f>
        <v>218</v>
      </c>
      <c r="E4" s="1404" t="s">
        <v>3493</v>
      </c>
      <c r="F4" s="1404" t="s">
        <v>3494</v>
      </c>
      <c r="G4" s="1404" t="s">
        <v>3439</v>
      </c>
      <c r="H4" s="3164" t="s">
        <v>3440</v>
      </c>
      <c r="I4" s="3163"/>
    </row>
    <row r="5" spans="1:9">
      <c r="A5" s="627" t="s">
        <v>3441</v>
      </c>
      <c r="B5" s="1513">
        <v>193.44</v>
      </c>
      <c r="C5">
        <v>2500</v>
      </c>
      <c r="D5" s="3002">
        <f>ROUND(C5*B5/10000,0)</f>
        <v>48</v>
      </c>
      <c r="E5" s="1404" t="s">
        <v>3435</v>
      </c>
      <c r="F5" s="1404" t="s">
        <v>3494</v>
      </c>
      <c r="G5" s="1404" t="s">
        <v>3435</v>
      </c>
      <c r="H5" s="3164" t="s">
        <v>3436</v>
      </c>
      <c r="I5" s="3163"/>
    </row>
    <row r="6" spans="1:9">
      <c r="A6" s="627" t="s">
        <v>3442</v>
      </c>
      <c r="B6" s="1513">
        <v>1032.0899999999999</v>
      </c>
      <c r="C6">
        <v>2800</v>
      </c>
      <c r="D6" s="3002">
        <f>ROUND(C6*B6/10000,0)</f>
        <v>289</v>
      </c>
      <c r="E6" s="1404" t="s">
        <v>3493</v>
      </c>
      <c r="F6" s="1404" t="s">
        <v>3494</v>
      </c>
      <c r="G6" s="1404" t="s">
        <v>3439</v>
      </c>
      <c r="H6" s="3164" t="s">
        <v>3440</v>
      </c>
      <c r="I6" s="3163"/>
    </row>
    <row r="7" spans="1:9">
      <c r="A7" s="627" t="s">
        <v>3443</v>
      </c>
      <c r="B7" s="3165">
        <f>B2+B3+B4+B5+B6</f>
        <v>2447.34</v>
      </c>
      <c r="C7">
        <f>ROUND((B2*C2+B3*C3+B4*C4+B5*C5+B6*C6)/B7,0)</f>
        <v>2722</v>
      </c>
      <c r="D7" s="3002">
        <f>SUM(D2:D6)</f>
        <v>666</v>
      </c>
      <c r="I7" s="3163"/>
    </row>
    <row r="8" spans="1:9">
      <c r="D8" s="1404"/>
      <c r="I8" s="3163"/>
    </row>
    <row r="9" spans="1:9">
      <c r="A9" s="627" t="s">
        <v>3444</v>
      </c>
      <c r="B9" s="1513">
        <v>5389.47</v>
      </c>
      <c r="I9" s="3163"/>
    </row>
    <row r="10" spans="1:9">
      <c r="I10" s="3163"/>
    </row>
    <row r="11" spans="1:9">
      <c r="E11" s="1404" t="s">
        <v>3502</v>
      </c>
      <c r="I11" s="3163"/>
    </row>
    <row r="12" spans="1:9">
      <c r="E12" s="9" t="s">
        <v>3501</v>
      </c>
      <c r="I12" s="3163"/>
    </row>
    <row r="13" spans="1:9">
      <c r="E13" s="3166">
        <f>B7</f>
        <v>2447.34</v>
      </c>
      <c r="F13">
        <v>0.7</v>
      </c>
      <c r="G13">
        <f>F13*E13</f>
        <v>1713.1379999999999</v>
      </c>
      <c r="I13" s="3163"/>
    </row>
    <row r="14" spans="1:9">
      <c r="E14" s="1404" t="s">
        <v>3445</v>
      </c>
      <c r="F14" s="1404"/>
      <c r="G14" s="1404" t="s">
        <v>3446</v>
      </c>
      <c r="I14" s="3163"/>
    </row>
    <row r="15" spans="1:9">
      <c r="E15" s="3166">
        <f>B9-B7</f>
        <v>2942.13</v>
      </c>
      <c r="F15">
        <v>0.1</v>
      </c>
      <c r="G15">
        <f>F15*E15</f>
        <v>294.21300000000002</v>
      </c>
      <c r="I15" s="3163">
        <f>(G13+G15)/B7</f>
        <v>0.82021746058986478</v>
      </c>
    </row>
    <row r="16" spans="1:9">
      <c r="I16" s="3163"/>
    </row>
    <row r="17" spans="1:11">
      <c r="I17" s="3163"/>
    </row>
    <row r="18" spans="1:11">
      <c r="I18" s="3163"/>
    </row>
    <row r="19" spans="1:11">
      <c r="I19" s="3163"/>
    </row>
    <row r="20" spans="1:11">
      <c r="I20" s="3163"/>
    </row>
    <row r="21" spans="1:11">
      <c r="I21" s="3163"/>
    </row>
    <row r="22" spans="1:11" ht="28.8">
      <c r="A22" s="3167" t="s">
        <v>3447</v>
      </c>
      <c r="B22" s="3167" t="s">
        <v>3448</v>
      </c>
      <c r="C22" s="3167" t="s">
        <v>3449</v>
      </c>
      <c r="D22" s="3167" t="s">
        <v>3450</v>
      </c>
      <c r="E22" s="3167" t="s">
        <v>3451</v>
      </c>
      <c r="F22" s="3167" t="s">
        <v>3452</v>
      </c>
      <c r="G22" s="3167" t="s">
        <v>3453</v>
      </c>
      <c r="H22" s="3167" t="s">
        <v>3454</v>
      </c>
      <c r="I22" s="3168" t="s">
        <v>3430</v>
      </c>
      <c r="J22" s="3169"/>
      <c r="K22" s="3169"/>
    </row>
    <row r="23" spans="1:11" ht="28.8">
      <c r="A23" s="3393" t="s">
        <v>3455</v>
      </c>
      <c r="B23" s="3393" t="s">
        <v>3456</v>
      </c>
      <c r="C23" s="3394">
        <v>5389.47</v>
      </c>
      <c r="D23" s="3393" t="s">
        <v>3457</v>
      </c>
      <c r="E23" s="3170">
        <v>3</v>
      </c>
      <c r="F23" s="3167" t="s">
        <v>3458</v>
      </c>
      <c r="G23" s="3167" t="s">
        <v>3459</v>
      </c>
      <c r="H23" s="3167" t="s">
        <v>3460</v>
      </c>
      <c r="I23" s="3171">
        <v>212</v>
      </c>
      <c r="J23" s="3172" t="s">
        <v>3461</v>
      </c>
      <c r="K23" s="3169"/>
    </row>
    <row r="24" spans="1:11" ht="28.8">
      <c r="A24" s="3393"/>
      <c r="B24" s="3393"/>
      <c r="C24" s="3394"/>
      <c r="D24" s="3393"/>
      <c r="E24" s="3173">
        <v>4</v>
      </c>
      <c r="F24" s="3167" t="s">
        <v>3462</v>
      </c>
      <c r="G24" s="3167" t="s">
        <v>3463</v>
      </c>
      <c r="H24" s="3167" t="s">
        <v>3460</v>
      </c>
      <c r="I24" s="3171">
        <v>232.59</v>
      </c>
      <c r="J24" s="3172" t="s">
        <v>3461</v>
      </c>
      <c r="K24" s="3169"/>
    </row>
    <row r="25" spans="1:11" ht="28.8">
      <c r="A25" s="3393"/>
      <c r="B25" s="3393"/>
      <c r="C25" s="3394"/>
      <c r="D25" s="3393"/>
      <c r="E25" s="3173">
        <v>5</v>
      </c>
      <c r="F25" s="3167" t="s">
        <v>3464</v>
      </c>
      <c r="G25" s="3167" t="s">
        <v>3465</v>
      </c>
      <c r="H25" s="3167" t="s">
        <v>3460</v>
      </c>
      <c r="I25" s="3171">
        <v>777.22</v>
      </c>
      <c r="J25" s="3172" t="s">
        <v>3461</v>
      </c>
      <c r="K25" s="3169"/>
    </row>
    <row r="26" spans="1:11" ht="28.8">
      <c r="A26" s="3393"/>
      <c r="B26" s="3393"/>
      <c r="C26" s="3394"/>
      <c r="D26" s="3393"/>
      <c r="E26" s="3173">
        <v>6</v>
      </c>
      <c r="F26" s="3167" t="s">
        <v>3466</v>
      </c>
      <c r="G26" s="3167" t="s">
        <v>3467</v>
      </c>
      <c r="H26" s="3167" t="s">
        <v>3460</v>
      </c>
      <c r="I26" s="3171">
        <v>193.44</v>
      </c>
      <c r="J26" s="3172" t="s">
        <v>3461</v>
      </c>
      <c r="K26" s="3169"/>
    </row>
    <row r="27" spans="1:11" ht="28.8">
      <c r="A27" s="3393"/>
      <c r="B27" s="3393"/>
      <c r="C27" s="3394"/>
      <c r="D27" s="3393"/>
      <c r="E27" s="3170" t="s">
        <v>3468</v>
      </c>
      <c r="F27" s="3167" t="s">
        <v>3469</v>
      </c>
      <c r="G27" s="3167" t="s">
        <v>3470</v>
      </c>
      <c r="H27" s="3167" t="s">
        <v>3460</v>
      </c>
      <c r="I27" s="3171">
        <v>1032.0899999999999</v>
      </c>
      <c r="J27" s="3172" t="s">
        <v>3461</v>
      </c>
      <c r="K27" s="3169"/>
    </row>
    <row r="28" spans="1:11">
      <c r="A28" s="3395" t="s">
        <v>3471</v>
      </c>
      <c r="B28" s="3396"/>
      <c r="C28" s="3396"/>
      <c r="D28" s="3396"/>
      <c r="E28" s="3396"/>
      <c r="F28" s="3396"/>
      <c r="G28" s="3396"/>
      <c r="H28" s="3397"/>
      <c r="I28" s="3174">
        <f>SUM(I23:I27)</f>
        <v>2447.34</v>
      </c>
    </row>
  </sheetData>
  <mergeCells count="5">
    <mergeCell ref="A23:A27"/>
    <mergeCell ref="B23:B27"/>
    <mergeCell ref="C23:C27"/>
    <mergeCell ref="D23:D27"/>
    <mergeCell ref="A28:H28"/>
  </mergeCells>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ED98F-39DA-452D-97BB-45FE0E03B3B7}">
  <sheetPr>
    <tabColor rgb="FF7030A0"/>
  </sheetPr>
  <dimension ref="A1:K21"/>
  <sheetViews>
    <sheetView tabSelected="1" topLeftCell="C1" workbookViewId="0">
      <selection activeCell="G5" sqref="G5"/>
    </sheetView>
  </sheetViews>
  <sheetFormatPr defaultRowHeight="14.4"/>
  <cols>
    <col min="2" max="2" width="12.21875" customWidth="1"/>
    <col min="5" max="5" width="13.44140625" customWidth="1"/>
  </cols>
  <sheetData>
    <row r="1" spans="1:11">
      <c r="A1" s="3175" t="s">
        <v>3503</v>
      </c>
      <c r="B1" s="2447"/>
      <c r="C1" s="3175" t="s">
        <v>3504</v>
      </c>
      <c r="D1" s="3175" t="s">
        <v>3505</v>
      </c>
      <c r="E1" s="3175" t="s">
        <v>3506</v>
      </c>
      <c r="F1" s="3175" t="s">
        <v>3507</v>
      </c>
      <c r="H1" s="3175" t="s">
        <v>3508</v>
      </c>
    </row>
    <row r="2" spans="1:11">
      <c r="A2" s="2447"/>
      <c r="B2" s="3178">
        <v>44151</v>
      </c>
      <c r="C2" s="3178">
        <v>49618</v>
      </c>
      <c r="D2" s="2447"/>
      <c r="E2" s="2447"/>
      <c r="F2" s="2447"/>
    </row>
    <row r="3" spans="1:11">
      <c r="A3" s="3175" t="s">
        <v>3512</v>
      </c>
      <c r="B3" s="3178">
        <v>44141</v>
      </c>
      <c r="C3" s="3178">
        <v>44232</v>
      </c>
      <c r="D3" s="2447">
        <f>C3-B3</f>
        <v>91</v>
      </c>
      <c r="E3" s="2447"/>
      <c r="F3" s="2447"/>
    </row>
    <row r="4" spans="1:11">
      <c r="A4" s="2447">
        <v>1</v>
      </c>
      <c r="B4" s="3178">
        <v>44141</v>
      </c>
      <c r="C4" s="3178">
        <v>44505</v>
      </c>
      <c r="D4" s="2447">
        <f>C4-B4-D3</f>
        <v>273</v>
      </c>
      <c r="E4" s="2447">
        <v>1000000</v>
      </c>
      <c r="F4" s="2447">
        <f>ROUND(E4/D4/'数据-汇总表'!$E$19,2)</f>
        <v>1.5</v>
      </c>
      <c r="G4">
        <f>E4/D5/'数据-汇总表'!E19</f>
        <v>1.1225464166207992</v>
      </c>
      <c r="H4" s="3179">
        <f>E5/E4-1</f>
        <v>0.10000000000000009</v>
      </c>
    </row>
    <row r="5" spans="1:11">
      <c r="A5" s="2447">
        <v>2</v>
      </c>
      <c r="B5" s="3178">
        <v>44506</v>
      </c>
      <c r="C5" s="3178">
        <v>44870</v>
      </c>
      <c r="D5" s="2447">
        <f t="shared" ref="D5:D18" si="0">C5-B5</f>
        <v>364</v>
      </c>
      <c r="E5" s="2447">
        <f>E4*1.1</f>
        <v>1100000</v>
      </c>
      <c r="F5" s="2447">
        <f>ROUND(E5/D5/'数据-汇总表'!$E$19,2)</f>
        <v>1.23</v>
      </c>
      <c r="H5" s="3179">
        <f t="shared" ref="H5:H17" si="1">E6/E5-1</f>
        <v>0.10000000000000009</v>
      </c>
    </row>
    <row r="6" spans="1:11">
      <c r="A6" s="2447">
        <v>3</v>
      </c>
      <c r="B6" s="3178">
        <f t="shared" ref="B6:B18" si="2">C5+1</f>
        <v>44871</v>
      </c>
      <c r="C6" s="3178">
        <v>45235</v>
      </c>
      <c r="D6" s="2447">
        <f t="shared" si="0"/>
        <v>364</v>
      </c>
      <c r="E6" s="2447">
        <f>E5*1.1</f>
        <v>1210000</v>
      </c>
      <c r="F6" s="2447">
        <f>ROUND(E6/D6/'数据-汇总表'!$E$19,2)</f>
        <v>1.36</v>
      </c>
      <c r="H6" s="3179">
        <f t="shared" si="1"/>
        <v>0.10000000000000009</v>
      </c>
    </row>
    <row r="7" spans="1:11">
      <c r="A7" s="2447">
        <v>4</v>
      </c>
      <c r="B7" s="3178">
        <f t="shared" si="2"/>
        <v>45236</v>
      </c>
      <c r="C7" s="3178">
        <v>45601</v>
      </c>
      <c r="D7" s="2447">
        <f t="shared" si="0"/>
        <v>365</v>
      </c>
      <c r="E7" s="2447">
        <f>E6*1.1</f>
        <v>1331000</v>
      </c>
      <c r="F7" s="2447">
        <f>ROUND(E7/D7/'数据-汇总表'!$E$19,2)</f>
        <v>1.49</v>
      </c>
      <c r="H7" s="3179">
        <f t="shared" si="1"/>
        <v>0.10000000000000009</v>
      </c>
    </row>
    <row r="8" spans="1:11">
      <c r="A8" s="2447">
        <v>5</v>
      </c>
      <c r="B8" s="3178">
        <f t="shared" si="2"/>
        <v>45602</v>
      </c>
      <c r="C8" s="3178">
        <v>45966</v>
      </c>
      <c r="D8" s="2447">
        <f t="shared" si="0"/>
        <v>364</v>
      </c>
      <c r="E8" s="2447">
        <f>E7*1.1</f>
        <v>1464100.0000000002</v>
      </c>
      <c r="F8" s="2447">
        <f>ROUND(E8/D8/'数据-汇总表'!$E$19,2)</f>
        <v>1.64</v>
      </c>
      <c r="H8" s="3179">
        <f t="shared" si="1"/>
        <v>5.1840721262208733E-2</v>
      </c>
    </row>
    <row r="9" spans="1:11" ht="15" customHeight="1">
      <c r="A9" s="2447">
        <v>6</v>
      </c>
      <c r="B9" s="3178">
        <f t="shared" si="2"/>
        <v>45967</v>
      </c>
      <c r="C9" s="3178">
        <v>46331</v>
      </c>
      <c r="D9" s="2447">
        <f t="shared" si="0"/>
        <v>364</v>
      </c>
      <c r="E9" s="2447">
        <v>1540000</v>
      </c>
      <c r="F9" s="2447">
        <f>ROUND(E9/D9/'数据-汇总表'!$E$19,2)</f>
        <v>1.73</v>
      </c>
      <c r="H9" s="3179">
        <f t="shared" si="1"/>
        <v>9.0909090909090828E-2</v>
      </c>
    </row>
    <row r="10" spans="1:11">
      <c r="A10" s="2447">
        <v>7</v>
      </c>
      <c r="B10" s="3178">
        <f t="shared" si="2"/>
        <v>46332</v>
      </c>
      <c r="C10" s="3178">
        <v>46696</v>
      </c>
      <c r="D10" s="2447">
        <f t="shared" si="0"/>
        <v>364</v>
      </c>
      <c r="E10" s="2447">
        <v>1680000</v>
      </c>
      <c r="F10" s="2447">
        <f>ROUND(E10/D10/'数据-汇总表'!$E$19,2)</f>
        <v>1.89</v>
      </c>
      <c r="H10" s="3179">
        <f t="shared" si="1"/>
        <v>8.3333333333333259E-2</v>
      </c>
    </row>
    <row r="11" spans="1:11">
      <c r="A11" s="2447">
        <v>8</v>
      </c>
      <c r="B11" s="3178">
        <f t="shared" si="2"/>
        <v>46697</v>
      </c>
      <c r="C11" s="3178">
        <v>47062</v>
      </c>
      <c r="D11" s="2447">
        <f t="shared" si="0"/>
        <v>365</v>
      </c>
      <c r="E11" s="2447">
        <v>1820000</v>
      </c>
      <c r="F11" s="2447">
        <f>ROUND(E11/D11/'数据-汇总表'!$E$19,2)</f>
        <v>2.04</v>
      </c>
      <c r="H11" s="3179">
        <f t="shared" si="1"/>
        <v>7.6923076923076872E-2</v>
      </c>
    </row>
    <row r="12" spans="1:11">
      <c r="A12" s="2447">
        <v>9</v>
      </c>
      <c r="B12" s="3178">
        <f t="shared" si="2"/>
        <v>47063</v>
      </c>
      <c r="C12" s="3178">
        <v>47427</v>
      </c>
      <c r="D12" s="2447">
        <f t="shared" si="0"/>
        <v>364</v>
      </c>
      <c r="E12" s="2447">
        <v>1960000</v>
      </c>
      <c r="F12" s="2447">
        <f>ROUND(E12/D12/'数据-汇总表'!$E$19,2)</f>
        <v>2.2000000000000002</v>
      </c>
      <c r="H12" s="3179">
        <f t="shared" si="1"/>
        <v>7.1428571428571397E-2</v>
      </c>
    </row>
    <row r="13" spans="1:11">
      <c r="A13" s="2447">
        <v>10</v>
      </c>
      <c r="B13" s="3178">
        <f t="shared" si="2"/>
        <v>47428</v>
      </c>
      <c r="C13" s="3178">
        <v>47792</v>
      </c>
      <c r="D13" s="2447">
        <f t="shared" si="0"/>
        <v>364</v>
      </c>
      <c r="E13" s="2447">
        <v>2100000</v>
      </c>
      <c r="F13" s="2447">
        <f>ROUND(E13/D13/'数据-汇总表'!$E$19,2)</f>
        <v>2.36</v>
      </c>
      <c r="H13" s="3179">
        <f t="shared" si="1"/>
        <v>0.10000000000000009</v>
      </c>
    </row>
    <row r="14" spans="1:11">
      <c r="A14" s="2447">
        <v>11</v>
      </c>
      <c r="B14" s="3178">
        <f t="shared" si="2"/>
        <v>47793</v>
      </c>
      <c r="C14" s="3178">
        <v>48157</v>
      </c>
      <c r="D14" s="2447">
        <f t="shared" si="0"/>
        <v>364</v>
      </c>
      <c r="E14" s="2447">
        <v>2310000</v>
      </c>
      <c r="F14" s="2447">
        <f>ROUND(E14/D14/'数据-汇总表'!$E$19,2)</f>
        <v>2.59</v>
      </c>
      <c r="H14" s="3179">
        <f t="shared" si="1"/>
        <v>9.0909090909090828E-2</v>
      </c>
    </row>
    <row r="15" spans="1:11">
      <c r="A15" s="2447">
        <v>12</v>
      </c>
      <c r="B15" s="3178">
        <f t="shared" si="2"/>
        <v>48158</v>
      </c>
      <c r="C15" s="3178">
        <v>48523</v>
      </c>
      <c r="D15" s="2447">
        <f t="shared" si="0"/>
        <v>365</v>
      </c>
      <c r="E15" s="2447">
        <v>2520000</v>
      </c>
      <c r="F15" s="2447">
        <f>ROUND(E15/D15/'数据-汇总表'!$E$19,2)</f>
        <v>2.82</v>
      </c>
      <c r="H15" s="3179">
        <f t="shared" si="1"/>
        <v>8.3333333333333259E-2</v>
      </c>
      <c r="K15" s="1404" t="s">
        <v>3516</v>
      </c>
    </row>
    <row r="16" spans="1:11">
      <c r="A16" s="2447">
        <v>13</v>
      </c>
      <c r="B16" s="3178">
        <f t="shared" si="2"/>
        <v>48524</v>
      </c>
      <c r="C16" s="3178">
        <v>48888</v>
      </c>
      <c r="D16" s="2447">
        <f t="shared" si="0"/>
        <v>364</v>
      </c>
      <c r="E16" s="2447">
        <v>2730000</v>
      </c>
      <c r="F16" s="2447">
        <f>ROUND(E16/D16/'数据-汇总表'!$E$19,2)</f>
        <v>3.06</v>
      </c>
      <c r="H16" s="3179">
        <f t="shared" si="1"/>
        <v>7.6923076923076872E-2</v>
      </c>
      <c r="J16" s="3179">
        <f>SUM(H4:H17)</f>
        <v>1.1970288664503539</v>
      </c>
      <c r="K16">
        <f>ROUND(J16/15,2)</f>
        <v>0.08</v>
      </c>
    </row>
    <row r="17" spans="1:10">
      <c r="A17" s="2447">
        <v>14</v>
      </c>
      <c r="B17" s="3178">
        <f t="shared" si="2"/>
        <v>48889</v>
      </c>
      <c r="C17" s="3178">
        <v>49253</v>
      </c>
      <c r="D17" s="2447">
        <f t="shared" si="0"/>
        <v>364</v>
      </c>
      <c r="E17" s="2447">
        <v>2940000</v>
      </c>
      <c r="F17" s="2447">
        <f>ROUND(E17/D17/'数据-汇总表'!$E$19,2)</f>
        <v>3.3</v>
      </c>
      <c r="H17" s="3179">
        <f t="shared" si="1"/>
        <v>7.1428571428571397E-2</v>
      </c>
    </row>
    <row r="18" spans="1:10">
      <c r="A18" s="2447">
        <v>15</v>
      </c>
      <c r="B18" s="3178">
        <f t="shared" si="2"/>
        <v>49254</v>
      </c>
      <c r="C18" s="3178">
        <v>49618</v>
      </c>
      <c r="D18" s="2447">
        <f t="shared" si="0"/>
        <v>364</v>
      </c>
      <c r="E18" s="2447">
        <v>3150000</v>
      </c>
      <c r="F18" s="2447">
        <f>ROUND(E18/D18/'数据-汇总表'!$E$19,2)</f>
        <v>3.54</v>
      </c>
    </row>
    <row r="19" spans="1:10">
      <c r="A19" s="2447"/>
      <c r="B19" s="2447"/>
      <c r="C19" s="3178"/>
      <c r="D19" s="2447">
        <f>SUM(D3:D18)</f>
        <v>5463</v>
      </c>
      <c r="E19">
        <f>SUM(E4:E18)</f>
        <v>28855100</v>
      </c>
    </row>
    <row r="20" spans="1:10">
      <c r="E20" s="3175" t="s">
        <v>3509</v>
      </c>
      <c r="F20">
        <f>ROUND(E19/D19/'数据-汇总表'!E19,2)</f>
        <v>2.16</v>
      </c>
      <c r="G20" s="3175" t="s">
        <v>3515</v>
      </c>
    </row>
    <row r="21" spans="1:10">
      <c r="J21" s="1404" t="s">
        <v>3510</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27507-66FC-42BF-AD11-572A2070C030}">
  <sheetPr>
    <tabColor rgb="FF7030A0"/>
  </sheetPr>
  <dimension ref="A1"/>
  <sheetViews>
    <sheetView topLeftCell="C7" workbookViewId="0">
      <selection activeCell="J50" sqref="J50"/>
    </sheetView>
  </sheetViews>
  <sheetFormatPr defaultRowHeight="14.4"/>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94230-1510-492C-B30F-95F6799DCDA9}">
  <sheetPr>
    <tabColor rgb="FF7030A0"/>
  </sheetPr>
  <dimension ref="A1"/>
  <sheetViews>
    <sheetView workbookViewId="0">
      <selection activeCell="O37" sqref="O37"/>
    </sheetView>
  </sheetViews>
  <sheetFormatPr defaultRowHeight="14.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1">
        <f ca="1">ROUND(IF(D2="——",C52/10000,C52/10000-E2),4)</f>
        <v>752.20650000000001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3074</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391574</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391574</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120</v>
      </c>
      <c r="F9" s="212"/>
      <c r="G9" s="217"/>
    </row>
    <row r="10" spans="1:8" s="205" customFormat="1" ht="13.5" customHeight="1">
      <c r="A10" s="732" t="s">
        <v>356</v>
      </c>
      <c r="B10" s="215" t="s">
        <v>1480</v>
      </c>
      <c r="C10" s="216">
        <f ca="1">ROUND(D10*E10,0)</f>
        <v>391574</v>
      </c>
      <c r="D10" s="794">
        <f ca="1">IF(B1="",'数据-汇总表'!E6,IF(INDIRECT("'数据-取费表'!c"&amp;$G$1)="住宅",INDIRECT("'数据-取费表'!s"&amp;$G$1),INDIRECT("'数据-取费表'!k"&amp;$G$1)+INDIRECT("'数据-取费表'!s"&amp;$G$1)))</f>
        <v>2447.34</v>
      </c>
      <c r="E10" s="216">
        <f>'数据-取费表'!B28</f>
        <v>160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489468</v>
      </c>
      <c r="D19" s="203">
        <f ca="1">D9+D10</f>
        <v>2447.34</v>
      </c>
      <c r="E19" s="202">
        <f>'数据-取费表'!B31</f>
        <v>200</v>
      </c>
      <c r="F19" s="222"/>
      <c r="G19" s="1713"/>
    </row>
    <row r="20" spans="1:7" s="205" customFormat="1" ht="13.5" customHeight="1">
      <c r="A20" s="246" t="s">
        <v>1574</v>
      </c>
      <c r="B20" s="201" t="s">
        <v>1575</v>
      </c>
      <c r="C20" s="223">
        <f ca="1">ROUND((C5+C19)*F20,0)</f>
        <v>17621</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27586</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12139</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15174</v>
      </c>
      <c r="D24" s="229"/>
      <c r="E24" s="229"/>
      <c r="F24" s="230"/>
      <c r="G24" s="231" t="s">
        <v>1586</v>
      </c>
    </row>
    <row r="25" spans="1:7" s="205" customFormat="1" ht="24">
      <c r="A25" s="733" t="s">
        <v>1476</v>
      </c>
      <c r="B25" s="206" t="s">
        <v>1587</v>
      </c>
      <c r="C25" s="229">
        <f ca="1">ROUND(IF('数据-取费表'!B22&lt;=1,C20*F22*'数据-取费表'!B22/2,C20*(POWER((1+F22),'数据-取费表'!B22/2)-1)),0)</f>
        <v>273</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71893</v>
      </c>
      <c r="D27" s="226">
        <f ca="1">C29</f>
        <v>1.6000000000000001E-3</v>
      </c>
      <c r="E27" s="227" t="s">
        <v>1514</v>
      </c>
      <c r="F27" s="237">
        <f ca="1">IF(B1="",'数据-取费表'!Q16,INDIRECT("'数据-取费表'!q"&amp;$G$1))</f>
        <v>0.08</v>
      </c>
      <c r="G27" s="238" t="s">
        <v>1515</v>
      </c>
    </row>
    <row r="28" spans="1:7" s="205" customFormat="1" ht="13.5" customHeight="1">
      <c r="A28" s="733" t="s">
        <v>346</v>
      </c>
      <c r="B28" s="239" t="s">
        <v>1516</v>
      </c>
      <c r="C28" s="240">
        <f ca="1">ROUND((C5+C19+C20)*F27,0)</f>
        <v>71893</v>
      </c>
      <c r="D28" s="226"/>
      <c r="E28" s="227"/>
      <c r="F28" s="237"/>
      <c r="G28" s="238"/>
    </row>
    <row r="29" spans="1:7" s="205" customFormat="1" ht="13.5" customHeight="1">
      <c r="A29" s="733" t="s">
        <v>347</v>
      </c>
      <c r="B29" s="239" t="s">
        <v>1517</v>
      </c>
      <c r="C29" s="229">
        <f ca="1">ROUND(C21*F27,4)</f>
        <v>1.6000000000000001E-3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1079306</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7617443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6661659</v>
      </c>
      <c r="D34" s="208"/>
      <c r="E34" s="211"/>
      <c r="F34" s="248"/>
      <c r="G34" s="210"/>
    </row>
    <row r="35" spans="1:7" ht="13.5" customHeight="1">
      <c r="A35" s="733" t="s">
        <v>351</v>
      </c>
      <c r="B35" s="206" t="s">
        <v>1527</v>
      </c>
      <c r="C35" s="211">
        <f ca="1">ROUND(C34*F35,0)</f>
        <v>333083</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489468</v>
      </c>
      <c r="D37" s="208">
        <f ca="1">D19</f>
        <v>2447.34</v>
      </c>
      <c r="E37" s="240">
        <f>'数据-取费表'!B35</f>
        <v>200</v>
      </c>
      <c r="F37" s="250"/>
      <c r="G37" s="252"/>
    </row>
    <row r="38" spans="1:7" ht="13.5" customHeight="1">
      <c r="A38" s="733" t="s">
        <v>354</v>
      </c>
      <c r="B38" s="206" t="s">
        <v>1533</v>
      </c>
      <c r="C38" s="211">
        <f ca="1">ROUND(C34*F38,0)</f>
        <v>133233</v>
      </c>
      <c r="D38" s="211"/>
      <c r="E38" s="211"/>
      <c r="F38" s="250">
        <f>'数据-取费表'!B36</f>
        <v>0.02</v>
      </c>
      <c r="G38" s="210" t="s">
        <v>1528</v>
      </c>
    </row>
    <row r="39" spans="1:7" s="205" customFormat="1" ht="13.5" customHeight="1">
      <c r="A39" s="246" t="s">
        <v>1534</v>
      </c>
      <c r="B39" s="201" t="s">
        <v>1535</v>
      </c>
      <c r="C39" s="223">
        <f ca="1">ROUND(C33*F20,0)</f>
        <v>152349</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120431</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118070</v>
      </c>
      <c r="D42" s="229"/>
      <c r="E42" s="229"/>
      <c r="F42" s="230"/>
      <c r="G42" s="3366" t="s">
        <v>1591</v>
      </c>
    </row>
    <row r="43" spans="1:7" ht="13.5" customHeight="1">
      <c r="A43" s="733" t="s">
        <v>347</v>
      </c>
      <c r="B43" s="206" t="s">
        <v>1545</v>
      </c>
      <c r="C43" s="229">
        <f ca="1">ROUND(IF('数据-取费表'!B22&lt;=1,C39*F22*'数据-取费表'!B20/2,C39*(POWER((1+F22),'数据-取费表'!B20/2)-1)),0)</f>
        <v>2361</v>
      </c>
      <c r="D43" s="229"/>
      <c r="E43" s="229"/>
      <c r="F43" s="230"/>
      <c r="G43" s="3367"/>
    </row>
    <row r="44" spans="1:7" ht="13.5" customHeight="1">
      <c r="A44" s="733" t="s">
        <v>348</v>
      </c>
      <c r="B44" s="206" t="s">
        <v>1546</v>
      </c>
      <c r="C44" s="229">
        <f ca="1">ROUND(IF('数据-取费表'!B22&lt;=1,C40*F22*'数据-取费表'!B20/2,C40*(POWER((1+F22),'数据-取费表'!B20/2)-1)),4)</f>
        <v>2.9999999999999997E-4</v>
      </c>
      <c r="D44" s="229"/>
      <c r="E44" s="229"/>
      <c r="F44" s="230"/>
      <c r="G44" s="3368"/>
    </row>
    <row r="45" spans="1:7" s="205" customFormat="1" ht="13.5" customHeight="1">
      <c r="A45" s="246" t="s">
        <v>1547</v>
      </c>
      <c r="B45" s="235" t="s">
        <v>1513</v>
      </c>
      <c r="C45" s="236">
        <f ca="1">C46</f>
        <v>621583</v>
      </c>
      <c r="D45" s="226">
        <f ca="1">C47</f>
        <v>1.6000000000000001E-3</v>
      </c>
      <c r="E45" s="227" t="s">
        <v>1539</v>
      </c>
      <c r="F45" s="237">
        <f ca="1">F27</f>
        <v>0.08</v>
      </c>
      <c r="G45" s="238" t="s">
        <v>1548</v>
      </c>
    </row>
    <row r="46" spans="1:7" s="205" customFormat="1" ht="13.5" customHeight="1">
      <c r="A46" s="733" t="s">
        <v>346</v>
      </c>
      <c r="B46" s="239" t="s">
        <v>1549</v>
      </c>
      <c r="C46" s="240">
        <f ca="1">ROUND((C33+C39)*F27,0)</f>
        <v>621583</v>
      </c>
      <c r="D46" s="254"/>
      <c r="E46" s="227"/>
      <c r="F46" s="237"/>
      <c r="G46" s="238"/>
    </row>
    <row r="47" spans="1:7" s="205" customFormat="1" ht="13.5" customHeight="1">
      <c r="A47" s="733" t="s">
        <v>347</v>
      </c>
      <c r="B47" s="239" t="s">
        <v>1550</v>
      </c>
      <c r="C47" s="229">
        <f ca="1">ROUND(C40*F27,4)</f>
        <v>1.6000000000000001E-3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9203942</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6442759</v>
      </c>
      <c r="D51" s="223"/>
      <c r="E51" s="223"/>
      <c r="F51" s="255"/>
      <c r="G51" s="225" t="s">
        <v>1560</v>
      </c>
    </row>
    <row r="52" spans="1:7" s="199" customFormat="1" ht="16.8" thickBot="1">
      <c r="A52" s="256" t="s">
        <v>1561</v>
      </c>
      <c r="B52" s="257"/>
      <c r="C52" s="258">
        <f ca="1">C31+C51</f>
        <v>7522065</v>
      </c>
      <c r="D52" s="257"/>
      <c r="E52" s="257"/>
      <c r="F52" s="257"/>
      <c r="G52" s="259"/>
    </row>
    <row r="55" spans="1:7" ht="15">
      <c r="B55" s="261" t="s">
        <v>1562</v>
      </c>
      <c r="C55" s="262"/>
    </row>
    <row r="56" spans="1:7">
      <c r="B56" s="264" t="s">
        <v>802</v>
      </c>
      <c r="C56" s="266">
        <f ca="1">1-C57</f>
        <v>0.14300000000000002</v>
      </c>
    </row>
    <row r="57" spans="1:7">
      <c r="B57" s="264" t="s">
        <v>803</v>
      </c>
      <c r="C57" s="265">
        <f ca="1">ROUND(C51/C52,3)</f>
        <v>0.85699999999999998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6"/>
      <c r="F1" s="2566"/>
      <c r="G1" s="2447"/>
      <c r="H1" s="2566"/>
      <c r="I1" s="2566"/>
      <c r="J1" s="2566"/>
      <c r="K1" s="2567">
        <f>MATCH(C1,'数据-取费表'!A6:A16,0)+5</f>
        <v>7</v>
      </c>
    </row>
    <row r="2" spans="1:33" ht="18" customHeight="1">
      <c r="A2" s="192" t="s">
        <v>1462</v>
      </c>
      <c r="B2" s="195">
        <f ca="1">C32</f>
        <v>-42</v>
      </c>
      <c r="C2" s="267" t="s">
        <v>1595</v>
      </c>
      <c r="D2" s="267"/>
      <c r="E2" s="2566"/>
      <c r="F2" s="2566"/>
      <c r="G2" s="2566"/>
      <c r="H2" s="2566"/>
      <c r="I2" s="2566"/>
      <c r="J2" s="2566"/>
      <c r="K2" s="2566"/>
    </row>
    <row r="3" spans="1:33" ht="18" customHeight="1" thickBot="1">
      <c r="A3" s="194" t="s">
        <v>1464</v>
      </c>
      <c r="B3" s="195">
        <f ca="1">ROUND(B2*10000/IF(C1="",'数据-汇总表'!E3,INDIRECT("'数据-取费表'!K"&amp;$K$1)),0)</f>
        <v>-172</v>
      </c>
      <c r="C3" s="267" t="s">
        <v>1596</v>
      </c>
      <c r="D3" s="267"/>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2447.34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2447.34</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39</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120</v>
      </c>
      <c r="F19" s="755"/>
      <c r="G19" s="12"/>
      <c r="H19" s="1107"/>
      <c r="I19" s="760"/>
      <c r="J19" s="760"/>
      <c r="K19" s="761"/>
    </row>
    <row r="20" spans="1:33" s="754" customFormat="1" ht="13.5" customHeight="1">
      <c r="A20" s="751" t="s">
        <v>361</v>
      </c>
      <c r="B20" s="752" t="s">
        <v>1627</v>
      </c>
      <c r="C20" s="21">
        <f ca="1">ROUND(D20*E20/10000,0)</f>
        <v>39</v>
      </c>
      <c r="D20" s="795">
        <f ca="1">IF(C1="",'数据-汇总表'!E6,IF(INDIRECT("'数据-取费表'!c"&amp;$K$1)="住宅",INDIRECT("'数据-取费表'!s"&amp;$K$1),INDIRECT("'数据-取费表'!k"&amp;$K$1)+INDIRECT("'数据-取费表'!s"&amp;$K$1)))</f>
        <v>2447.34</v>
      </c>
      <c r="E20" s="21">
        <f>'数据-取费表'!B28</f>
        <v>160</v>
      </c>
      <c r="F20" s="755"/>
      <c r="G20" s="12"/>
      <c r="H20" s="760"/>
      <c r="I20" s="760"/>
      <c r="J20" s="760"/>
      <c r="K20" s="761"/>
    </row>
    <row r="21" spans="1:33" s="754" customFormat="1" ht="13.5" customHeight="1">
      <c r="A21" s="743" t="s">
        <v>357</v>
      </c>
      <c r="B21" s="764" t="s">
        <v>1628</v>
      </c>
      <c r="C21" s="765">
        <f ca="1">C16+C17+C18</f>
        <v>39</v>
      </c>
      <c r="D21" s="766"/>
      <c r="E21" s="272"/>
      <c r="F21" s="272"/>
      <c r="G21" s="122" t="s">
        <v>1629</v>
      </c>
      <c r="H21" s="758"/>
      <c r="I21" s="758"/>
      <c r="J21" s="758"/>
      <c r="K21" s="759"/>
    </row>
    <row r="22" spans="1:33" s="754" customFormat="1" ht="13.5" customHeight="1">
      <c r="A22" s="743" t="s">
        <v>1601</v>
      </c>
      <c r="B22" s="764" t="s">
        <v>1630</v>
      </c>
      <c r="C22" s="765">
        <f ca="1">ROUND(C21*F22,0)</f>
        <v>1</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3</v>
      </c>
      <c r="D28" s="271">
        <f ca="1">C29</f>
        <v>0</v>
      </c>
      <c r="E28" s="273" t="s">
        <v>12</v>
      </c>
      <c r="F28" s="279">
        <f ca="1">IF(C1="",'数据-取费表'!Q16,INDIRECT("'数据-取费表'!q"&amp;$K$1))</f>
        <v>0.08</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3</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-42</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90" t="s">
        <v>694</v>
      </c>
      <c r="C6" s="1010">
        <f ca="1">ROUND(F6*F8*F7*(1-F9),0)</f>
        <v>0</v>
      </c>
      <c r="D6" s="146" t="s">
        <v>2106</v>
      </c>
      <c r="E6" s="293" t="s">
        <v>696</v>
      </c>
      <c r="F6" s="294">
        <f ca="1">INDIRECT("'数据-取费表'!u"&amp;$G$1)</f>
        <v>0</v>
      </c>
      <c r="G6" s="1291"/>
      <c r="H6" s="1005" t="s">
        <v>398</v>
      </c>
      <c r="I6" s="3390" t="s">
        <v>694</v>
      </c>
      <c r="J6" s="292">
        <f ca="1">ROUND(M6*M8*M7*(1-M9),0)</f>
        <v>0</v>
      </c>
      <c r="K6" s="1283" t="s">
        <v>2107</v>
      </c>
      <c r="L6" s="293" t="s">
        <v>696</v>
      </c>
      <c r="M6" s="294">
        <f ca="1">INDIRECT("'数据-取费表'!z"&amp;$G$1)</f>
        <v>0</v>
      </c>
    </row>
    <row r="7" spans="1:37" ht="18" customHeight="1">
      <c r="A7" s="1009"/>
      <c r="B7" s="3391"/>
      <c r="C7" s="1011"/>
      <c r="D7" s="298"/>
      <c r="E7" s="1012" t="s">
        <v>697</v>
      </c>
      <c r="F7" s="294">
        <f ca="1">IF(INDIRECT("'数据-取费表'!ah"&amp;$G$1)="",INDIRECT("'数据-取费表'!k"&amp;$G$1),INDIRECT("'数据-取费表'!ah"&amp;$G$1))</f>
        <v>0</v>
      </c>
      <c r="G7" s="1291"/>
      <c r="H7" s="295"/>
      <c r="I7" s="3391"/>
      <c r="J7" s="297"/>
      <c r="K7" s="298"/>
      <c r="L7" s="293" t="s">
        <v>697</v>
      </c>
      <c r="M7" s="294">
        <f ca="1">F7</f>
        <v>0</v>
      </c>
    </row>
    <row r="8" spans="1:37" ht="18" customHeight="1">
      <c r="A8" s="295"/>
      <c r="B8" s="3391"/>
      <c r="C8" s="297"/>
      <c r="D8" s="298"/>
      <c r="E8" s="293" t="s">
        <v>698</v>
      </c>
      <c r="F8" s="294">
        <f ca="1">INDIRECT("'数据-取费表'!ai"&amp;$G$1)</f>
        <v>0</v>
      </c>
      <c r="G8" s="1291"/>
      <c r="H8" s="295"/>
      <c r="I8" s="3391"/>
      <c r="J8" s="297"/>
      <c r="K8" s="298"/>
      <c r="L8" s="293" t="s">
        <v>698</v>
      </c>
      <c r="M8" s="294">
        <f ca="1">INDIRECT("'数据-取费表'!ai"&amp;$G$1)</f>
        <v>0</v>
      </c>
    </row>
    <row r="9" spans="1:37" ht="18" customHeight="1">
      <c r="A9" s="295"/>
      <c r="B9" s="3392"/>
      <c r="C9" s="297"/>
      <c r="D9" s="298"/>
      <c r="E9" s="293" t="s">
        <v>699</v>
      </c>
      <c r="F9" s="303">
        <f ca="1">INDIRECT("'数据-取费表'!w"&amp;$G$1)</f>
        <v>0</v>
      </c>
      <c r="G9" s="1291"/>
      <c r="H9" s="295"/>
      <c r="I9" s="3392"/>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3336</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2306</v>
      </c>
      <c r="I31" s="1304"/>
      <c r="J31" s="1305"/>
      <c r="K31" s="120"/>
      <c r="L31" s="2470"/>
      <c r="M31" s="2471"/>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2">
        <f ca="1">IF(项目基本情况!B11="自然人","——",ROUND(F34*F35,0))</f>
        <v>0</v>
      </c>
      <c r="D34" s="315" t="s">
        <v>731</v>
      </c>
      <c r="E34" s="293" t="s">
        <v>732</v>
      </c>
      <c r="F34" s="316">
        <f>'数据-取费表'!B52</f>
        <v>1.5</v>
      </c>
      <c r="G34" s="1291"/>
      <c r="H34" s="2469"/>
      <c r="I34" s="1304"/>
      <c r="J34" s="1305"/>
      <c r="K34" s="2474"/>
      <c r="L34" s="2475"/>
      <c r="M34" s="2475"/>
    </row>
    <row r="35" spans="1:18" ht="18" customHeight="1">
      <c r="A35" s="1039"/>
      <c r="B35" s="1037"/>
      <c r="C35" s="26"/>
      <c r="D35" s="318"/>
      <c r="E35" s="293" t="s">
        <v>736</v>
      </c>
      <c r="F35" s="294">
        <f ca="1">INDIRECT("'数据-取费表'!r"&amp;$G$1)</f>
        <v>0</v>
      </c>
      <c r="G35" s="1291"/>
      <c r="H35" s="2469"/>
      <c r="I35" s="1304"/>
      <c r="J35" s="1305"/>
      <c r="K35" s="2473"/>
      <c r="L35" s="2472"/>
      <c r="M35" s="2472"/>
    </row>
    <row r="36" spans="1:18" ht="18" customHeight="1">
      <c r="A36" s="1038" t="s">
        <v>402</v>
      </c>
      <c r="B36" s="293" t="s">
        <v>738</v>
      </c>
      <c r="C36" s="21">
        <f ca="1">ROUND(C29*F36,0)</f>
        <v>0</v>
      </c>
      <c r="D36" s="1255" t="s">
        <v>771</v>
      </c>
      <c r="E36" s="293" t="s">
        <v>712</v>
      </c>
      <c r="F36" s="319">
        <f ca="1">INDIRECT("'数据-取费表'!Ak"&amp;$G$1)</f>
        <v>0</v>
      </c>
      <c r="G36" s="1291"/>
      <c r="H36" s="2472"/>
      <c r="I36" s="1304"/>
      <c r="J36" s="1305"/>
      <c r="K36" s="2330"/>
      <c r="L36" s="2472"/>
      <c r="M36" s="2472"/>
    </row>
    <row r="37" spans="1:18" ht="18" customHeight="1">
      <c r="A37" s="927" t="s">
        <v>437</v>
      </c>
      <c r="B37" s="293" t="s">
        <v>742</v>
      </c>
      <c r="C37" s="21">
        <f ca="1">ROUND(C13*F37,0)</f>
        <v>0</v>
      </c>
      <c r="D37" s="1255" t="s">
        <v>743</v>
      </c>
      <c r="E37" s="293" t="s">
        <v>744</v>
      </c>
      <c r="F37" s="320">
        <f ca="1">INDIRECT("'数据-取费表'!Al"&amp;$G$1)</f>
        <v>0</v>
      </c>
      <c r="G37" s="1291"/>
      <c r="H37" s="2472"/>
      <c r="I37" s="1304"/>
      <c r="J37" s="1305"/>
      <c r="K37" s="2330"/>
      <c r="L37" s="2472"/>
      <c r="M37" s="2472"/>
    </row>
    <row r="38" spans="1:18" ht="18" customHeight="1" thickBot="1">
      <c r="A38" s="1025" t="s">
        <v>684</v>
      </c>
      <c r="B38" s="1026" t="s">
        <v>728</v>
      </c>
      <c r="C38" s="1027">
        <f ca="1">ROUND(C5*F38,0)</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1">
        <f ca="1">C5-C30</f>
        <v>0</v>
      </c>
      <c r="D39" s="1031" t="s">
        <v>773</v>
      </c>
      <c r="E39" s="1032"/>
      <c r="F39" s="1033"/>
      <c r="G39" s="1291"/>
      <c r="H39" s="2472"/>
      <c r="I39" s="1304"/>
      <c r="J39" s="1305"/>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3352</v>
      </c>
      <c r="B45" s="1306"/>
      <c r="C45" s="1375" t="e">
        <f ca="1">ROUND((C68-C40)/10000,4)</f>
        <v>#DIV/0!</v>
      </c>
      <c r="D45" s="3129" t="s">
        <v>3353</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388" t="s">
        <v>837</v>
      </c>
      <c r="L53" s="3389"/>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2" t="s">
        <v>2315</v>
      </c>
      <c r="B2" s="2593" t="e">
        <f>IF(D2="——",C40,C40+E2)</f>
        <v>#DIV/0!</v>
      </c>
      <c r="C2" s="2594" t="s">
        <v>2316</v>
      </c>
      <c r="D2" s="3137" t="s">
        <v>3359</v>
      </c>
      <c r="E2" s="3138"/>
      <c r="F2" s="2596"/>
      <c r="G2" s="2597"/>
      <c r="H2" s="2598"/>
      <c r="I2" s="2599"/>
      <c r="J2" s="3404" t="s">
        <v>2317</v>
      </c>
      <c r="K2" s="3405"/>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406" t="s">
        <v>2327</v>
      </c>
      <c r="K3" s="3407"/>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406" t="s">
        <v>2329</v>
      </c>
      <c r="K4" s="3407"/>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12" t="s">
        <v>2333</v>
      </c>
      <c r="B6" s="3413"/>
      <c r="C6" s="3414"/>
      <c r="D6" s="2620"/>
      <c r="E6" s="2621"/>
      <c r="F6" s="2622"/>
      <c r="G6" s="2623"/>
      <c r="H6" s="2598"/>
      <c r="I6" s="2599"/>
      <c r="J6" s="3398">
        <v>1</v>
      </c>
      <c r="K6" s="339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98"/>
      <c r="K7" s="3400"/>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15" t="s">
        <v>2347</v>
      </c>
      <c r="C8" s="3416"/>
      <c r="D8" s="2639" t="s">
        <v>2348</v>
      </c>
      <c r="E8" s="2640" t="s">
        <v>2349</v>
      </c>
      <c r="F8" s="2641" t="s">
        <v>2350</v>
      </c>
      <c r="G8" s="2642"/>
      <c r="H8" s="2598"/>
      <c r="I8" s="2599"/>
      <c r="J8" s="3398"/>
      <c r="K8" s="3400"/>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15" t="s">
        <v>2353</v>
      </c>
      <c r="C9" s="3416"/>
      <c r="D9" s="2639">
        <f>ROUND(D6*E9,0)</f>
        <v>0</v>
      </c>
      <c r="E9" s="2643"/>
      <c r="F9" s="2644" t="s">
        <v>2354</v>
      </c>
      <c r="G9" s="2623"/>
      <c r="H9" s="2598"/>
      <c r="I9" s="2599"/>
      <c r="J9" s="3398"/>
      <c r="K9" s="3400"/>
      <c r="L9" s="2633" t="s">
        <v>2355</v>
      </c>
      <c r="M9" s="2634"/>
      <c r="N9" s="2610"/>
      <c r="O9" s="2635"/>
      <c r="P9" s="2635"/>
      <c r="Q9" s="2636">
        <v>365</v>
      </c>
      <c r="R9" s="2637">
        <f t="shared" si="0"/>
        <v>0</v>
      </c>
      <c r="S9" s="2591"/>
      <c r="T9" s="2591"/>
      <c r="U9" s="2591"/>
      <c r="V9" s="2599"/>
    </row>
    <row r="10" spans="1:22" s="2603" customFormat="1" ht="13.2" customHeight="1">
      <c r="A10" s="2638">
        <v>2</v>
      </c>
      <c r="B10" s="3415" t="s">
        <v>2356</v>
      </c>
      <c r="C10" s="3416"/>
      <c r="D10" s="2639">
        <f>ROUND(D6*E10,0)</f>
        <v>0</v>
      </c>
      <c r="E10" s="2643"/>
      <c r="F10" s="2644" t="s">
        <v>2357</v>
      </c>
      <c r="G10" s="2623"/>
      <c r="H10" s="2598"/>
      <c r="I10" s="2599"/>
      <c r="J10" s="3398"/>
      <c r="K10" s="3400"/>
      <c r="L10" s="2633" t="s">
        <v>2358</v>
      </c>
      <c r="M10" s="2634"/>
      <c r="N10" s="2610"/>
      <c r="O10" s="2635"/>
      <c r="P10" s="2635"/>
      <c r="Q10" s="2636">
        <v>365</v>
      </c>
      <c r="R10" s="2637">
        <f t="shared" si="0"/>
        <v>0</v>
      </c>
      <c r="S10" s="2591"/>
      <c r="T10" s="2591"/>
      <c r="U10" s="2591"/>
      <c r="V10" s="2599"/>
    </row>
    <row r="11" spans="1:22" s="2603" customFormat="1" ht="13.2" customHeight="1">
      <c r="A11" s="2638">
        <v>3</v>
      </c>
      <c r="B11" s="3415" t="s">
        <v>2359</v>
      </c>
      <c r="C11" s="3416"/>
      <c r="D11" s="2639">
        <f>D12+D14+D15+D16</f>
        <v>0</v>
      </c>
      <c r="E11" s="2645" t="e">
        <f>D11/D6</f>
        <v>#DIV/0!</v>
      </c>
      <c r="F11" s="2641"/>
      <c r="G11" s="2642"/>
      <c r="H11" s="2598"/>
      <c r="I11" s="2599"/>
      <c r="J11" s="3398"/>
      <c r="K11" s="3400"/>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08" t="s">
        <v>2362</v>
      </c>
      <c r="C12" s="3409"/>
      <c r="D12" s="2647">
        <f>ROUND(D13*1.2%*(1-30%),0)</f>
        <v>0</v>
      </c>
      <c r="E12" s="2648">
        <v>1.2E-2</v>
      </c>
      <c r="F12" s="2641" t="s">
        <v>2363</v>
      </c>
      <c r="G12" s="2642"/>
      <c r="H12" s="2598"/>
      <c r="I12" s="2599"/>
      <c r="J12" s="3398"/>
      <c r="K12" s="3400"/>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98"/>
      <c r="K13" s="3400"/>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08" t="s">
        <v>2368</v>
      </c>
      <c r="C14" s="3409"/>
      <c r="D14" s="2647">
        <f>ROUND(E14*B5/10000,0)</f>
        <v>0</v>
      </c>
      <c r="E14" s="2636"/>
      <c r="F14" s="2641" t="s">
        <v>2369</v>
      </c>
      <c r="G14" s="2642"/>
      <c r="H14" s="2598"/>
      <c r="I14" s="2599"/>
      <c r="J14" s="3398"/>
      <c r="K14" s="340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08" t="s">
        <v>2372</v>
      </c>
      <c r="C15" s="3409"/>
      <c r="D15" s="2647">
        <f>ROUND(D6*E15,0)</f>
        <v>0</v>
      </c>
      <c r="E15" s="2648">
        <v>5.5E-2</v>
      </c>
      <c r="F15" s="2641" t="s">
        <v>2373</v>
      </c>
      <c r="G15" s="2623"/>
      <c r="H15" s="2598"/>
      <c r="I15" s="2599"/>
      <c r="J15" s="3398">
        <v>2</v>
      </c>
      <c r="K15" s="339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08" t="s">
        <v>2381</v>
      </c>
      <c r="C16" s="3409"/>
      <c r="D16" s="2658">
        <f>D6*E16</f>
        <v>0</v>
      </c>
      <c r="E16" s="2659"/>
      <c r="F16" s="2644" t="s">
        <v>2382</v>
      </c>
      <c r="G16" s="2623"/>
      <c r="H16" s="2598"/>
      <c r="I16" s="2599"/>
      <c r="J16" s="3398"/>
      <c r="K16" s="3400"/>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10" t="s">
        <v>2384</v>
      </c>
      <c r="C17" s="3411"/>
      <c r="D17" s="2661">
        <f>ROUND(D6*E17,0)</f>
        <v>0</v>
      </c>
      <c r="E17" s="2662"/>
      <c r="F17" s="2663" t="s">
        <v>2385</v>
      </c>
      <c r="G17" s="2623"/>
      <c r="H17" s="2598"/>
      <c r="I17" s="2599"/>
      <c r="J17" s="3398"/>
      <c r="K17" s="3400"/>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98"/>
      <c r="K18" s="3400"/>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98"/>
      <c r="K19" s="340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98">
        <v>3</v>
      </c>
      <c r="K20" s="339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98"/>
      <c r="K21" s="3400"/>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98"/>
      <c r="K22" s="3400"/>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98"/>
      <c r="K23" s="3400"/>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98"/>
      <c r="K24" s="340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0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03"/>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404" t="s">
        <v>2317</v>
      </c>
      <c r="K32" s="3405"/>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406" t="s">
        <v>2327</v>
      </c>
      <c r="K33" s="3407"/>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406" t="s">
        <v>2329</v>
      </c>
      <c r="K34" s="3407"/>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98">
        <v>1</v>
      </c>
      <c r="K36" s="3399"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98"/>
      <c r="K37" s="3400"/>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98"/>
      <c r="K38" s="3400"/>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98"/>
      <c r="K39" s="3400"/>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98"/>
      <c r="K40" s="3401"/>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02">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03"/>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受贵公司委托，我公司对北京市怀柔区开放东路21号房地产抵押价值进行了预评估。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估价对象为北京市怀柔区开放东路21号房地产，为所有。根据《国有土地使用证》[]，估价对象（分摊）出让国有建设用地使用权面积为5389.47平方米，建筑面积为2447.34平方米。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开放东路21号房地产,属开发建设的工业项目，该项目尚在开发建设中。根据《国有土地使用证》[]，估价对象（分摊）出让国有建设用地使用权面积为5389.47平方米，规划建筑面积为2447.34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怀柔区开放东路21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2025年5月6日（评估专业人员实地查勘之日）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6日，估价对象规划用途为厂房，土地取得方式为出让，出让国有建设用地使用权剩余土地使用年限为23.24，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23.24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8"/>
      <c r="G1" s="458"/>
      <c r="H1" s="458"/>
      <c r="I1" s="458"/>
      <c r="J1" s="458"/>
      <c r="K1" s="458"/>
      <c r="L1" s="458"/>
      <c r="M1" s="458"/>
      <c r="N1" s="458"/>
      <c r="O1" s="458"/>
      <c r="P1" s="458"/>
      <c r="Q1" s="458"/>
      <c r="R1" s="458"/>
      <c r="S1" s="458"/>
    </row>
    <row r="2" spans="1:22" ht="15.6">
      <c r="A2" s="1727" t="s">
        <v>1462</v>
      </c>
      <c r="B2" s="810">
        <f ca="1">SUMIF(B6:B13,"&lt;&gt;#ref!",B6:B13)</f>
        <v>1311</v>
      </c>
      <c r="C2" s="1728" t="s">
        <v>1651</v>
      </c>
      <c r="D2" s="1729" t="s">
        <v>1652</v>
      </c>
      <c r="E2" s="2392">
        <f>SUM(E6:E13)</f>
        <v>2447.34</v>
      </c>
      <c r="F2" s="2478"/>
      <c r="G2" s="458"/>
      <c r="H2" s="458"/>
      <c r="I2" s="458"/>
      <c r="J2" s="458"/>
      <c r="K2" s="458"/>
      <c r="L2" s="458"/>
      <c r="M2" s="458"/>
      <c r="N2" s="458"/>
      <c r="O2" s="458"/>
      <c r="P2" s="458"/>
      <c r="Q2" s="458"/>
      <c r="R2" s="458"/>
      <c r="S2" s="458"/>
    </row>
    <row r="3" spans="1:22" ht="15.6">
      <c r="A3" s="1727" t="s">
        <v>686</v>
      </c>
      <c r="B3" s="2386">
        <f ca="1">ROUND(B2*10000/E2,0)</f>
        <v>5357</v>
      </c>
      <c r="C3" s="1728" t="s">
        <v>1659</v>
      </c>
      <c r="D3" s="2478"/>
      <c r="E3" s="2481"/>
      <c r="F3" s="2478"/>
      <c r="G3" s="458"/>
      <c r="H3" s="458"/>
      <c r="I3" s="458"/>
      <c r="J3" s="458"/>
      <c r="K3" s="458"/>
      <c r="L3" s="458"/>
      <c r="M3" s="458"/>
      <c r="N3" s="458"/>
      <c r="O3" s="458"/>
      <c r="P3" s="458"/>
      <c r="Q3" s="458"/>
      <c r="R3" s="458"/>
      <c r="S3" s="458"/>
    </row>
    <row r="4" spans="1:22" ht="15.6">
      <c r="A4" s="2482"/>
      <c r="B4" s="2478"/>
      <c r="C4" s="2478"/>
      <c r="D4" s="2478"/>
      <c r="E4" s="2481"/>
      <c r="F4" s="2478"/>
      <c r="G4" s="458"/>
      <c r="H4" s="458"/>
      <c r="I4" s="458"/>
      <c r="J4" s="458"/>
      <c r="K4" s="458"/>
      <c r="L4" s="458"/>
      <c r="M4" s="458"/>
      <c r="N4" s="458"/>
      <c r="O4" s="458"/>
      <c r="P4" s="458"/>
      <c r="Q4" s="458"/>
      <c r="R4" s="458"/>
      <c r="S4" s="458"/>
    </row>
    <row r="5" spans="1:22" ht="14.4">
      <c r="A5" s="2388" t="s">
        <v>1653</v>
      </c>
      <c r="B5" s="3417" t="s">
        <v>1654</v>
      </c>
      <c r="C5" s="3418"/>
      <c r="D5" s="2479"/>
      <c r="E5" s="1730" t="s">
        <v>1655</v>
      </c>
      <c r="F5" s="128" t="s">
        <v>1656</v>
      </c>
      <c r="G5" s="458"/>
      <c r="H5" s="458"/>
      <c r="I5" s="458"/>
      <c r="J5" s="458"/>
      <c r="K5" s="458"/>
      <c r="L5" s="458"/>
      <c r="M5" s="458"/>
      <c r="N5" s="458"/>
      <c r="O5" s="458"/>
      <c r="P5" s="458"/>
      <c r="Q5" s="458"/>
      <c r="R5" s="458"/>
      <c r="S5" s="458"/>
    </row>
    <row r="6" spans="1:22" ht="14.4">
      <c r="A6" s="2389" t="str">
        <f>'数据-取费表'!AN6</f>
        <v>收益法</v>
      </c>
      <c r="B6" s="2387">
        <f ca="1">IF(F6="是",'数据-取费表'!AO6,0)</f>
        <v>1311</v>
      </c>
      <c r="C6" s="1728" t="s">
        <v>1651</v>
      </c>
      <c r="D6" s="2478"/>
      <c r="E6" s="2391">
        <f>IF(OR(A6=0,F6="否"),0,'数据-取费表'!K6+'数据-取费表'!S6)</f>
        <v>2447.34</v>
      </c>
      <c r="F6" s="1731" t="s">
        <v>1657</v>
      </c>
      <c r="G6" s="458"/>
      <c r="H6" s="458"/>
      <c r="I6" s="458"/>
      <c r="J6" s="458"/>
      <c r="K6" s="458"/>
      <c r="L6" s="458"/>
      <c r="M6" s="458"/>
      <c r="N6" s="458"/>
      <c r="O6" s="458"/>
      <c r="P6" s="458"/>
      <c r="Q6" s="458"/>
      <c r="R6" s="458"/>
      <c r="S6" s="458"/>
    </row>
    <row r="7" spans="1:22" ht="14.4">
      <c r="A7" s="2389">
        <f>'数据-取费表'!AN7</f>
        <v>0</v>
      </c>
      <c r="B7" s="2387" t="e">
        <f ca="1">IF(F7="是",'数据-取费表'!AO7,0)</f>
        <v>#REF!</v>
      </c>
      <c r="C7" s="1728" t="s">
        <v>1651</v>
      </c>
      <c r="D7" s="2478"/>
      <c r="E7" s="2391">
        <f>IF(OR(A7=0,F7="否"),0,'数据-取费表'!K7+'数据-取费表'!S7)</f>
        <v>0</v>
      </c>
      <c r="F7" s="1731" t="s">
        <v>1657</v>
      </c>
      <c r="G7" s="458"/>
      <c r="H7" s="458"/>
      <c r="I7" s="458"/>
      <c r="J7" s="458"/>
      <c r="K7" s="458"/>
      <c r="L7" s="458"/>
      <c r="M7" s="458"/>
      <c r="N7" s="458"/>
      <c r="O7" s="458"/>
      <c r="P7" s="458"/>
      <c r="Q7" s="458"/>
      <c r="R7" s="458"/>
      <c r="S7" s="458"/>
    </row>
    <row r="8" spans="1:22" ht="14.4">
      <c r="A8" s="2389">
        <f>'数据-取费表'!AN8</f>
        <v>0</v>
      </c>
      <c r="B8" s="2387" t="e">
        <f ca="1">IF(F8="是",'数据-取费表'!AO8,0)</f>
        <v>#REF!</v>
      </c>
      <c r="C8" s="1728" t="s">
        <v>1651</v>
      </c>
      <c r="D8" s="2478"/>
      <c r="E8" s="2391">
        <f>IF(OR(A8=0,F8="否"),0,'数据-取费表'!K8+'数据-取费表'!S8)</f>
        <v>0</v>
      </c>
      <c r="F8" s="1731" t="s">
        <v>1657</v>
      </c>
      <c r="G8" s="458"/>
      <c r="H8" s="458"/>
      <c r="I8" s="458"/>
      <c r="J8" s="458"/>
      <c r="K8" s="458"/>
      <c r="L8" s="458"/>
      <c r="M8" s="458"/>
      <c r="N8" s="458"/>
      <c r="O8" s="458"/>
      <c r="P8" s="458"/>
      <c r="Q8" s="458"/>
      <c r="R8" s="458"/>
      <c r="S8" s="458"/>
    </row>
    <row r="9" spans="1:22" ht="14.4">
      <c r="A9" s="2389">
        <f>'数据-取费表'!AN9</f>
        <v>0</v>
      </c>
      <c r="B9" s="2387" t="e">
        <f ca="1">IF(F9="是",'数据-取费表'!AO9,0)</f>
        <v>#REF!</v>
      </c>
      <c r="C9" s="1728" t="s">
        <v>1651</v>
      </c>
      <c r="D9" s="2478"/>
      <c r="E9" s="2391">
        <f>IF(OR(A9=0,F9="否"),0,'数据-取费表'!K9+'数据-取费表'!S9)</f>
        <v>0</v>
      </c>
      <c r="F9" s="1731" t="s">
        <v>1657</v>
      </c>
      <c r="G9" s="458"/>
      <c r="H9" s="458"/>
      <c r="I9" s="458"/>
      <c r="J9" s="458"/>
      <c r="K9" s="458"/>
      <c r="L9" s="458"/>
      <c r="M9" s="458"/>
      <c r="N9" s="458"/>
      <c r="O9" s="458"/>
      <c r="P9" s="458"/>
      <c r="Q9" s="458"/>
      <c r="R9" s="458"/>
      <c r="S9" s="458"/>
    </row>
    <row r="10" spans="1:22" ht="14.4">
      <c r="A10" s="2389">
        <f>'数据-取费表'!AN10</f>
        <v>0</v>
      </c>
      <c r="B10" s="2387" t="e">
        <f ca="1">IF(F10="是",'数据-取费表'!AO10,0)</f>
        <v>#REF!</v>
      </c>
      <c r="C10" s="1728" t="s">
        <v>1651</v>
      </c>
      <c r="D10" s="2478"/>
      <c r="E10" s="2391">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9">
        <f>'数据-取费表'!AN11</f>
        <v>0</v>
      </c>
      <c r="B11" s="2387" t="e">
        <f ca="1">IF(F11="是",'数据-取费表'!AO11,0)</f>
        <v>#REF!</v>
      </c>
      <c r="C11" s="1728" t="s">
        <v>1651</v>
      </c>
      <c r="D11" s="2478"/>
      <c r="E11" s="2391">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9">
        <f>'数据-取费表'!AN12</f>
        <v>0</v>
      </c>
      <c r="B12" s="2387" t="e">
        <f ca="1">IF(F12="是",'数据-取费表'!AO12,0)</f>
        <v>#REF!</v>
      </c>
      <c r="C12" s="1728" t="s">
        <v>1651</v>
      </c>
      <c r="D12" s="2478"/>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2447.34</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4.4">
      <c r="A4" s="344" t="s">
        <v>1666</v>
      </c>
      <c r="B4" s="345"/>
      <c r="C4" s="3437" t="s">
        <v>1667</v>
      </c>
      <c r="D4" s="3438"/>
      <c r="E4" s="3439" t="s">
        <v>1668</v>
      </c>
      <c r="F4" s="3440"/>
      <c r="G4" s="3437" t="s">
        <v>1669</v>
      </c>
      <c r="H4" s="3438"/>
      <c r="I4" s="3437" t="s">
        <v>1670</v>
      </c>
      <c r="J4" s="3438"/>
      <c r="K4" s="1743" t="s">
        <v>1671</v>
      </c>
      <c r="L4" s="2485"/>
      <c r="M4" s="2486"/>
      <c r="N4" s="2486"/>
      <c r="O4" s="2486"/>
      <c r="P4" s="3441" t="s">
        <v>1672</v>
      </c>
      <c r="Q4" s="3442"/>
      <c r="R4" s="3447" t="s">
        <v>1668</v>
      </c>
      <c r="S4" s="3448"/>
      <c r="T4" s="3447" t="s">
        <v>1669</v>
      </c>
      <c r="U4" s="3448"/>
      <c r="V4" s="3423" t="s">
        <v>1670</v>
      </c>
      <c r="W4" s="3423"/>
      <c r="X4" s="1264"/>
      <c r="Y4" s="3447" t="s">
        <v>1672</v>
      </c>
      <c r="Z4" s="3448"/>
      <c r="AA4" s="3434" t="s">
        <v>1668</v>
      </c>
      <c r="AB4" s="3434" t="s">
        <v>1669</v>
      </c>
      <c r="AC4" s="3434" t="s">
        <v>1670</v>
      </c>
    </row>
    <row r="5" spans="1:29">
      <c r="A5" s="347"/>
      <c r="B5" s="348"/>
      <c r="C5" s="3455" t="s">
        <v>1673</v>
      </c>
      <c r="D5" s="3456"/>
      <c r="E5" s="3462" t="s">
        <v>1674</v>
      </c>
      <c r="F5" s="3463"/>
      <c r="G5" s="3455" t="s">
        <v>1675</v>
      </c>
      <c r="H5" s="3456"/>
      <c r="I5" s="3455" t="s">
        <v>1676</v>
      </c>
      <c r="J5" s="3456"/>
      <c r="K5" s="1744"/>
      <c r="L5" s="2485"/>
      <c r="M5" s="2486"/>
      <c r="N5" s="2486"/>
      <c r="O5" s="2486"/>
      <c r="P5" s="3443"/>
      <c r="Q5" s="3444"/>
      <c r="R5" s="3449"/>
      <c r="S5" s="3450"/>
      <c r="T5" s="3449"/>
      <c r="U5" s="3450"/>
      <c r="V5" s="3423"/>
      <c r="W5" s="3423"/>
      <c r="X5" s="1264"/>
      <c r="Y5" s="3449"/>
      <c r="Z5" s="3450"/>
      <c r="AA5" s="3435"/>
      <c r="AB5" s="3435"/>
      <c r="AC5" s="3435"/>
    </row>
    <row r="6" spans="1:29" ht="15" thickBot="1">
      <c r="A6" s="349"/>
      <c r="B6" s="350"/>
      <c r="C6" s="3453" t="s">
        <v>1677</v>
      </c>
      <c r="D6" s="3454"/>
      <c r="E6" s="3460" t="s">
        <v>1677</v>
      </c>
      <c r="F6" s="3461"/>
      <c r="G6" s="3453" t="s">
        <v>1677</v>
      </c>
      <c r="H6" s="3454"/>
      <c r="I6" s="3453" t="s">
        <v>1677</v>
      </c>
      <c r="J6" s="3454"/>
      <c r="K6" s="1744" t="s">
        <v>1678</v>
      </c>
      <c r="L6" s="2485"/>
      <c r="M6" s="2486"/>
      <c r="N6" s="2486"/>
      <c r="O6" s="2486"/>
      <c r="P6" s="3445"/>
      <c r="Q6" s="3446"/>
      <c r="R6" s="3449"/>
      <c r="S6" s="3450"/>
      <c r="T6" s="3451"/>
      <c r="U6" s="3452"/>
      <c r="V6" s="3423"/>
      <c r="W6" s="3423"/>
      <c r="X6" s="1264"/>
      <c r="Y6" s="3451"/>
      <c r="Z6" s="3452"/>
      <c r="AA6" s="3436"/>
      <c r="AB6" s="3436"/>
      <c r="AC6" s="3436"/>
    </row>
    <row r="7" spans="1:29" s="102" customFormat="1" ht="15" thickBot="1">
      <c r="A7" s="351" t="s">
        <v>1679</v>
      </c>
      <c r="B7" s="352"/>
      <c r="C7" s="353">
        <f>'数据-取费表'!B2</f>
        <v>45783</v>
      </c>
      <c r="D7" s="354">
        <v>100</v>
      </c>
      <c r="E7" s="355"/>
      <c r="F7" s="356">
        <f>SUMIF(58:58,YEAR(E7)&amp;"-"&amp;MONTH(E7),59:59)</f>
        <v>0</v>
      </c>
      <c r="G7" s="355"/>
      <c r="H7" s="354">
        <f>SUMIF(58:58,YEAR(G7)&amp;"-"&amp;MONTH(G7),59:59)</f>
        <v>0</v>
      </c>
      <c r="I7" s="355"/>
      <c r="J7" s="354">
        <f>SUMIF(58:58,YEAR(I7)&amp;"-"&amp;MONTH(I7),59:59)</f>
        <v>0</v>
      </c>
      <c r="K7" s="1745"/>
      <c r="L7" s="2487"/>
      <c r="M7" s="2439"/>
      <c r="N7" s="2439"/>
      <c r="O7" s="2439"/>
      <c r="P7" s="3457" t="s">
        <v>1680</v>
      </c>
      <c r="Q7" s="3459"/>
      <c r="R7" s="663" t="s">
        <v>20</v>
      </c>
      <c r="S7" s="664">
        <f t="shared" ref="S7:S15" si="0">F7</f>
        <v>0</v>
      </c>
      <c r="T7" s="663" t="s">
        <v>20</v>
      </c>
      <c r="U7" s="664">
        <f t="shared" ref="U7:U15" si="1">H7</f>
        <v>0</v>
      </c>
      <c r="V7" s="663" t="s">
        <v>20</v>
      </c>
      <c r="W7" s="664">
        <f t="shared" ref="W7:W15" si="2">J7</f>
        <v>0</v>
      </c>
      <c r="X7" s="665"/>
      <c r="Y7" s="3457" t="s">
        <v>1680</v>
      </c>
      <c r="Z7" s="3458"/>
      <c r="AA7" s="50" t="e">
        <f>D7/F7</f>
        <v>#DIV/0!</v>
      </c>
      <c r="AB7" s="50" t="e">
        <f>D7/H7</f>
        <v>#DIV/0!</v>
      </c>
      <c r="AC7" s="50" t="e">
        <f>D7/J7</f>
        <v>#DIV/0!</v>
      </c>
    </row>
    <row r="8" spans="1:29" s="102"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7"/>
      <c r="M8" s="2439"/>
      <c r="N8" s="2439"/>
      <c r="O8" s="2439"/>
      <c r="P8" s="3457" t="s">
        <v>1683</v>
      </c>
      <c r="Q8" s="3458"/>
      <c r="R8" s="663" t="s">
        <v>20</v>
      </c>
      <c r="S8" s="664">
        <f t="shared" si="0"/>
        <v>100</v>
      </c>
      <c r="T8" s="663" t="s">
        <v>20</v>
      </c>
      <c r="U8" s="664">
        <f t="shared" si="1"/>
        <v>100</v>
      </c>
      <c r="V8" s="663" t="s">
        <v>20</v>
      </c>
      <c r="W8" s="664">
        <f t="shared" si="2"/>
        <v>100</v>
      </c>
      <c r="X8" s="665"/>
      <c r="Y8" s="3457" t="s">
        <v>1683</v>
      </c>
      <c r="Z8" s="3458"/>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7"/>
      <c r="M9" s="2439"/>
      <c r="N9" s="2439"/>
      <c r="O9" s="2439"/>
      <c r="P9" s="3433" t="s">
        <v>1686</v>
      </c>
      <c r="Q9" s="529" t="str">
        <f t="shared" ref="Q9:Q15" si="6">B9</f>
        <v>用途</v>
      </c>
      <c r="R9" s="663" t="s">
        <v>14</v>
      </c>
      <c r="S9" s="664">
        <f t="shared" si="0"/>
        <v>100</v>
      </c>
      <c r="T9" s="663" t="s">
        <v>14</v>
      </c>
      <c r="U9" s="664">
        <f t="shared" si="1"/>
        <v>100</v>
      </c>
      <c r="V9" s="663" t="s">
        <v>14</v>
      </c>
      <c r="W9" s="664">
        <f t="shared" si="2"/>
        <v>100</v>
      </c>
      <c r="X9" s="665"/>
      <c r="Y9" s="3273" t="s">
        <v>1687</v>
      </c>
      <c r="Z9" s="50" t="str">
        <f t="shared" ref="Z9:Z15" si="7">Q9</f>
        <v>用途</v>
      </c>
      <c r="AA9" s="50">
        <f t="shared" si="3"/>
        <v>1</v>
      </c>
      <c r="AB9" s="50">
        <f t="shared" si="4"/>
        <v>1</v>
      </c>
      <c r="AC9" s="50">
        <f t="shared" si="5"/>
        <v>1</v>
      </c>
    </row>
    <row r="10" spans="1:29" s="365" customFormat="1" ht="28.8">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8"/>
      <c r="M10" s="2489"/>
      <c r="N10" s="2489"/>
      <c r="O10" s="2489"/>
      <c r="P10" s="3433"/>
      <c r="Q10" s="529"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0"/>
      <c r="M11" s="2486"/>
      <c r="N11" s="2486"/>
      <c r="O11" s="2486"/>
      <c r="P11" s="3433"/>
      <c r="Q11" s="529" t="str">
        <f t="shared" si="6"/>
        <v>容积率</v>
      </c>
      <c r="R11" s="663" t="s">
        <v>18</v>
      </c>
      <c r="S11" s="664" t="e">
        <f t="shared" si="0"/>
        <v>#N/A</v>
      </c>
      <c r="T11" s="663" t="s">
        <v>18</v>
      </c>
      <c r="U11" s="664" t="e">
        <f t="shared" si="1"/>
        <v>#N/A</v>
      </c>
      <c r="V11" s="663" t="s">
        <v>18</v>
      </c>
      <c r="W11" s="664" t="e">
        <f t="shared" si="2"/>
        <v>#N/A</v>
      </c>
      <c r="X11" s="665"/>
      <c r="Y11" s="3273"/>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7"/>
      <c r="M12" s="2439"/>
      <c r="N12" s="2439"/>
      <c r="O12" s="2439"/>
      <c r="P12" s="3433"/>
      <c r="Q12" s="529">
        <f t="shared" si="6"/>
        <v>111</v>
      </c>
      <c r="R12" s="663" t="s">
        <v>18</v>
      </c>
      <c r="S12" s="664">
        <f t="shared" si="0"/>
        <v>100</v>
      </c>
      <c r="T12" s="663" t="s">
        <v>18</v>
      </c>
      <c r="U12" s="664">
        <f t="shared" si="1"/>
        <v>100</v>
      </c>
      <c r="V12" s="663" t="s">
        <v>18</v>
      </c>
      <c r="W12" s="664">
        <f t="shared" si="2"/>
        <v>100</v>
      </c>
      <c r="X12" s="665"/>
      <c r="Y12" s="327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1"/>
      <c r="M13" s="2486"/>
      <c r="N13" s="2486"/>
      <c r="O13" s="2486"/>
      <c r="P13" s="3433"/>
      <c r="Q13" s="529">
        <f t="shared" si="6"/>
        <v>111</v>
      </c>
      <c r="R13" s="663" t="s">
        <v>18</v>
      </c>
      <c r="S13" s="664">
        <f t="shared" si="0"/>
        <v>100</v>
      </c>
      <c r="T13" s="663" t="s">
        <v>18</v>
      </c>
      <c r="U13" s="664">
        <f t="shared" si="1"/>
        <v>100</v>
      </c>
      <c r="V13" s="663" t="s">
        <v>18</v>
      </c>
      <c r="W13" s="664">
        <f t="shared" si="2"/>
        <v>100</v>
      </c>
      <c r="X13" s="665"/>
      <c r="Y13" s="3273"/>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1"/>
      <c r="M14" s="2486"/>
      <c r="N14" s="2486"/>
      <c r="O14" s="2486"/>
      <c r="P14" s="3433"/>
      <c r="Q14" s="529">
        <f t="shared" si="6"/>
        <v>111</v>
      </c>
      <c r="R14" s="663" t="s">
        <v>18</v>
      </c>
      <c r="S14" s="664">
        <f t="shared" si="0"/>
        <v>100</v>
      </c>
      <c r="T14" s="663" t="s">
        <v>18</v>
      </c>
      <c r="U14" s="664">
        <f t="shared" si="1"/>
        <v>100</v>
      </c>
      <c r="V14" s="663" t="s">
        <v>18</v>
      </c>
      <c r="W14" s="664">
        <f t="shared" si="2"/>
        <v>100</v>
      </c>
      <c r="X14" s="665"/>
      <c r="Y14" s="3273"/>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431" t="s">
        <v>1691</v>
      </c>
      <c r="Q15" s="1262" t="str">
        <f t="shared" si="6"/>
        <v>居住社区成熟度</v>
      </c>
      <c r="R15" s="666" t="s">
        <v>18</v>
      </c>
      <c r="S15" s="667">
        <f t="shared" si="0"/>
        <v>100</v>
      </c>
      <c r="T15" s="666" t="s">
        <v>18</v>
      </c>
      <c r="U15" s="667">
        <f t="shared" si="1"/>
        <v>100</v>
      </c>
      <c r="V15" s="666" t="s">
        <v>18</v>
      </c>
      <c r="W15" s="667">
        <f t="shared" si="2"/>
        <v>100</v>
      </c>
      <c r="X15" s="1264"/>
      <c r="Y15" s="3424"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1"/>
      <c r="M16" s="2486"/>
      <c r="N16" s="2486"/>
      <c r="O16" s="2486"/>
      <c r="P16" s="3432"/>
      <c r="Q16" s="1262"/>
      <c r="R16" s="666"/>
      <c r="S16" s="667"/>
      <c r="T16" s="666"/>
      <c r="U16" s="667"/>
      <c r="V16" s="666"/>
      <c r="W16" s="667"/>
      <c r="X16" s="1264"/>
      <c r="Y16" s="3425"/>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432"/>
      <c r="Q17" s="1262" t="str">
        <f>B17</f>
        <v>交通便捷度</v>
      </c>
      <c r="R17" s="666" t="s">
        <v>18</v>
      </c>
      <c r="S17" s="667">
        <f>F17</f>
        <v>100</v>
      </c>
      <c r="T17" s="666" t="s">
        <v>18</v>
      </c>
      <c r="U17" s="667">
        <f>H17</f>
        <v>100</v>
      </c>
      <c r="V17" s="666" t="s">
        <v>18</v>
      </c>
      <c r="W17" s="667">
        <f>J17</f>
        <v>100</v>
      </c>
      <c r="X17" s="1264"/>
      <c r="Y17" s="3425"/>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1"/>
      <c r="M18" s="2486"/>
      <c r="N18" s="2486"/>
      <c r="O18" s="2486"/>
      <c r="P18" s="3432"/>
      <c r="Q18" s="1262"/>
      <c r="R18" s="666"/>
      <c r="S18" s="667"/>
      <c r="T18" s="666"/>
      <c r="U18" s="667"/>
      <c r="V18" s="666"/>
      <c r="W18" s="667"/>
      <c r="X18" s="1264"/>
      <c r="Y18" s="3425"/>
      <c r="Z18" s="1263"/>
      <c r="AA18" s="1263">
        <v>1</v>
      </c>
      <c r="AB18" s="1263">
        <v>1</v>
      </c>
      <c r="AC18" s="1263">
        <v>1</v>
      </c>
    </row>
    <row r="19" spans="1:29" ht="41.4">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432"/>
      <c r="Q19" s="1262" t="str">
        <f>B19</f>
        <v>公共配套设施</v>
      </c>
      <c r="R19" s="666" t="s">
        <v>18</v>
      </c>
      <c r="S19" s="667">
        <f>F19</f>
        <v>100</v>
      </c>
      <c r="T19" s="666" t="s">
        <v>18</v>
      </c>
      <c r="U19" s="667">
        <f>H19</f>
        <v>100</v>
      </c>
      <c r="V19" s="666" t="s">
        <v>18</v>
      </c>
      <c r="W19" s="667">
        <f>J19</f>
        <v>100</v>
      </c>
      <c r="X19" s="1264"/>
      <c r="Y19" s="3425"/>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1"/>
      <c r="M20" s="2486"/>
      <c r="N20" s="2486"/>
      <c r="O20" s="2486"/>
      <c r="P20" s="3432"/>
      <c r="Q20" s="1262"/>
      <c r="R20" s="666"/>
      <c r="S20" s="667"/>
      <c r="T20" s="666"/>
      <c r="U20" s="667"/>
      <c r="V20" s="666"/>
      <c r="W20" s="667"/>
      <c r="X20" s="1264"/>
      <c r="Y20" s="3425"/>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432"/>
      <c r="Q21" s="1262" t="str">
        <f>B21</f>
        <v>基础设施水平</v>
      </c>
      <c r="R21" s="666" t="s">
        <v>14</v>
      </c>
      <c r="S21" s="667">
        <f>F21</f>
        <v>100</v>
      </c>
      <c r="T21" s="666" t="s">
        <v>14</v>
      </c>
      <c r="U21" s="667">
        <f>H21</f>
        <v>100</v>
      </c>
      <c r="V21" s="666" t="s">
        <v>14</v>
      </c>
      <c r="W21" s="667">
        <f>J21</f>
        <v>100</v>
      </c>
      <c r="X21" s="1264"/>
      <c r="Y21" s="342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1"/>
      <c r="M22" s="2486"/>
      <c r="N22" s="2486"/>
      <c r="O22" s="2486"/>
      <c r="P22" s="3432"/>
      <c r="Q22" s="1262"/>
      <c r="R22" s="666"/>
      <c r="S22" s="667"/>
      <c r="T22" s="666"/>
      <c r="U22" s="667"/>
      <c r="V22" s="666"/>
      <c r="W22" s="667"/>
      <c r="X22" s="1264"/>
      <c r="Y22" s="3425"/>
      <c r="Z22" s="1263"/>
      <c r="AA22" s="1263">
        <v>1</v>
      </c>
      <c r="AB22" s="1263">
        <v>1</v>
      </c>
      <c r="AC22" s="1263">
        <v>1</v>
      </c>
    </row>
    <row r="23" spans="1:29" ht="55.2">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432"/>
      <c r="Q23" s="1262" t="str">
        <f>B23</f>
        <v>自然及人文环境</v>
      </c>
      <c r="R23" s="666" t="s">
        <v>18</v>
      </c>
      <c r="S23" s="667">
        <f>F23</f>
        <v>100</v>
      </c>
      <c r="T23" s="666" t="s">
        <v>18</v>
      </c>
      <c r="U23" s="667">
        <f>H23</f>
        <v>100</v>
      </c>
      <c r="V23" s="666" t="s">
        <v>18</v>
      </c>
      <c r="W23" s="667">
        <f>J23</f>
        <v>100</v>
      </c>
      <c r="X23" s="1264"/>
      <c r="Y23" s="3425"/>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1"/>
      <c r="M24" s="2486"/>
      <c r="N24" s="2486"/>
      <c r="O24" s="2486"/>
      <c r="P24" s="3432"/>
      <c r="Q24" s="1262"/>
      <c r="R24" s="666"/>
      <c r="S24" s="667"/>
      <c r="T24" s="666"/>
      <c r="U24" s="667"/>
      <c r="V24" s="666"/>
      <c r="W24" s="667"/>
      <c r="X24" s="1264"/>
      <c r="Y24" s="3425"/>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1"/>
      <c r="M25" s="2486"/>
      <c r="N25" s="2486"/>
      <c r="O25" s="2486"/>
      <c r="P25" s="3432"/>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25"/>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1"/>
      <c r="M26" s="2486"/>
      <c r="N26" s="2486"/>
      <c r="O26" s="2486"/>
      <c r="P26" s="3432"/>
      <c r="Q26" s="1262" t="str">
        <f t="shared" si="11"/>
        <v>朝向</v>
      </c>
      <c r="R26" s="666" t="s">
        <v>18</v>
      </c>
      <c r="S26" s="667">
        <f t="shared" si="12"/>
        <v>100</v>
      </c>
      <c r="T26" s="666" t="s">
        <v>18</v>
      </c>
      <c r="U26" s="667">
        <f t="shared" si="13"/>
        <v>100</v>
      </c>
      <c r="V26" s="666" t="s">
        <v>18</v>
      </c>
      <c r="W26" s="667">
        <f t="shared" si="14"/>
        <v>100</v>
      </c>
      <c r="X26" s="1264"/>
      <c r="Y26" s="3425"/>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7"/>
      <c r="M27" s="2439"/>
      <c r="N27" s="2439"/>
      <c r="O27" s="2439"/>
      <c r="P27" s="3432"/>
      <c r="Q27" s="529">
        <f t="shared" si="11"/>
        <v>111</v>
      </c>
      <c r="R27" s="663" t="s">
        <v>18</v>
      </c>
      <c r="S27" s="664">
        <f t="shared" si="12"/>
        <v>100</v>
      </c>
      <c r="T27" s="663" t="s">
        <v>18</v>
      </c>
      <c r="U27" s="664">
        <f t="shared" si="13"/>
        <v>100</v>
      </c>
      <c r="V27" s="663" t="s">
        <v>18</v>
      </c>
      <c r="W27" s="664">
        <f t="shared" si="14"/>
        <v>100</v>
      </c>
      <c r="X27" s="665"/>
      <c r="Y27" s="3425"/>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1"/>
      <c r="M28" s="2486"/>
      <c r="N28" s="2486"/>
      <c r="O28" s="2486"/>
      <c r="P28" s="3432"/>
      <c r="Q28" s="1262">
        <f t="shared" si="11"/>
        <v>111</v>
      </c>
      <c r="R28" s="666" t="s">
        <v>18</v>
      </c>
      <c r="S28" s="667">
        <f t="shared" si="12"/>
        <v>100</v>
      </c>
      <c r="T28" s="666" t="s">
        <v>18</v>
      </c>
      <c r="U28" s="667">
        <f t="shared" si="13"/>
        <v>100</v>
      </c>
      <c r="V28" s="666" t="s">
        <v>18</v>
      </c>
      <c r="W28" s="667">
        <f t="shared" si="14"/>
        <v>100</v>
      </c>
      <c r="X28" s="1264"/>
      <c r="Y28" s="3425"/>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1"/>
      <c r="M29" s="2486"/>
      <c r="N29" s="2486"/>
      <c r="O29" s="2486"/>
      <c r="P29" s="3432"/>
      <c r="Q29" s="1262">
        <f t="shared" si="11"/>
        <v>111</v>
      </c>
      <c r="R29" s="666" t="s">
        <v>18</v>
      </c>
      <c r="S29" s="667">
        <f t="shared" si="12"/>
        <v>100</v>
      </c>
      <c r="T29" s="666" t="s">
        <v>18</v>
      </c>
      <c r="U29" s="667">
        <f t="shared" si="13"/>
        <v>100</v>
      </c>
      <c r="V29" s="666" t="s">
        <v>18</v>
      </c>
      <c r="W29" s="667">
        <f t="shared" si="14"/>
        <v>100</v>
      </c>
      <c r="X29" s="1264"/>
      <c r="Y29" s="3425"/>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1"/>
      <c r="M30" s="2486"/>
      <c r="N30" s="2486"/>
      <c r="O30" s="2486"/>
      <c r="P30" s="3432"/>
      <c r="Q30" s="1262">
        <f t="shared" si="11"/>
        <v>111</v>
      </c>
      <c r="R30" s="666" t="s">
        <v>18</v>
      </c>
      <c r="S30" s="667">
        <f t="shared" si="12"/>
        <v>100</v>
      </c>
      <c r="T30" s="666" t="s">
        <v>18</v>
      </c>
      <c r="U30" s="667">
        <f t="shared" si="13"/>
        <v>100</v>
      </c>
      <c r="V30" s="666" t="s">
        <v>18</v>
      </c>
      <c r="W30" s="667">
        <f t="shared" si="14"/>
        <v>100</v>
      </c>
      <c r="X30" s="1264"/>
      <c r="Y30" s="3425"/>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1"/>
      <c r="M31" s="2486"/>
      <c r="N31" s="2486"/>
      <c r="O31" s="2486"/>
      <c r="P31" s="3432"/>
      <c r="Q31" s="1262">
        <f t="shared" si="11"/>
        <v>111</v>
      </c>
      <c r="R31" s="666" t="s">
        <v>18</v>
      </c>
      <c r="S31" s="667">
        <f t="shared" si="12"/>
        <v>100</v>
      </c>
      <c r="T31" s="666" t="s">
        <v>18</v>
      </c>
      <c r="U31" s="667">
        <f t="shared" si="13"/>
        <v>100</v>
      </c>
      <c r="V31" s="666" t="s">
        <v>18</v>
      </c>
      <c r="W31" s="667">
        <f t="shared" si="14"/>
        <v>100</v>
      </c>
      <c r="X31" s="1264"/>
      <c r="Y31" s="3425"/>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1"/>
      <c r="M32" s="2486"/>
      <c r="N32" s="2486"/>
      <c r="O32" s="2486"/>
      <c r="P32" s="3426" t="s">
        <v>1696</v>
      </c>
      <c r="Q32" s="1262" t="str">
        <f t="shared" si="11"/>
        <v>建筑类型</v>
      </c>
      <c r="R32" s="666" t="s">
        <v>18</v>
      </c>
      <c r="S32" s="667">
        <f t="shared" si="12"/>
        <v>100</v>
      </c>
      <c r="T32" s="666" t="s">
        <v>18</v>
      </c>
      <c r="U32" s="667">
        <f t="shared" si="13"/>
        <v>100</v>
      </c>
      <c r="V32" s="666" t="s">
        <v>18</v>
      </c>
      <c r="W32" s="667">
        <f t="shared" si="14"/>
        <v>100</v>
      </c>
      <c r="X32" s="1264"/>
      <c r="Y32" s="3429"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0"/>
      <c r="M33" s="2492"/>
      <c r="N33" s="2492"/>
      <c r="O33" s="2492"/>
      <c r="P33" s="3427"/>
      <c r="Q33" s="530" t="str">
        <f t="shared" si="11"/>
        <v>项目建筑规模</v>
      </c>
      <c r="R33" s="668" t="s">
        <v>18</v>
      </c>
      <c r="S33" s="669" t="e">
        <f t="shared" si="12"/>
        <v>#N/A</v>
      </c>
      <c r="T33" s="668" t="s">
        <v>18</v>
      </c>
      <c r="U33" s="669" t="e">
        <f t="shared" si="13"/>
        <v>#N/A</v>
      </c>
      <c r="V33" s="668" t="s">
        <v>18</v>
      </c>
      <c r="W33" s="669" t="e">
        <f t="shared" si="14"/>
        <v>#N/A</v>
      </c>
      <c r="X33" s="670"/>
      <c r="Y33" s="3429"/>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1"/>
      <c r="M34" s="2486"/>
      <c r="N34" s="2486"/>
      <c r="O34" s="2486"/>
      <c r="P34" s="3427"/>
      <c r="Q34" s="1262" t="str">
        <f t="shared" si="11"/>
        <v>建筑结构</v>
      </c>
      <c r="R34" s="666" t="s">
        <v>18</v>
      </c>
      <c r="S34" s="667">
        <f t="shared" si="12"/>
        <v>100</v>
      </c>
      <c r="T34" s="666" t="s">
        <v>18</v>
      </c>
      <c r="U34" s="667">
        <f t="shared" si="13"/>
        <v>100</v>
      </c>
      <c r="V34" s="666" t="s">
        <v>18</v>
      </c>
      <c r="W34" s="667">
        <f t="shared" si="14"/>
        <v>100</v>
      </c>
      <c r="X34" s="1264"/>
      <c r="Y34" s="3429"/>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1"/>
      <c r="M35" s="2486"/>
      <c r="N35" s="2486"/>
      <c r="O35" s="2486"/>
      <c r="P35" s="3427"/>
      <c r="Q35" s="1262" t="str">
        <f t="shared" si="11"/>
        <v>建筑品质</v>
      </c>
      <c r="R35" s="666" t="s">
        <v>18</v>
      </c>
      <c r="S35" s="667">
        <f t="shared" si="12"/>
        <v>100</v>
      </c>
      <c r="T35" s="666" t="s">
        <v>18</v>
      </c>
      <c r="U35" s="667">
        <f t="shared" si="13"/>
        <v>100</v>
      </c>
      <c r="V35" s="666" t="s">
        <v>18</v>
      </c>
      <c r="W35" s="667">
        <f t="shared" si="14"/>
        <v>100</v>
      </c>
      <c r="X35" s="1264"/>
      <c r="Y35" s="3429"/>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1"/>
      <c r="M36" s="2486"/>
      <c r="N36" s="2486"/>
      <c r="O36" s="2486"/>
      <c r="P36" s="3427"/>
      <c r="Q36" s="1262" t="str">
        <f t="shared" si="11"/>
        <v>公共部分装修</v>
      </c>
      <c r="R36" s="666" t="s">
        <v>18</v>
      </c>
      <c r="S36" s="667">
        <f t="shared" si="12"/>
        <v>100</v>
      </c>
      <c r="T36" s="666" t="s">
        <v>18</v>
      </c>
      <c r="U36" s="667">
        <f t="shared" si="13"/>
        <v>100</v>
      </c>
      <c r="V36" s="666" t="s">
        <v>18</v>
      </c>
      <c r="W36" s="667">
        <f t="shared" si="14"/>
        <v>100</v>
      </c>
      <c r="X36" s="1264"/>
      <c r="Y36" s="3429"/>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7"/>
      <c r="M37" s="2439"/>
      <c r="N37" s="2439"/>
      <c r="O37" s="2439"/>
      <c r="P37" s="3427"/>
      <c r="Q37" s="529" t="str">
        <f t="shared" si="11"/>
        <v>成新度</v>
      </c>
      <c r="R37" s="663" t="s">
        <v>18</v>
      </c>
      <c r="S37" s="664" t="e">
        <f t="shared" si="12"/>
        <v>#N/A</v>
      </c>
      <c r="T37" s="663" t="s">
        <v>18</v>
      </c>
      <c r="U37" s="664" t="e">
        <f t="shared" si="13"/>
        <v>#N/A</v>
      </c>
      <c r="V37" s="663" t="s">
        <v>18</v>
      </c>
      <c r="W37" s="664" t="e">
        <f t="shared" si="14"/>
        <v>#N/A</v>
      </c>
      <c r="X37" s="665"/>
      <c r="Y37" s="3429"/>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1"/>
      <c r="M38" s="2486"/>
      <c r="N38" s="2486"/>
      <c r="O38" s="2486"/>
      <c r="P38" s="3427" t="s">
        <v>1696</v>
      </c>
      <c r="Q38" s="1262" t="str">
        <f t="shared" si="11"/>
        <v>物业管理</v>
      </c>
      <c r="R38" s="666" t="s">
        <v>18</v>
      </c>
      <c r="S38" s="667">
        <f t="shared" si="12"/>
        <v>100</v>
      </c>
      <c r="T38" s="666" t="s">
        <v>18</v>
      </c>
      <c r="U38" s="667">
        <f t="shared" si="13"/>
        <v>100</v>
      </c>
      <c r="V38" s="666" t="s">
        <v>18</v>
      </c>
      <c r="W38" s="667">
        <f t="shared" si="14"/>
        <v>100</v>
      </c>
      <c r="X38" s="1264"/>
      <c r="Y38" s="3429"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1"/>
      <c r="M39" s="2486"/>
      <c r="N39" s="2486"/>
      <c r="O39" s="2486"/>
      <c r="P39" s="3427"/>
      <c r="Q39" s="1262" t="str">
        <f t="shared" si="11"/>
        <v>市政基础设施</v>
      </c>
      <c r="R39" s="666" t="s">
        <v>18</v>
      </c>
      <c r="S39" s="667">
        <f t="shared" si="12"/>
        <v>100</v>
      </c>
      <c r="T39" s="666" t="s">
        <v>18</v>
      </c>
      <c r="U39" s="667">
        <f t="shared" si="13"/>
        <v>100</v>
      </c>
      <c r="V39" s="666" t="s">
        <v>18</v>
      </c>
      <c r="W39" s="667">
        <f t="shared" si="14"/>
        <v>100</v>
      </c>
      <c r="X39" s="1264"/>
      <c r="Y39" s="3429"/>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1"/>
      <c r="M40" s="2486"/>
      <c r="N40" s="2486"/>
      <c r="O40" s="2486"/>
      <c r="P40" s="3427"/>
      <c r="Q40" s="1262" t="str">
        <f t="shared" si="11"/>
        <v>房型</v>
      </c>
      <c r="R40" s="666" t="s">
        <v>18</v>
      </c>
      <c r="S40" s="667">
        <f t="shared" si="12"/>
        <v>100</v>
      </c>
      <c r="T40" s="666" t="s">
        <v>18</v>
      </c>
      <c r="U40" s="667">
        <f t="shared" si="13"/>
        <v>100</v>
      </c>
      <c r="V40" s="666" t="s">
        <v>18</v>
      </c>
      <c r="W40" s="667">
        <f t="shared" si="14"/>
        <v>100</v>
      </c>
      <c r="X40" s="1264"/>
      <c r="Y40" s="3429"/>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0"/>
      <c r="M41" s="2492"/>
      <c r="N41" s="2492"/>
      <c r="O41" s="2492"/>
      <c r="P41" s="3427"/>
      <c r="Q41" s="530" t="str">
        <f t="shared" si="11"/>
        <v>单套/主力户型建筑面积</v>
      </c>
      <c r="R41" s="668" t="s">
        <v>18</v>
      </c>
      <c r="S41" s="669">
        <f t="shared" si="12"/>
        <v>100</v>
      </c>
      <c r="T41" s="668" t="s">
        <v>18</v>
      </c>
      <c r="U41" s="669">
        <f t="shared" si="13"/>
        <v>100</v>
      </c>
      <c r="V41" s="668" t="s">
        <v>18</v>
      </c>
      <c r="W41" s="669">
        <f t="shared" si="14"/>
        <v>100</v>
      </c>
      <c r="X41" s="670"/>
      <c r="Y41" s="3429"/>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1"/>
      <c r="M42" s="2486"/>
      <c r="N42" s="2486"/>
      <c r="O42" s="2486"/>
      <c r="P42" s="3427"/>
      <c r="Q42" s="1262" t="str">
        <f t="shared" si="11"/>
        <v>内部装修</v>
      </c>
      <c r="R42" s="666" t="s">
        <v>18</v>
      </c>
      <c r="S42" s="667">
        <f t="shared" si="12"/>
        <v>100</v>
      </c>
      <c r="T42" s="666" t="s">
        <v>18</v>
      </c>
      <c r="U42" s="667">
        <f t="shared" si="13"/>
        <v>100</v>
      </c>
      <c r="V42" s="666" t="s">
        <v>18</v>
      </c>
      <c r="W42" s="667">
        <f t="shared" si="14"/>
        <v>100</v>
      </c>
      <c r="X42" s="1264"/>
      <c r="Y42" s="3429"/>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1"/>
      <c r="M43" s="2486"/>
      <c r="N43" s="2486"/>
      <c r="O43" s="2486"/>
      <c r="P43" s="3427"/>
      <c r="Q43" s="1262" t="str">
        <f t="shared" si="11"/>
        <v>内部装修维护情况</v>
      </c>
      <c r="R43" s="666" t="s">
        <v>18</v>
      </c>
      <c r="S43" s="667">
        <f t="shared" si="12"/>
        <v>100</v>
      </c>
      <c r="T43" s="666" t="s">
        <v>18</v>
      </c>
      <c r="U43" s="667">
        <f t="shared" si="13"/>
        <v>100</v>
      </c>
      <c r="V43" s="666" t="s">
        <v>18</v>
      </c>
      <c r="W43" s="667">
        <f t="shared" si="14"/>
        <v>100</v>
      </c>
      <c r="X43" s="1264"/>
      <c r="Y43" s="3429"/>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7"/>
      <c r="M44" s="2439"/>
      <c r="N44" s="2439"/>
      <c r="O44" s="2439"/>
      <c r="P44" s="3427"/>
      <c r="Q44" s="529">
        <f t="shared" si="11"/>
        <v>111</v>
      </c>
      <c r="R44" s="663" t="s">
        <v>18</v>
      </c>
      <c r="S44" s="664">
        <f t="shared" si="12"/>
        <v>100</v>
      </c>
      <c r="T44" s="663" t="s">
        <v>18</v>
      </c>
      <c r="U44" s="664">
        <f t="shared" si="13"/>
        <v>100</v>
      </c>
      <c r="V44" s="663" t="s">
        <v>18</v>
      </c>
      <c r="W44" s="664">
        <f t="shared" si="14"/>
        <v>100</v>
      </c>
      <c r="X44" s="665"/>
      <c r="Y44" s="3429"/>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1"/>
      <c r="M45" s="2486"/>
      <c r="N45" s="2486"/>
      <c r="O45" s="2486"/>
      <c r="P45" s="3427"/>
      <c r="Q45" s="1262">
        <f t="shared" si="11"/>
        <v>111</v>
      </c>
      <c r="R45" s="666" t="s">
        <v>18</v>
      </c>
      <c r="S45" s="667">
        <f t="shared" si="12"/>
        <v>100</v>
      </c>
      <c r="T45" s="666" t="s">
        <v>18</v>
      </c>
      <c r="U45" s="667">
        <f t="shared" si="13"/>
        <v>100</v>
      </c>
      <c r="V45" s="666" t="s">
        <v>18</v>
      </c>
      <c r="W45" s="667">
        <f t="shared" si="14"/>
        <v>100</v>
      </c>
      <c r="X45" s="1264"/>
      <c r="Y45" s="3429"/>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1"/>
      <c r="M46" s="2486"/>
      <c r="N46" s="2486"/>
      <c r="O46" s="2486"/>
      <c r="P46" s="3428"/>
      <c r="Q46" s="1262">
        <f t="shared" si="11"/>
        <v>111</v>
      </c>
      <c r="R46" s="666" t="s">
        <v>17</v>
      </c>
      <c r="S46" s="667">
        <f t="shared" si="12"/>
        <v>100</v>
      </c>
      <c r="T46" s="666" t="s">
        <v>17</v>
      </c>
      <c r="U46" s="667">
        <f t="shared" si="13"/>
        <v>100</v>
      </c>
      <c r="V46" s="666" t="s">
        <v>17</v>
      </c>
      <c r="W46" s="667">
        <f t="shared" si="14"/>
        <v>100</v>
      </c>
      <c r="X46" s="1264"/>
      <c r="Y46" s="3430"/>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3"/>
      <c r="M47" s="2486"/>
      <c r="N47" s="2486"/>
      <c r="O47" s="2486"/>
      <c r="P47" s="3422" t="str">
        <f>A47</f>
        <v>成交单价（元/平方米）</v>
      </c>
      <c r="Q47" s="3422"/>
      <c r="R47" s="3423">
        <f>E47</f>
        <v>0</v>
      </c>
      <c r="S47" s="3423"/>
      <c r="T47" s="3423">
        <f>G47</f>
        <v>0</v>
      </c>
      <c r="U47" s="3423"/>
      <c r="V47" s="3423">
        <f>I47</f>
        <v>0</v>
      </c>
      <c r="W47" s="3423"/>
      <c r="X47" s="384"/>
      <c r="Y47" s="672"/>
      <c r="Z47" s="384"/>
      <c r="AA47" s="384"/>
      <c r="AB47" s="384"/>
      <c r="AC47" s="384"/>
    </row>
    <row r="48" spans="1:29" ht="15" thickBot="1">
      <c r="A48" s="422" t="s">
        <v>1709</v>
      </c>
      <c r="B48" s="423"/>
      <c r="C48" s="1081" t="e">
        <f>R49</f>
        <v>#DIV/0!</v>
      </c>
      <c r="D48" s="2140" t="s">
        <v>2138</v>
      </c>
      <c r="E48" s="1082" t="e">
        <f>R48</f>
        <v>#DIV/0!</v>
      </c>
      <c r="F48" s="2141"/>
      <c r="G48" s="1081" t="e">
        <f>T48</f>
        <v>#DIV/0!</v>
      </c>
      <c r="H48" s="2141"/>
      <c r="I48" s="1082" t="e">
        <f>V48</f>
        <v>#DIV/0!</v>
      </c>
      <c r="J48" s="2141"/>
      <c r="K48" s="2142">
        <f>F48+H48+J48</f>
        <v>0</v>
      </c>
      <c r="L48" s="2493"/>
      <c r="M48" s="2486"/>
      <c r="N48" s="2486"/>
      <c r="O48" s="2486"/>
      <c r="P48" s="3422" t="str">
        <f>A48</f>
        <v>比较价值（元/平方米）</v>
      </c>
      <c r="Q48" s="3422"/>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3"/>
      <c r="M49" s="2486"/>
      <c r="N49" s="2486"/>
      <c r="O49" s="2486"/>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9"/>
    </row>
    <row r="55" spans="1:29" s="436"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1716</v>
      </c>
      <c r="B60" s="449"/>
      <c r="C60" s="450"/>
      <c r="D60" s="451"/>
      <c r="E60" s="451"/>
      <c r="F60" s="451"/>
      <c r="G60" s="451"/>
      <c r="H60" s="451"/>
      <c r="I60" s="451"/>
      <c r="J60" s="451"/>
      <c r="K60" s="451"/>
      <c r="L60" s="451"/>
      <c r="M60" s="452"/>
      <c r="N60" s="451"/>
      <c r="O60" s="452"/>
      <c r="P60" s="1772"/>
      <c r="Q60" s="438"/>
    </row>
    <row r="61" spans="1:29" s="102" customFormat="1" ht="14.4">
      <c r="A61" s="454" t="s">
        <v>1717</v>
      </c>
      <c r="B61" s="443"/>
      <c r="C61" s="455" t="s">
        <v>1718</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1734</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1735</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2447.34</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4.4">
      <c r="A4" s="344" t="s">
        <v>1769</v>
      </c>
      <c r="B4" s="345"/>
      <c r="C4" s="3437" t="s">
        <v>1770</v>
      </c>
      <c r="D4" s="3438"/>
      <c r="E4" s="3439" t="s">
        <v>1771</v>
      </c>
      <c r="F4" s="3440"/>
      <c r="G4" s="3437" t="s">
        <v>1772</v>
      </c>
      <c r="H4" s="3438"/>
      <c r="I4" s="3437" t="s">
        <v>1773</v>
      </c>
      <c r="J4" s="3438"/>
      <c r="K4" s="536" t="s">
        <v>1774</v>
      </c>
      <c r="L4" s="2485"/>
      <c r="M4" s="2486"/>
      <c r="N4" s="2486"/>
      <c r="O4" s="2486"/>
      <c r="P4" s="3441" t="s">
        <v>1775</v>
      </c>
      <c r="Q4" s="3442"/>
      <c r="R4" s="3447" t="s">
        <v>1771</v>
      </c>
      <c r="S4" s="3448"/>
      <c r="T4" s="3447" t="s">
        <v>1772</v>
      </c>
      <c r="U4" s="3448"/>
      <c r="V4" s="3423" t="s">
        <v>1773</v>
      </c>
      <c r="W4" s="3423"/>
      <c r="X4" s="1264"/>
      <c r="Y4" s="3447" t="s">
        <v>1775</v>
      </c>
      <c r="Z4" s="3448"/>
      <c r="AA4" s="3434" t="s">
        <v>1771</v>
      </c>
      <c r="AB4" s="3423" t="s">
        <v>1772</v>
      </c>
      <c r="AC4" s="3434" t="s">
        <v>1773</v>
      </c>
    </row>
    <row r="5" spans="1:29">
      <c r="A5" s="347"/>
      <c r="B5" s="348"/>
      <c r="C5" s="3455" t="s">
        <v>1673</v>
      </c>
      <c r="D5" s="3456"/>
      <c r="E5" s="3462" t="s">
        <v>1674</v>
      </c>
      <c r="F5" s="3463"/>
      <c r="G5" s="3455" t="s">
        <v>1675</v>
      </c>
      <c r="H5" s="3456"/>
      <c r="I5" s="3455" t="s">
        <v>1676</v>
      </c>
      <c r="J5" s="3456"/>
      <c r="K5" s="536"/>
      <c r="L5" s="2485"/>
      <c r="M5" s="2486"/>
      <c r="N5" s="2486"/>
      <c r="O5" s="2486"/>
      <c r="P5" s="3443"/>
      <c r="Q5" s="3444"/>
      <c r="R5" s="3449"/>
      <c r="S5" s="3450"/>
      <c r="T5" s="3449"/>
      <c r="U5" s="3450"/>
      <c r="V5" s="3423"/>
      <c r="W5" s="3423"/>
      <c r="X5" s="1264"/>
      <c r="Y5" s="3449"/>
      <c r="Z5" s="3450"/>
      <c r="AA5" s="3435"/>
      <c r="AB5" s="3423"/>
      <c r="AC5" s="3435"/>
    </row>
    <row r="6" spans="1:29" ht="15" thickBot="1">
      <c r="A6" s="349"/>
      <c r="B6" s="350"/>
      <c r="C6" s="3453" t="s">
        <v>1677</v>
      </c>
      <c r="D6" s="3454"/>
      <c r="E6" s="3460" t="s">
        <v>1677</v>
      </c>
      <c r="F6" s="3461"/>
      <c r="G6" s="3453" t="s">
        <v>1677</v>
      </c>
      <c r="H6" s="3454"/>
      <c r="I6" s="3453" t="s">
        <v>1677</v>
      </c>
      <c r="J6" s="3454"/>
      <c r="K6" s="536" t="s">
        <v>1678</v>
      </c>
      <c r="L6" s="2485"/>
      <c r="M6" s="2486"/>
      <c r="N6" s="2486"/>
      <c r="O6" s="2486"/>
      <c r="P6" s="3445"/>
      <c r="Q6" s="3446"/>
      <c r="R6" s="3449"/>
      <c r="S6" s="3450"/>
      <c r="T6" s="3451"/>
      <c r="U6" s="3452"/>
      <c r="V6" s="3423"/>
      <c r="W6" s="3423"/>
      <c r="X6" s="1264"/>
      <c r="Y6" s="3451"/>
      <c r="Z6" s="3452"/>
      <c r="AA6" s="3436"/>
      <c r="AB6" s="3423"/>
      <c r="AC6" s="3436"/>
    </row>
    <row r="7" spans="1:29" s="102" customFormat="1" ht="15" thickBot="1">
      <c r="A7" s="351" t="s">
        <v>1679</v>
      </c>
      <c r="B7" s="352"/>
      <c r="C7" s="353">
        <f>'数据-取费表'!B2</f>
        <v>45783</v>
      </c>
      <c r="D7" s="354">
        <v>100</v>
      </c>
      <c r="E7" s="355"/>
      <c r="F7" s="356">
        <f>SUMIF(58:58,YEAR(E7)&amp;"-"&amp;MONTH(E7),59:59)</f>
        <v>0</v>
      </c>
      <c r="G7" s="355"/>
      <c r="H7" s="354">
        <f>SUMIF(58:58,YEAR(G7)&amp;"-"&amp;MONTH(G7),59:59)</f>
        <v>0</v>
      </c>
      <c r="I7" s="355"/>
      <c r="J7" s="354">
        <f>SUMIF(58:58,YEAR(I7)&amp;"-"&amp;MONTH(I7),59:59)</f>
        <v>0</v>
      </c>
      <c r="K7" s="38"/>
      <c r="L7" s="2487"/>
      <c r="M7" s="2439"/>
      <c r="N7" s="2439"/>
      <c r="O7" s="2439"/>
      <c r="P7" s="3457" t="s">
        <v>1680</v>
      </c>
      <c r="Q7" s="3459"/>
      <c r="R7" s="663" t="s">
        <v>14</v>
      </c>
      <c r="S7" s="664">
        <f t="shared" ref="S7:S15" si="0">F7</f>
        <v>0</v>
      </c>
      <c r="T7" s="663" t="s">
        <v>14</v>
      </c>
      <c r="U7" s="664">
        <f t="shared" ref="U7:U15" si="1">H7</f>
        <v>0</v>
      </c>
      <c r="V7" s="663" t="s">
        <v>14</v>
      </c>
      <c r="W7" s="664">
        <f t="shared" ref="W7:W15" si="2">J7</f>
        <v>0</v>
      </c>
      <c r="X7" s="665"/>
      <c r="Y7" s="3457" t="s">
        <v>1680</v>
      </c>
      <c r="Z7" s="3458"/>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7"/>
      <c r="M8" s="2439"/>
      <c r="N8" s="2439"/>
      <c r="O8" s="2439"/>
      <c r="P8" s="3457" t="s">
        <v>1683</v>
      </c>
      <c r="Q8" s="3458"/>
      <c r="R8" s="663" t="s">
        <v>14</v>
      </c>
      <c r="S8" s="664">
        <f t="shared" si="0"/>
        <v>100</v>
      </c>
      <c r="T8" s="663" t="s">
        <v>14</v>
      </c>
      <c r="U8" s="664">
        <f t="shared" si="1"/>
        <v>100</v>
      </c>
      <c r="V8" s="663" t="s">
        <v>14</v>
      </c>
      <c r="W8" s="664">
        <f t="shared" si="2"/>
        <v>100</v>
      </c>
      <c r="X8" s="665"/>
      <c r="Y8" s="3457" t="s">
        <v>1683</v>
      </c>
      <c r="Z8" s="3458"/>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7"/>
      <c r="M9" s="2439"/>
      <c r="N9" s="2439"/>
      <c r="O9" s="2439"/>
      <c r="P9" s="3433" t="s">
        <v>1686</v>
      </c>
      <c r="Q9" s="529" t="str">
        <f t="shared" ref="Q9:Q15" si="6">B9</f>
        <v>用途</v>
      </c>
      <c r="R9" s="663" t="s">
        <v>14</v>
      </c>
      <c r="S9" s="664">
        <f t="shared" si="0"/>
        <v>100</v>
      </c>
      <c r="T9" s="663" t="s">
        <v>14</v>
      </c>
      <c r="U9" s="664">
        <f t="shared" si="1"/>
        <v>100</v>
      </c>
      <c r="V9" s="663" t="s">
        <v>14</v>
      </c>
      <c r="W9" s="664">
        <f t="shared" si="2"/>
        <v>100</v>
      </c>
      <c r="X9" s="665"/>
      <c r="Y9" s="3273" t="s">
        <v>1687</v>
      </c>
      <c r="Z9" s="50" t="str">
        <f t="shared" ref="Z9:Z15" si="7">Q9</f>
        <v>用途</v>
      </c>
      <c r="AA9" s="50">
        <f t="shared" si="3"/>
        <v>1</v>
      </c>
      <c r="AB9" s="50">
        <f t="shared" si="4"/>
        <v>1</v>
      </c>
      <c r="AC9" s="50">
        <f t="shared" si="5"/>
        <v>1</v>
      </c>
    </row>
    <row r="10" spans="1:29" s="365" customFormat="1" ht="28.8">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8"/>
      <c r="L10" s="2488"/>
      <c r="M10" s="2489"/>
      <c r="N10" s="2489"/>
      <c r="O10" s="2489"/>
      <c r="P10" s="3433"/>
      <c r="Q10" s="529"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433"/>
      <c r="Q11" s="529" t="str">
        <f t="shared" si="6"/>
        <v>容积率</v>
      </c>
      <c r="R11" s="663" t="s">
        <v>14</v>
      </c>
      <c r="S11" s="664" t="e">
        <f t="shared" si="0"/>
        <v>#N/A</v>
      </c>
      <c r="T11" s="663" t="s">
        <v>14</v>
      </c>
      <c r="U11" s="664" t="e">
        <f t="shared" si="1"/>
        <v>#N/A</v>
      </c>
      <c r="V11" s="663" t="s">
        <v>14</v>
      </c>
      <c r="W11" s="664" t="e">
        <f t="shared" si="2"/>
        <v>#N/A</v>
      </c>
      <c r="X11" s="665"/>
      <c r="Y11" s="3273"/>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9"/>
      <c r="N12" s="2439"/>
      <c r="O12" s="2439"/>
      <c r="P12" s="3433"/>
      <c r="Q12" s="529">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433"/>
      <c r="Q13" s="529">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433"/>
      <c r="Q14" s="529">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69">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431" t="s">
        <v>1691</v>
      </c>
      <c r="Q15" s="1262" t="str">
        <f t="shared" si="6"/>
        <v>商业繁华度</v>
      </c>
      <c r="R15" s="666" t="s">
        <v>14</v>
      </c>
      <c r="S15" s="667">
        <f t="shared" si="0"/>
        <v>100</v>
      </c>
      <c r="T15" s="666" t="s">
        <v>14</v>
      </c>
      <c r="U15" s="667">
        <f t="shared" si="1"/>
        <v>100</v>
      </c>
      <c r="V15" s="666" t="s">
        <v>14</v>
      </c>
      <c r="W15" s="667">
        <f t="shared" si="2"/>
        <v>100</v>
      </c>
      <c r="X15" s="1264"/>
      <c r="Y15" s="3424"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1"/>
      <c r="M16" s="2486"/>
      <c r="N16" s="2486"/>
      <c r="O16" s="2486"/>
      <c r="P16" s="3432"/>
      <c r="Q16" s="1262"/>
      <c r="R16" s="666"/>
      <c r="S16" s="667"/>
      <c r="T16" s="666"/>
      <c r="U16" s="667"/>
      <c r="V16" s="666"/>
      <c r="W16" s="667"/>
      <c r="X16" s="1264"/>
      <c r="Y16" s="3425"/>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432"/>
      <c r="Q17" s="1262" t="str">
        <f>B17</f>
        <v>交通便捷度</v>
      </c>
      <c r="R17" s="666" t="s">
        <v>14</v>
      </c>
      <c r="S17" s="667">
        <f>F17</f>
        <v>100</v>
      </c>
      <c r="T17" s="666" t="s">
        <v>14</v>
      </c>
      <c r="U17" s="667">
        <f>H17</f>
        <v>100</v>
      </c>
      <c r="V17" s="666" t="s">
        <v>14</v>
      </c>
      <c r="W17" s="667">
        <f>J17</f>
        <v>100</v>
      </c>
      <c r="X17" s="1264"/>
      <c r="Y17" s="3425"/>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1"/>
      <c r="M18" s="2486"/>
      <c r="N18" s="2486"/>
      <c r="O18" s="2486"/>
      <c r="P18" s="3432"/>
      <c r="Q18" s="1262"/>
      <c r="R18" s="666"/>
      <c r="S18" s="667"/>
      <c r="T18" s="666"/>
      <c r="U18" s="667"/>
      <c r="V18" s="666"/>
      <c r="W18" s="667"/>
      <c r="X18" s="1264"/>
      <c r="Y18" s="3425"/>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432"/>
      <c r="Q19" s="1262" t="str">
        <f>B19</f>
        <v>公共配套设施</v>
      </c>
      <c r="R19" s="666" t="s">
        <v>14</v>
      </c>
      <c r="S19" s="667">
        <f>F19</f>
        <v>100</v>
      </c>
      <c r="T19" s="666" t="s">
        <v>14</v>
      </c>
      <c r="U19" s="667">
        <f>H19</f>
        <v>100</v>
      </c>
      <c r="V19" s="666" t="s">
        <v>14</v>
      </c>
      <c r="W19" s="667">
        <f>J19</f>
        <v>100</v>
      </c>
      <c r="X19" s="1264"/>
      <c r="Y19" s="3425"/>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1"/>
      <c r="M20" s="2486"/>
      <c r="N20" s="2486"/>
      <c r="O20" s="2486"/>
      <c r="P20" s="3432"/>
      <c r="Q20" s="1262"/>
      <c r="R20" s="666"/>
      <c r="S20" s="667"/>
      <c r="T20" s="666"/>
      <c r="U20" s="667"/>
      <c r="V20" s="666"/>
      <c r="W20" s="667"/>
      <c r="X20" s="1264"/>
      <c r="Y20" s="3425"/>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432"/>
      <c r="Q21" s="1262" t="str">
        <f>B21</f>
        <v>基础设施水平</v>
      </c>
      <c r="R21" s="666" t="s">
        <v>14</v>
      </c>
      <c r="S21" s="667">
        <f>F21</f>
        <v>100</v>
      </c>
      <c r="T21" s="666" t="s">
        <v>14</v>
      </c>
      <c r="U21" s="667">
        <f>H21</f>
        <v>100</v>
      </c>
      <c r="V21" s="666" t="s">
        <v>14</v>
      </c>
      <c r="W21" s="667">
        <f>J21</f>
        <v>100</v>
      </c>
      <c r="X21" s="1264"/>
      <c r="Y21" s="342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1"/>
      <c r="M22" s="2486"/>
      <c r="N22" s="2486"/>
      <c r="O22" s="2486"/>
      <c r="P22" s="3432"/>
      <c r="Q22" s="1262"/>
      <c r="R22" s="666"/>
      <c r="S22" s="667"/>
      <c r="T22" s="666"/>
      <c r="U22" s="667"/>
      <c r="V22" s="666"/>
      <c r="W22" s="667"/>
      <c r="X22" s="1264"/>
      <c r="Y22" s="3425"/>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432"/>
      <c r="Q23" s="1262" t="str">
        <f>B23</f>
        <v>自然及人文环境</v>
      </c>
      <c r="R23" s="666" t="s">
        <v>14</v>
      </c>
      <c r="S23" s="667">
        <f>F23</f>
        <v>100</v>
      </c>
      <c r="T23" s="666" t="s">
        <v>14</v>
      </c>
      <c r="U23" s="667">
        <f>H23</f>
        <v>100</v>
      </c>
      <c r="V23" s="666" t="s">
        <v>14</v>
      </c>
      <c r="W23" s="667">
        <f>J23</f>
        <v>100</v>
      </c>
      <c r="X23" s="1264"/>
      <c r="Y23" s="3425"/>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1"/>
      <c r="M24" s="2486"/>
      <c r="N24" s="2486"/>
      <c r="O24" s="2486"/>
      <c r="P24" s="3432"/>
      <c r="Q24" s="1262"/>
      <c r="R24" s="666"/>
      <c r="S24" s="667"/>
      <c r="T24" s="666"/>
      <c r="U24" s="667"/>
      <c r="V24" s="666"/>
      <c r="W24" s="667"/>
      <c r="X24" s="1264"/>
      <c r="Y24" s="3425"/>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432"/>
      <c r="Q25" s="1262" t="str">
        <f t="shared" ref="Q25:Q46" si="11">B25</f>
        <v>临街状况</v>
      </c>
      <c r="R25" s="666" t="s">
        <v>14</v>
      </c>
      <c r="S25" s="667">
        <f>F25</f>
        <v>100</v>
      </c>
      <c r="T25" s="666" t="s">
        <v>14</v>
      </c>
      <c r="U25" s="667">
        <f>H25</f>
        <v>100</v>
      </c>
      <c r="V25" s="666" t="s">
        <v>14</v>
      </c>
      <c r="W25" s="667">
        <f>J25</f>
        <v>100</v>
      </c>
      <c r="X25" s="1264"/>
      <c r="Y25" s="3425"/>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432"/>
      <c r="Q26" s="1262" t="str">
        <f t="shared" si="11"/>
        <v>平面位置/可视性</v>
      </c>
      <c r="R26" s="666" t="s">
        <v>14</v>
      </c>
      <c r="S26" s="667">
        <f>F26</f>
        <v>100</v>
      </c>
      <c r="T26" s="666" t="s">
        <v>14</v>
      </c>
      <c r="U26" s="667">
        <f>H26</f>
        <v>100</v>
      </c>
      <c r="V26" s="666" t="s">
        <v>14</v>
      </c>
      <c r="W26" s="667">
        <f>J26</f>
        <v>100</v>
      </c>
      <c r="X26" s="1264"/>
      <c r="Y26" s="3425"/>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7"/>
      <c r="M27" s="2439"/>
      <c r="N27" s="2439"/>
      <c r="O27" s="2439"/>
      <c r="P27" s="3432"/>
      <c r="Q27" s="529" t="str">
        <f t="shared" si="11"/>
        <v>人流量</v>
      </c>
      <c r="R27" s="663" t="s">
        <v>14</v>
      </c>
      <c r="S27" s="664">
        <f>F27</f>
        <v>100</v>
      </c>
      <c r="T27" s="663" t="s">
        <v>14</v>
      </c>
      <c r="U27" s="664">
        <f>H27</f>
        <v>100</v>
      </c>
      <c r="V27" s="663" t="s">
        <v>14</v>
      </c>
      <c r="W27" s="664">
        <f>J27</f>
        <v>100</v>
      </c>
      <c r="X27" s="665"/>
      <c r="Y27" s="3425"/>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43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25"/>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432"/>
      <c r="Q29" s="1262">
        <f t="shared" si="11"/>
        <v>111</v>
      </c>
      <c r="R29" s="666" t="s">
        <v>14</v>
      </c>
      <c r="S29" s="667">
        <f t="shared" si="12"/>
        <v>100</v>
      </c>
      <c r="T29" s="666" t="s">
        <v>14</v>
      </c>
      <c r="U29" s="667">
        <f t="shared" si="13"/>
        <v>100</v>
      </c>
      <c r="V29" s="666" t="s">
        <v>14</v>
      </c>
      <c r="W29" s="667">
        <f t="shared" si="14"/>
        <v>100</v>
      </c>
      <c r="X29" s="1264"/>
      <c r="Y29" s="3425"/>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432"/>
      <c r="Q30" s="1262">
        <f t="shared" si="11"/>
        <v>111</v>
      </c>
      <c r="R30" s="666" t="s">
        <v>14</v>
      </c>
      <c r="S30" s="667">
        <f t="shared" si="12"/>
        <v>100</v>
      </c>
      <c r="T30" s="666" t="s">
        <v>14</v>
      </c>
      <c r="U30" s="667">
        <f t="shared" si="13"/>
        <v>100</v>
      </c>
      <c r="V30" s="666" t="s">
        <v>14</v>
      </c>
      <c r="W30" s="667">
        <f t="shared" si="14"/>
        <v>100</v>
      </c>
      <c r="X30" s="1264"/>
      <c r="Y30" s="3425"/>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432"/>
      <c r="Q31" s="1262">
        <f t="shared" si="11"/>
        <v>111</v>
      </c>
      <c r="R31" s="666" t="s">
        <v>14</v>
      </c>
      <c r="S31" s="667">
        <f t="shared" si="12"/>
        <v>100</v>
      </c>
      <c r="T31" s="666" t="s">
        <v>14</v>
      </c>
      <c r="U31" s="667">
        <f t="shared" si="13"/>
        <v>100</v>
      </c>
      <c r="V31" s="666" t="s">
        <v>14</v>
      </c>
      <c r="W31" s="667">
        <f t="shared" si="14"/>
        <v>100</v>
      </c>
      <c r="X31" s="1264"/>
      <c r="Y31" s="3425"/>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1"/>
      <c r="M32" s="2486"/>
      <c r="N32" s="2486"/>
      <c r="O32" s="2486"/>
      <c r="P32" s="3426" t="s">
        <v>1696</v>
      </c>
      <c r="Q32" s="1262" t="str">
        <f t="shared" si="11"/>
        <v>商业类型</v>
      </c>
      <c r="R32" s="666" t="s">
        <v>14</v>
      </c>
      <c r="S32" s="667">
        <f t="shared" si="12"/>
        <v>100</v>
      </c>
      <c r="T32" s="666" t="s">
        <v>14</v>
      </c>
      <c r="U32" s="667">
        <f t="shared" si="13"/>
        <v>100</v>
      </c>
      <c r="V32" s="666" t="s">
        <v>14</v>
      </c>
      <c r="W32" s="667">
        <f t="shared" si="14"/>
        <v>100</v>
      </c>
      <c r="X32" s="1264"/>
      <c r="Y32" s="3429"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427"/>
      <c r="Q33" s="530" t="str">
        <f t="shared" si="11"/>
        <v>项目建筑规模</v>
      </c>
      <c r="R33" s="668" t="s">
        <v>14</v>
      </c>
      <c r="S33" s="669" t="e">
        <f t="shared" si="12"/>
        <v>#N/A</v>
      </c>
      <c r="T33" s="668" t="s">
        <v>14</v>
      </c>
      <c r="U33" s="669" t="e">
        <f t="shared" si="13"/>
        <v>#N/A</v>
      </c>
      <c r="V33" s="668" t="s">
        <v>14</v>
      </c>
      <c r="W33" s="669" t="e">
        <f t="shared" si="14"/>
        <v>#N/A</v>
      </c>
      <c r="X33" s="670"/>
      <c r="Y33" s="3429"/>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427"/>
      <c r="Q34" s="1262" t="str">
        <f t="shared" si="11"/>
        <v>建筑结构</v>
      </c>
      <c r="R34" s="666" t="s">
        <v>14</v>
      </c>
      <c r="S34" s="667">
        <f t="shared" si="12"/>
        <v>100</v>
      </c>
      <c r="T34" s="666" t="s">
        <v>14</v>
      </c>
      <c r="U34" s="667">
        <f t="shared" si="13"/>
        <v>100</v>
      </c>
      <c r="V34" s="666" t="s">
        <v>14</v>
      </c>
      <c r="W34" s="667">
        <f t="shared" si="14"/>
        <v>100</v>
      </c>
      <c r="X34" s="1264"/>
      <c r="Y34" s="3429"/>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1"/>
      <c r="M35" s="2486"/>
      <c r="N35" s="2486"/>
      <c r="O35" s="2486"/>
      <c r="P35" s="3427"/>
      <c r="Q35" s="1262" t="str">
        <f t="shared" si="11"/>
        <v>公共部分装修</v>
      </c>
      <c r="R35" s="666" t="s">
        <v>14</v>
      </c>
      <c r="S35" s="667">
        <f t="shared" si="12"/>
        <v>100</v>
      </c>
      <c r="T35" s="666" t="s">
        <v>14</v>
      </c>
      <c r="U35" s="667">
        <f t="shared" si="13"/>
        <v>100</v>
      </c>
      <c r="V35" s="666" t="s">
        <v>14</v>
      </c>
      <c r="W35" s="667">
        <f t="shared" si="14"/>
        <v>100</v>
      </c>
      <c r="X35" s="1264"/>
      <c r="Y35" s="3429"/>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427"/>
      <c r="Q36" s="1262" t="str">
        <f t="shared" si="11"/>
        <v>成新度</v>
      </c>
      <c r="R36" s="666" t="s">
        <v>14</v>
      </c>
      <c r="S36" s="667" t="e">
        <f t="shared" si="12"/>
        <v>#N/A</v>
      </c>
      <c r="T36" s="666" t="s">
        <v>14</v>
      </c>
      <c r="U36" s="667" t="e">
        <f t="shared" si="13"/>
        <v>#N/A</v>
      </c>
      <c r="V36" s="666" t="s">
        <v>14</v>
      </c>
      <c r="W36" s="667" t="e">
        <f t="shared" si="14"/>
        <v>#N/A</v>
      </c>
      <c r="X36" s="1264"/>
      <c r="Y36" s="3429"/>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7"/>
      <c r="M37" s="2439"/>
      <c r="N37" s="2439"/>
      <c r="O37" s="2439"/>
      <c r="P37" s="3427"/>
      <c r="Q37" s="529" t="str">
        <f t="shared" si="11"/>
        <v>市政基础设施</v>
      </c>
      <c r="R37" s="663" t="s">
        <v>14</v>
      </c>
      <c r="S37" s="664">
        <f t="shared" si="12"/>
        <v>100</v>
      </c>
      <c r="T37" s="663" t="s">
        <v>14</v>
      </c>
      <c r="U37" s="664">
        <f t="shared" si="13"/>
        <v>100</v>
      </c>
      <c r="V37" s="663" t="s">
        <v>14</v>
      </c>
      <c r="W37" s="664">
        <f t="shared" si="14"/>
        <v>100</v>
      </c>
      <c r="X37" s="665"/>
      <c r="Y37" s="3429"/>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1"/>
      <c r="M38" s="2486"/>
      <c r="N38" s="2486"/>
      <c r="O38" s="2486"/>
      <c r="P38" s="3427" t="s">
        <v>1696</v>
      </c>
      <c r="Q38" s="1262" t="str">
        <f t="shared" si="11"/>
        <v>业态</v>
      </c>
      <c r="R38" s="666" t="s">
        <v>14</v>
      </c>
      <c r="S38" s="667">
        <f t="shared" si="12"/>
        <v>100</v>
      </c>
      <c r="T38" s="666" t="s">
        <v>14</v>
      </c>
      <c r="U38" s="667">
        <f t="shared" si="13"/>
        <v>100</v>
      </c>
      <c r="V38" s="666" t="s">
        <v>14</v>
      </c>
      <c r="W38" s="667">
        <f t="shared" si="14"/>
        <v>100</v>
      </c>
      <c r="X38" s="1264"/>
      <c r="Y38" s="3429"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1"/>
      <c r="M39" s="2486"/>
      <c r="N39" s="2486"/>
      <c r="O39" s="2486"/>
      <c r="P39" s="3427"/>
      <c r="Q39" s="1262" t="str">
        <f t="shared" si="11"/>
        <v>层高</v>
      </c>
      <c r="R39" s="666" t="s">
        <v>14</v>
      </c>
      <c r="S39" s="667">
        <f t="shared" si="12"/>
        <v>100</v>
      </c>
      <c r="T39" s="666" t="s">
        <v>14</v>
      </c>
      <c r="U39" s="667">
        <f t="shared" si="13"/>
        <v>100</v>
      </c>
      <c r="V39" s="666" t="s">
        <v>14</v>
      </c>
      <c r="W39" s="667">
        <f t="shared" si="14"/>
        <v>100</v>
      </c>
      <c r="X39" s="1264"/>
      <c r="Y39" s="3429"/>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427"/>
      <c r="Q40" s="1262" t="str">
        <f t="shared" si="11"/>
        <v>单套建筑面积</v>
      </c>
      <c r="R40" s="666" t="s">
        <v>14</v>
      </c>
      <c r="S40" s="667">
        <f t="shared" si="12"/>
        <v>100</v>
      </c>
      <c r="T40" s="666" t="s">
        <v>14</v>
      </c>
      <c r="U40" s="667">
        <f t="shared" si="13"/>
        <v>100</v>
      </c>
      <c r="V40" s="666" t="s">
        <v>14</v>
      </c>
      <c r="W40" s="667">
        <f t="shared" si="14"/>
        <v>100</v>
      </c>
      <c r="X40" s="1264"/>
      <c r="Y40" s="3429"/>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427"/>
      <c r="Q41" s="530" t="str">
        <f t="shared" si="11"/>
        <v>进深比</v>
      </c>
      <c r="R41" s="668" t="s">
        <v>14</v>
      </c>
      <c r="S41" s="669">
        <f t="shared" si="12"/>
        <v>100</v>
      </c>
      <c r="T41" s="668" t="s">
        <v>14</v>
      </c>
      <c r="U41" s="669">
        <f t="shared" si="13"/>
        <v>100</v>
      </c>
      <c r="V41" s="668" t="s">
        <v>14</v>
      </c>
      <c r="W41" s="669">
        <f t="shared" si="14"/>
        <v>100</v>
      </c>
      <c r="X41" s="670"/>
      <c r="Y41" s="3429"/>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1"/>
      <c r="M42" s="2486"/>
      <c r="N42" s="2486"/>
      <c r="O42" s="2486"/>
      <c r="P42" s="3427"/>
      <c r="Q42" s="1262" t="str">
        <f t="shared" si="11"/>
        <v>内部装修</v>
      </c>
      <c r="R42" s="666" t="s">
        <v>14</v>
      </c>
      <c r="S42" s="667">
        <f t="shared" si="12"/>
        <v>100</v>
      </c>
      <c r="T42" s="666" t="s">
        <v>14</v>
      </c>
      <c r="U42" s="667">
        <f t="shared" si="13"/>
        <v>100</v>
      </c>
      <c r="V42" s="666" t="s">
        <v>14</v>
      </c>
      <c r="W42" s="667">
        <f t="shared" si="14"/>
        <v>100</v>
      </c>
      <c r="X42" s="1264"/>
      <c r="Y42" s="3429"/>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1"/>
      <c r="M43" s="2486"/>
      <c r="N43" s="2486"/>
      <c r="O43" s="2486"/>
      <c r="P43" s="3427"/>
      <c r="Q43" s="1262" t="str">
        <f t="shared" si="11"/>
        <v>内部装修维护情况</v>
      </c>
      <c r="R43" s="666" t="s">
        <v>14</v>
      </c>
      <c r="S43" s="667">
        <f t="shared" si="12"/>
        <v>100</v>
      </c>
      <c r="T43" s="666" t="s">
        <v>14</v>
      </c>
      <c r="U43" s="667">
        <f t="shared" si="13"/>
        <v>100</v>
      </c>
      <c r="V43" s="666" t="s">
        <v>14</v>
      </c>
      <c r="W43" s="667">
        <f t="shared" si="14"/>
        <v>100</v>
      </c>
      <c r="X43" s="1264"/>
      <c r="Y43" s="3429"/>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9"/>
      <c r="N44" s="2439"/>
      <c r="O44" s="2439"/>
      <c r="P44" s="3427"/>
      <c r="Q44" s="529">
        <f t="shared" si="11"/>
        <v>111</v>
      </c>
      <c r="R44" s="663" t="s">
        <v>14</v>
      </c>
      <c r="S44" s="664">
        <f t="shared" si="12"/>
        <v>100</v>
      </c>
      <c r="T44" s="663" t="s">
        <v>14</v>
      </c>
      <c r="U44" s="664">
        <f t="shared" si="13"/>
        <v>100</v>
      </c>
      <c r="V44" s="663" t="s">
        <v>14</v>
      </c>
      <c r="W44" s="664">
        <f t="shared" si="14"/>
        <v>100</v>
      </c>
      <c r="X44" s="665"/>
      <c r="Y44" s="3429"/>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427"/>
      <c r="Q45" s="1262">
        <f t="shared" si="11"/>
        <v>111</v>
      </c>
      <c r="R45" s="666" t="s">
        <v>14</v>
      </c>
      <c r="S45" s="667">
        <f t="shared" si="12"/>
        <v>100</v>
      </c>
      <c r="T45" s="666" t="s">
        <v>14</v>
      </c>
      <c r="U45" s="667">
        <f t="shared" si="13"/>
        <v>100</v>
      </c>
      <c r="V45" s="666" t="s">
        <v>14</v>
      </c>
      <c r="W45" s="667">
        <f t="shared" si="14"/>
        <v>100</v>
      </c>
      <c r="X45" s="1264"/>
      <c r="Y45" s="3429"/>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428"/>
      <c r="Q46" s="1262">
        <f t="shared" si="11"/>
        <v>111</v>
      </c>
      <c r="R46" s="666" t="s">
        <v>14</v>
      </c>
      <c r="S46" s="667">
        <f t="shared" si="12"/>
        <v>100</v>
      </c>
      <c r="T46" s="666" t="s">
        <v>14</v>
      </c>
      <c r="U46" s="667">
        <f t="shared" si="13"/>
        <v>100</v>
      </c>
      <c r="V46" s="666" t="s">
        <v>14</v>
      </c>
      <c r="W46" s="667">
        <f t="shared" si="14"/>
        <v>100</v>
      </c>
      <c r="X46" s="1264"/>
      <c r="Y46" s="3430"/>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3"/>
      <c r="M47" s="2486"/>
      <c r="N47" s="2486"/>
      <c r="O47" s="2486"/>
      <c r="P47" s="3422" t="str">
        <f>A47</f>
        <v>成交单价（元/平方米）</v>
      </c>
      <c r="Q47" s="3422"/>
      <c r="R47" s="3423">
        <f>E47</f>
        <v>0</v>
      </c>
      <c r="S47" s="3423"/>
      <c r="T47" s="3423">
        <f>G47</f>
        <v>0</v>
      </c>
      <c r="U47" s="3423"/>
      <c r="V47" s="3423">
        <f>I47</f>
        <v>0</v>
      </c>
      <c r="W47" s="3423"/>
      <c r="X47" s="384"/>
      <c r="Y47" s="672"/>
      <c r="Z47" s="384"/>
      <c r="AA47" s="384"/>
      <c r="AB47" s="384"/>
      <c r="AC47" s="384"/>
    </row>
    <row r="48" spans="1:29" ht="15" thickBot="1">
      <c r="A48" s="422" t="s">
        <v>1793</v>
      </c>
      <c r="B48" s="423"/>
      <c r="C48" s="1081" t="e">
        <f>R49</f>
        <v>#DIV/0!</v>
      </c>
      <c r="D48" s="2140" t="s">
        <v>2138</v>
      </c>
      <c r="E48" s="1082" t="e">
        <f>R48</f>
        <v>#DIV/0!</v>
      </c>
      <c r="F48" s="2141"/>
      <c r="G48" s="1081" t="e">
        <f>T48</f>
        <v>#DIV/0!</v>
      </c>
      <c r="H48" s="2141"/>
      <c r="I48" s="1082" t="e">
        <f>V48</f>
        <v>#DIV/0!</v>
      </c>
      <c r="J48" s="2141"/>
      <c r="K48" s="2143">
        <f>F48+H48+J48</f>
        <v>0</v>
      </c>
      <c r="L48" s="2493"/>
      <c r="M48" s="2486"/>
      <c r="N48" s="2486"/>
      <c r="O48" s="2486"/>
      <c r="P48" s="3422" t="str">
        <f>A48</f>
        <v>比较价值（元/平方米）</v>
      </c>
      <c r="Q48" s="3422"/>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3"/>
      <c r="M49" s="2486"/>
      <c r="N49" s="2486"/>
      <c r="O49" s="2486"/>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7" t="s">
        <v>1798</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ht="14.4">
      <c r="A58" s="439" t="s">
        <v>1679</v>
      </c>
      <c r="B58" s="440"/>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8"/>
      <c r="Q58" s="2509"/>
      <c r="R58" s="2509"/>
      <c r="S58" s="2509"/>
      <c r="T58" s="2509"/>
      <c r="U58" s="2509"/>
      <c r="V58" s="2509"/>
      <c r="W58" s="2509"/>
      <c r="X58" s="2509"/>
      <c r="Y58" s="2509"/>
      <c r="Z58" s="2509"/>
      <c r="AA58" s="2509"/>
      <c r="AB58" s="2509"/>
      <c r="AC58" s="2509"/>
    </row>
    <row r="59" spans="1:29" s="102" customFormat="1">
      <c r="A59" s="442"/>
      <c r="B59" s="443"/>
      <c r="C59" s="1101">
        <v>100</v>
      </c>
      <c r="D59" s="445"/>
      <c r="E59" s="445"/>
      <c r="F59" s="445"/>
      <c r="G59" s="445"/>
      <c r="H59" s="445"/>
      <c r="I59" s="445"/>
      <c r="J59" s="445"/>
      <c r="K59" s="445"/>
      <c r="L59" s="445"/>
      <c r="M59" s="446"/>
      <c r="N59" s="445"/>
      <c r="O59" s="446"/>
      <c r="P59" s="2510"/>
      <c r="Q59" s="2439"/>
      <c r="R59" s="2439"/>
      <c r="S59" s="2439"/>
      <c r="T59" s="2439"/>
      <c r="U59" s="2439"/>
      <c r="V59" s="2439"/>
      <c r="W59" s="2439"/>
      <c r="X59" s="2439"/>
      <c r="Y59" s="2439"/>
      <c r="Z59" s="2439"/>
      <c r="AA59" s="2439"/>
      <c r="AB59" s="2439"/>
      <c r="AC59" s="2439"/>
    </row>
    <row r="60" spans="1:29" s="102" customFormat="1" ht="15" thickBot="1">
      <c r="A60" s="448" t="s">
        <v>1716</v>
      </c>
      <c r="B60" s="449"/>
      <c r="C60" s="450"/>
      <c r="D60" s="451"/>
      <c r="E60" s="451"/>
      <c r="F60" s="451"/>
      <c r="G60" s="451"/>
      <c r="H60" s="451"/>
      <c r="I60" s="451"/>
      <c r="J60" s="451"/>
      <c r="K60" s="451"/>
      <c r="L60" s="451"/>
      <c r="M60" s="452"/>
      <c r="N60" s="451"/>
      <c r="O60" s="452"/>
      <c r="P60" s="2510"/>
      <c r="Q60" s="2507"/>
      <c r="R60" s="2439"/>
      <c r="S60" s="2439"/>
      <c r="T60" s="2439"/>
      <c r="U60" s="2439"/>
      <c r="V60" s="2439"/>
      <c r="W60" s="2439"/>
      <c r="X60" s="2439"/>
      <c r="Y60" s="2439"/>
      <c r="Z60" s="2439"/>
      <c r="AA60" s="2439"/>
      <c r="AB60" s="2439"/>
      <c r="AC60" s="2439"/>
    </row>
    <row r="61" spans="1:29" s="102" customFormat="1" ht="14.4">
      <c r="A61" s="454" t="s">
        <v>1681</v>
      </c>
      <c r="B61" s="443"/>
      <c r="C61" s="455" t="s">
        <v>1776</v>
      </c>
      <c r="D61" s="31"/>
      <c r="E61" s="31"/>
      <c r="F61" s="31"/>
      <c r="G61" s="31"/>
      <c r="H61" s="31"/>
      <c r="I61" s="31"/>
      <c r="J61" s="31"/>
      <c r="K61" s="31"/>
      <c r="L61" s="456"/>
      <c r="M61" s="457"/>
      <c r="N61" s="2519"/>
      <c r="O61" s="2519"/>
      <c r="P61" s="2511"/>
      <c r="Q61" s="2507"/>
      <c r="R61" s="2439"/>
      <c r="S61" s="2439"/>
      <c r="T61" s="2439"/>
      <c r="U61" s="2439"/>
      <c r="V61" s="2439"/>
      <c r="W61" s="2439"/>
      <c r="X61" s="2439"/>
      <c r="Y61" s="2439"/>
      <c r="Z61" s="2439"/>
      <c r="AA61" s="2439"/>
      <c r="AB61" s="2439"/>
      <c r="AC61" s="2439"/>
    </row>
    <row r="62" spans="1:29" s="102" customFormat="1" ht="14.4" thickBot="1">
      <c r="A62" s="454"/>
      <c r="B62" s="443"/>
      <c r="C62" s="444">
        <v>100</v>
      </c>
      <c r="D62" s="445"/>
      <c r="E62" s="445"/>
      <c r="F62" s="445"/>
      <c r="G62" s="445"/>
      <c r="H62" s="445"/>
      <c r="I62" s="445"/>
      <c r="J62" s="445"/>
      <c r="K62" s="445"/>
      <c r="L62" s="445"/>
      <c r="M62" s="447"/>
      <c r="N62" s="2519"/>
      <c r="O62" s="2519"/>
      <c r="P62" s="2510"/>
      <c r="Q62" s="2507"/>
      <c r="R62" s="2439"/>
      <c r="S62" s="2439"/>
      <c r="T62" s="2439"/>
      <c r="U62" s="2439"/>
      <c r="V62" s="2439"/>
      <c r="W62" s="2439"/>
      <c r="X62" s="2439"/>
      <c r="Y62" s="2439"/>
      <c r="Z62" s="2439"/>
      <c r="AA62" s="2439"/>
      <c r="AB62" s="2439"/>
      <c r="AC62" s="2439"/>
    </row>
    <row r="63" spans="1:29" ht="14.4">
      <c r="A63" s="378" t="s">
        <v>1719</v>
      </c>
      <c r="B63" s="459" t="s">
        <v>1685</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4.4"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9.4" thickTop="1">
      <c r="A65" s="366"/>
      <c r="B65" s="468" t="s">
        <v>1688</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4.4"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4.4"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4.4"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4.4"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4.4"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4.4" thickTop="1">
      <c r="A74" s="483"/>
      <c r="B74" s="476">
        <f>B14</f>
        <v>111</v>
      </c>
      <c r="C74" s="484"/>
      <c r="D74" s="484"/>
      <c r="E74" s="484"/>
      <c r="F74" s="484"/>
      <c r="G74" s="31"/>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4.4"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ht="14.4">
      <c r="A76" s="378" t="s">
        <v>1690</v>
      </c>
      <c r="B76" s="459" t="s">
        <v>1720</v>
      </c>
      <c r="C76" s="503" t="s">
        <v>1721</v>
      </c>
      <c r="D76" s="503" t="s">
        <v>1722</v>
      </c>
      <c r="E76" s="503" t="s">
        <v>1723</v>
      </c>
      <c r="F76" s="503" t="s">
        <v>1724</v>
      </c>
      <c r="G76" s="503" t="s">
        <v>1725</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5" thickTop="1">
      <c r="A78" s="366"/>
      <c r="B78" s="468" t="s">
        <v>1726</v>
      </c>
      <c r="C78" s="508" t="s">
        <v>1721</v>
      </c>
      <c r="D78" s="508" t="s">
        <v>1722</v>
      </c>
      <c r="E78" s="508" t="s">
        <v>1723</v>
      </c>
      <c r="F78" s="508" t="s">
        <v>1724</v>
      </c>
      <c r="G78" s="508" t="s">
        <v>1725</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5" thickTop="1">
      <c r="A80" s="366"/>
      <c r="B80" s="468" t="s">
        <v>1727</v>
      </c>
      <c r="C80" s="508" t="s">
        <v>1721</v>
      </c>
      <c r="D80" s="508" t="s">
        <v>1722</v>
      </c>
      <c r="E80" s="508" t="s">
        <v>1723</v>
      </c>
      <c r="F80" s="508" t="s">
        <v>1724</v>
      </c>
      <c r="G80" s="508" t="s">
        <v>1725</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5" thickTop="1">
      <c r="A82" s="366"/>
      <c r="B82" s="476" t="s">
        <v>1779</v>
      </c>
      <c r="C82" s="580" t="s">
        <v>1799</v>
      </c>
      <c r="D82" s="580" t="s">
        <v>1800</v>
      </c>
      <c r="E82" s="580" t="s">
        <v>1801</v>
      </c>
      <c r="F82" s="580" t="s">
        <v>1802</v>
      </c>
      <c r="G82" s="580" t="s">
        <v>1803</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5" thickTop="1">
      <c r="A84" s="366"/>
      <c r="B84" s="468" t="s">
        <v>1733</v>
      </c>
      <c r="C84" s="508" t="s">
        <v>1721</v>
      </c>
      <c r="D84" s="508" t="s">
        <v>1722</v>
      </c>
      <c r="E84" s="508" t="s">
        <v>1723</v>
      </c>
      <c r="F84" s="508" t="s">
        <v>1724</v>
      </c>
      <c r="G84" s="508" t="s">
        <v>1725</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2" customFormat="1" ht="15" thickTop="1">
      <c r="A86" s="369"/>
      <c r="B86" s="468" t="s">
        <v>1804</v>
      </c>
      <c r="C86" s="484"/>
      <c r="D86" s="484"/>
      <c r="E86" s="484"/>
      <c r="F86" s="484"/>
      <c r="G86" s="484"/>
      <c r="H86" s="484"/>
      <c r="I86" s="484"/>
      <c r="J86" s="484"/>
      <c r="K86" s="484"/>
      <c r="L86" s="509"/>
      <c r="M86" s="510"/>
      <c r="N86" s="2519"/>
      <c r="O86" s="2519"/>
      <c r="P86" s="2512"/>
      <c r="Q86" s="2507"/>
      <c r="R86" s="2439"/>
      <c r="S86" s="2439"/>
      <c r="T86" s="2439"/>
      <c r="U86" s="2439"/>
      <c r="V86" s="2439"/>
      <c r="W86" s="2439"/>
      <c r="X86" s="2439"/>
      <c r="Y86" s="2439"/>
      <c r="Z86" s="2439"/>
      <c r="AA86" s="2439"/>
      <c r="AB86" s="2439"/>
      <c r="AC86" s="2439"/>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69"/>
      <c r="B88" s="468" t="str">
        <f>B26</f>
        <v>平面位置/可视性</v>
      </c>
      <c r="C88" s="484"/>
      <c r="D88" s="484"/>
      <c r="E88" s="484"/>
      <c r="F88" s="1779"/>
      <c r="G88" s="484"/>
      <c r="H88" s="484"/>
      <c r="I88" s="484"/>
      <c r="J88" s="484"/>
      <c r="K88" s="484"/>
      <c r="L88" s="484"/>
      <c r="M88" s="510"/>
      <c r="N88" s="2519"/>
      <c r="O88" s="2519"/>
      <c r="P88" s="2512"/>
      <c r="Q88" s="2507"/>
      <c r="R88" s="2439"/>
      <c r="S88" s="2439"/>
      <c r="T88" s="2439"/>
      <c r="U88" s="2439"/>
      <c r="V88" s="2439"/>
      <c r="W88" s="2439"/>
      <c r="X88" s="2439"/>
      <c r="Y88" s="2439"/>
      <c r="Z88" s="2439"/>
      <c r="AA88" s="2439"/>
      <c r="AB88" s="2439"/>
      <c r="AC88" s="2439"/>
    </row>
    <row r="89" spans="1:29" s="102" customFormat="1" ht="14.4" thickBot="1">
      <c r="A89" s="369"/>
      <c r="B89" s="473"/>
      <c r="C89" s="490"/>
      <c r="D89" s="466"/>
      <c r="E89" s="466"/>
      <c r="F89" s="466"/>
      <c r="G89" s="466"/>
      <c r="H89" s="466"/>
      <c r="I89" s="466"/>
      <c r="J89" s="466"/>
      <c r="K89" s="466"/>
      <c r="L89" s="466"/>
      <c r="M89" s="466"/>
      <c r="N89" s="2521"/>
      <c r="O89" s="2521"/>
      <c r="P89" s="2512"/>
      <c r="Q89" s="2507"/>
      <c r="R89" s="2439"/>
      <c r="S89" s="2439"/>
      <c r="T89" s="2439"/>
      <c r="U89" s="2439"/>
      <c r="V89" s="2439"/>
      <c r="W89" s="2439"/>
      <c r="X89" s="2439"/>
      <c r="Y89" s="2439"/>
      <c r="Z89" s="2439"/>
      <c r="AA89" s="2439"/>
      <c r="AB89" s="2439"/>
      <c r="AC89" s="2439"/>
    </row>
    <row r="90" spans="1:29" s="407" customFormat="1" ht="14.4"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4.4"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4.4"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4.4"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4.4"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4.4"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4.4"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4.4"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ht="14.4">
      <c r="A100" s="378" t="s">
        <v>1694</v>
      </c>
      <c r="B100" s="459" t="s">
        <v>1805</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4.4"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5" thickTop="1">
      <c r="A105" s="408"/>
      <c r="B105" s="468" t="s">
        <v>1738</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8"/>
      <c r="B107" s="468" t="s">
        <v>1740</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5" thickTop="1">
      <c r="A112" s="405"/>
      <c r="B112" s="468" t="s">
        <v>1742</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8"/>
      <c r="B114" s="468" t="s">
        <v>1806</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8"/>
      <c r="B116" s="468" t="s">
        <v>1807</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5" thickTop="1">
      <c r="A118" s="408"/>
      <c r="B118" s="468" t="s">
        <v>1808</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4.4"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5" thickTop="1">
      <c r="A120" s="405"/>
      <c r="B120" s="468" t="s">
        <v>1809</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8"/>
      <c r="B122" s="468" t="s">
        <v>1744</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4.4"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4.4"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4.4"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4.4"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4.4" thickTop="1">
      <c r="A130" s="408"/>
      <c r="B130" s="476">
        <f>B46</f>
        <v>111</v>
      </c>
      <c r="C130" s="484"/>
      <c r="D130" s="484"/>
      <c r="E130" s="484"/>
      <c r="F130" s="484"/>
      <c r="G130" s="516"/>
      <c r="H130" s="516"/>
      <c r="I130" s="516"/>
      <c r="J130" s="516"/>
      <c r="K130" s="31"/>
      <c r="L130" s="456"/>
      <c r="M130" s="519"/>
      <c r="N130" s="2520"/>
      <c r="O130" s="2520"/>
      <c r="P130" s="2512"/>
      <c r="Q130" s="2507"/>
      <c r="R130" s="2486"/>
      <c r="S130" s="2486"/>
      <c r="T130" s="2486"/>
      <c r="U130" s="2486"/>
      <c r="V130" s="2486"/>
      <c r="W130" s="2486"/>
      <c r="X130" s="2486"/>
      <c r="Y130" s="2486"/>
      <c r="Z130" s="2486"/>
      <c r="AA130" s="2486"/>
      <c r="AB130" s="2486"/>
      <c r="AC130" s="2486"/>
    </row>
    <row r="131" spans="1:29" ht="14.4"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2447.34</v>
      </c>
      <c r="E3" s="1804"/>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ht="14.4">
      <c r="A4" s="344" t="s">
        <v>1769</v>
      </c>
      <c r="B4" s="345"/>
      <c r="C4" s="3437" t="s">
        <v>1770</v>
      </c>
      <c r="D4" s="3438"/>
      <c r="E4" s="3439" t="s">
        <v>1771</v>
      </c>
      <c r="F4" s="3440"/>
      <c r="G4" s="3437" t="s">
        <v>1772</v>
      </c>
      <c r="H4" s="3438"/>
      <c r="I4" s="3437" t="s">
        <v>1773</v>
      </c>
      <c r="J4" s="3438"/>
      <c r="K4" s="536" t="s">
        <v>1774</v>
      </c>
      <c r="L4" s="2485"/>
      <c r="M4" s="2486"/>
      <c r="N4" s="2486"/>
      <c r="O4" s="2486"/>
      <c r="P4" s="3470" t="s">
        <v>1775</v>
      </c>
      <c r="Q4" s="3471"/>
      <c r="R4" s="3474" t="s">
        <v>1771</v>
      </c>
      <c r="S4" s="3475"/>
      <c r="T4" s="3474" t="s">
        <v>1772</v>
      </c>
      <c r="U4" s="3475"/>
      <c r="V4" s="3476" t="s">
        <v>1773</v>
      </c>
      <c r="W4" s="3476"/>
      <c r="X4" s="1808"/>
      <c r="Y4" s="3474" t="s">
        <v>1775</v>
      </c>
      <c r="Z4" s="3475"/>
      <c r="AA4" s="3478" t="s">
        <v>1771</v>
      </c>
      <c r="AB4" s="3478" t="s">
        <v>1772</v>
      </c>
      <c r="AC4" s="3467" t="s">
        <v>1773</v>
      </c>
    </row>
    <row r="5" spans="1:29">
      <c r="A5" s="347"/>
      <c r="B5" s="348"/>
      <c r="C5" s="3455" t="s">
        <v>1673</v>
      </c>
      <c r="D5" s="3456"/>
      <c r="E5" s="3462" t="s">
        <v>1674</v>
      </c>
      <c r="F5" s="3463"/>
      <c r="G5" s="3455" t="s">
        <v>1675</v>
      </c>
      <c r="H5" s="3456"/>
      <c r="I5" s="3455" t="s">
        <v>1676</v>
      </c>
      <c r="J5" s="3456"/>
      <c r="K5" s="536"/>
      <c r="L5" s="2485"/>
      <c r="M5" s="2486"/>
      <c r="N5" s="2486"/>
      <c r="O5" s="2486"/>
      <c r="P5" s="3472"/>
      <c r="Q5" s="3444"/>
      <c r="R5" s="3449"/>
      <c r="S5" s="3450"/>
      <c r="T5" s="3449"/>
      <c r="U5" s="3450"/>
      <c r="V5" s="3423"/>
      <c r="W5" s="3423"/>
      <c r="X5" s="1264"/>
      <c r="Y5" s="3449"/>
      <c r="Z5" s="3450"/>
      <c r="AA5" s="3435"/>
      <c r="AB5" s="3435"/>
      <c r="AC5" s="3468"/>
    </row>
    <row r="6" spans="1:29" ht="15" thickBot="1">
      <c r="A6" s="349"/>
      <c r="B6" s="350"/>
      <c r="C6" s="3453" t="s">
        <v>1677</v>
      </c>
      <c r="D6" s="3454"/>
      <c r="E6" s="3460" t="s">
        <v>1677</v>
      </c>
      <c r="F6" s="3461"/>
      <c r="G6" s="3453" t="s">
        <v>1677</v>
      </c>
      <c r="H6" s="3454"/>
      <c r="I6" s="3453" t="s">
        <v>1677</v>
      </c>
      <c r="J6" s="3454"/>
      <c r="K6" s="536" t="s">
        <v>1678</v>
      </c>
      <c r="L6" s="2485"/>
      <c r="M6" s="2486"/>
      <c r="N6" s="2486"/>
      <c r="O6" s="2486"/>
      <c r="P6" s="3473"/>
      <c r="Q6" s="3446"/>
      <c r="R6" s="3449"/>
      <c r="S6" s="3450"/>
      <c r="T6" s="3451"/>
      <c r="U6" s="3452"/>
      <c r="V6" s="3423"/>
      <c r="W6" s="3423"/>
      <c r="X6" s="1264"/>
      <c r="Y6" s="3451"/>
      <c r="Z6" s="3452"/>
      <c r="AA6" s="3436"/>
      <c r="AB6" s="3436"/>
      <c r="AC6" s="3469"/>
    </row>
    <row r="7" spans="1:29" s="102" customFormat="1" ht="15" thickBot="1">
      <c r="A7" s="351" t="s">
        <v>1679</v>
      </c>
      <c r="B7" s="352"/>
      <c r="C7" s="353">
        <f>'数据-取费表'!B2</f>
        <v>45783</v>
      </c>
      <c r="D7" s="354">
        <v>100</v>
      </c>
      <c r="E7" s="355"/>
      <c r="F7" s="356">
        <f>SUMIF(59:59,YEAR(E7)&amp;"-"&amp;MONTH(E7),60:60)</f>
        <v>0</v>
      </c>
      <c r="G7" s="355"/>
      <c r="H7" s="354">
        <f>SUMIF(59:59,YEAR(G7)&amp;"-"&amp;MONTH(G7),60:60)</f>
        <v>0</v>
      </c>
      <c r="I7" s="355"/>
      <c r="J7" s="354">
        <f>SUMIF(59:59,YEAR(I7)&amp;"-"&amp;MONTH(I7),60:60)</f>
        <v>0</v>
      </c>
      <c r="K7" s="38"/>
      <c r="L7" s="2487"/>
      <c r="M7" s="2439"/>
      <c r="N7" s="2439"/>
      <c r="O7" s="2439"/>
      <c r="P7" s="3477" t="s">
        <v>1680</v>
      </c>
      <c r="Q7" s="3459"/>
      <c r="R7" s="663" t="s">
        <v>14</v>
      </c>
      <c r="S7" s="664">
        <f t="shared" ref="S7:S15" si="0">F7</f>
        <v>0</v>
      </c>
      <c r="T7" s="663" t="s">
        <v>14</v>
      </c>
      <c r="U7" s="664">
        <f t="shared" ref="U7:U15" si="1">H7</f>
        <v>0</v>
      </c>
      <c r="V7" s="663" t="s">
        <v>14</v>
      </c>
      <c r="W7" s="664">
        <f t="shared" ref="W7:W15" si="2">J7</f>
        <v>0</v>
      </c>
      <c r="X7" s="665"/>
      <c r="Y7" s="3457" t="s">
        <v>1680</v>
      </c>
      <c r="Z7" s="3458"/>
      <c r="AA7" s="50" t="e">
        <f>D7/F7</f>
        <v>#DIV/0!</v>
      </c>
      <c r="AB7" s="50" t="e">
        <f>D7/H7</f>
        <v>#DIV/0!</v>
      </c>
      <c r="AC7" s="801"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7"/>
      <c r="M8" s="2439"/>
      <c r="N8" s="2439"/>
      <c r="O8" s="2439"/>
      <c r="P8" s="3477" t="s">
        <v>1683</v>
      </c>
      <c r="Q8" s="3458"/>
      <c r="R8" s="663" t="s">
        <v>14</v>
      </c>
      <c r="S8" s="664">
        <f t="shared" si="0"/>
        <v>100</v>
      </c>
      <c r="T8" s="663" t="s">
        <v>14</v>
      </c>
      <c r="U8" s="664">
        <f t="shared" si="1"/>
        <v>100</v>
      </c>
      <c r="V8" s="663" t="s">
        <v>14</v>
      </c>
      <c r="W8" s="664">
        <f t="shared" si="2"/>
        <v>100</v>
      </c>
      <c r="X8" s="665"/>
      <c r="Y8" s="3457" t="s">
        <v>1683</v>
      </c>
      <c r="Z8" s="3458"/>
      <c r="AA8" s="50">
        <f t="shared" ref="AA8:AA47" si="3">D8/F8</f>
        <v>1</v>
      </c>
      <c r="AB8" s="50">
        <f t="shared" ref="AB8:AB47" si="4">D8/H8</f>
        <v>1</v>
      </c>
      <c r="AC8" s="801">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7"/>
      <c r="M9" s="2439"/>
      <c r="N9" s="2439"/>
      <c r="O9" s="2439"/>
      <c r="P9" s="3433" t="s">
        <v>1686</v>
      </c>
      <c r="Q9" s="529" t="str">
        <f t="shared" ref="Q9:Q15" si="6">B9</f>
        <v>用途</v>
      </c>
      <c r="R9" s="663" t="s">
        <v>14</v>
      </c>
      <c r="S9" s="664">
        <f t="shared" si="0"/>
        <v>100</v>
      </c>
      <c r="T9" s="663" t="s">
        <v>14</v>
      </c>
      <c r="U9" s="664">
        <f t="shared" si="1"/>
        <v>100</v>
      </c>
      <c r="V9" s="663" t="s">
        <v>14</v>
      </c>
      <c r="W9" s="664">
        <f t="shared" si="2"/>
        <v>100</v>
      </c>
      <c r="X9" s="665"/>
      <c r="Y9" s="3273" t="s">
        <v>1687</v>
      </c>
      <c r="Z9" s="50" t="str">
        <f t="shared" ref="Z9:Z15" si="7">Q9</f>
        <v>用途</v>
      </c>
      <c r="AA9" s="50">
        <f t="shared" si="3"/>
        <v>1</v>
      </c>
      <c r="AB9" s="50">
        <f t="shared" si="4"/>
        <v>1</v>
      </c>
      <c r="AC9" s="801">
        <f t="shared" si="5"/>
        <v>1</v>
      </c>
    </row>
    <row r="10" spans="1:29" s="365" customFormat="1" ht="28.8">
      <c r="A10" s="362"/>
      <c r="B10" s="363" t="s">
        <v>1688</v>
      </c>
      <c r="C10" s="3131"/>
      <c r="D10" s="118">
        <v>100</v>
      </c>
      <c r="E10" s="3131"/>
      <c r="F10" s="118">
        <f>SUMIF(66:66,E10,67:67)-SUMIF(66:66,C10,67:67)+100</f>
        <v>100</v>
      </c>
      <c r="G10" s="3132"/>
      <c r="H10" s="118">
        <f>SUMIF(66:66,G10,67:67)-SUMIF(66:66,C10,67:67)+100</f>
        <v>100</v>
      </c>
      <c r="I10" s="3131"/>
      <c r="J10" s="118">
        <f>SUMIF(66:66,I10,67:67)-SUMIF(66:66,C10,67:67)+100</f>
        <v>100</v>
      </c>
      <c r="K10" s="38"/>
      <c r="L10" s="2488"/>
      <c r="M10" s="2489"/>
      <c r="N10" s="2489"/>
      <c r="O10" s="2489"/>
      <c r="P10" s="3433"/>
      <c r="Q10" s="529"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433"/>
      <c r="Q11" s="529" t="str">
        <f t="shared" si="6"/>
        <v>容积率</v>
      </c>
      <c r="R11" s="663" t="s">
        <v>14</v>
      </c>
      <c r="S11" s="664">
        <f t="shared" si="0"/>
        <v>100</v>
      </c>
      <c r="T11" s="663" t="s">
        <v>14</v>
      </c>
      <c r="U11" s="664">
        <f t="shared" si="1"/>
        <v>100</v>
      </c>
      <c r="V11" s="663" t="s">
        <v>14</v>
      </c>
      <c r="W11" s="664">
        <f t="shared" si="2"/>
        <v>100</v>
      </c>
      <c r="X11" s="665"/>
      <c r="Y11" s="3273"/>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7"/>
      <c r="M12" s="2439"/>
      <c r="N12" s="2439"/>
      <c r="O12" s="2439"/>
      <c r="P12" s="3433"/>
      <c r="Q12" s="529">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1"/>
      <c r="M13" s="2486"/>
      <c r="N13" s="2486"/>
      <c r="O13" s="2486"/>
      <c r="P13" s="3433"/>
      <c r="Q13" s="529">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1"/>
      <c r="M14" s="2486"/>
      <c r="N14" s="2486"/>
      <c r="O14" s="2486"/>
      <c r="P14" s="3433"/>
      <c r="Q14" s="529">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1"/>
      <c r="M15" s="2486"/>
      <c r="N15" s="2486"/>
      <c r="O15" s="2486"/>
      <c r="P15" s="3431" t="s">
        <v>1691</v>
      </c>
      <c r="Q15" s="1262" t="str">
        <f t="shared" si="6"/>
        <v>办公集聚程度</v>
      </c>
      <c r="R15" s="666" t="s">
        <v>14</v>
      </c>
      <c r="S15" s="667">
        <f t="shared" si="0"/>
        <v>100</v>
      </c>
      <c r="T15" s="666" t="s">
        <v>14</v>
      </c>
      <c r="U15" s="667">
        <f t="shared" si="1"/>
        <v>100</v>
      </c>
      <c r="V15" s="666" t="s">
        <v>14</v>
      </c>
      <c r="W15" s="667">
        <f t="shared" si="2"/>
        <v>100</v>
      </c>
      <c r="X15" s="1264"/>
      <c r="Y15" s="3424"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1"/>
      <c r="M16" s="2486"/>
      <c r="N16" s="2486"/>
      <c r="O16" s="2486"/>
      <c r="P16" s="3432"/>
      <c r="Q16" s="1262"/>
      <c r="R16" s="666"/>
      <c r="S16" s="667"/>
      <c r="T16" s="666"/>
      <c r="U16" s="667"/>
      <c r="V16" s="666"/>
      <c r="W16" s="667"/>
      <c r="X16" s="1264"/>
      <c r="Y16" s="3425"/>
      <c r="Z16" s="1263"/>
      <c r="AA16" s="1263">
        <v>1</v>
      </c>
      <c r="AB16" s="1263">
        <v>1</v>
      </c>
      <c r="AC16" s="1811">
        <v>1</v>
      </c>
    </row>
    <row r="17" spans="1:29" ht="82.8">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1"/>
      <c r="M17" s="2486"/>
      <c r="N17" s="2486"/>
      <c r="O17" s="2486"/>
      <c r="P17" s="3432"/>
      <c r="Q17" s="1262" t="str">
        <f>B17</f>
        <v>交通便捷度</v>
      </c>
      <c r="R17" s="666" t="s">
        <v>14</v>
      </c>
      <c r="S17" s="667">
        <f>F17</f>
        <v>100</v>
      </c>
      <c r="T17" s="666" t="s">
        <v>14</v>
      </c>
      <c r="U17" s="667">
        <f>H17</f>
        <v>100</v>
      </c>
      <c r="V17" s="666" t="s">
        <v>14</v>
      </c>
      <c r="W17" s="667">
        <f>J17</f>
        <v>100</v>
      </c>
      <c r="X17" s="1264"/>
      <c r="Y17" s="3425"/>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1"/>
      <c r="M18" s="2486"/>
      <c r="N18" s="2486"/>
      <c r="O18" s="2486"/>
      <c r="P18" s="3432"/>
      <c r="Q18" s="1262"/>
      <c r="R18" s="666"/>
      <c r="S18" s="667"/>
      <c r="T18" s="666"/>
      <c r="U18" s="667"/>
      <c r="V18" s="666"/>
      <c r="W18" s="667"/>
      <c r="X18" s="1264"/>
      <c r="Y18" s="3425"/>
      <c r="Z18" s="1263"/>
      <c r="AA18" s="1263">
        <v>1</v>
      </c>
      <c r="AB18" s="1263">
        <v>1</v>
      </c>
      <c r="AC18" s="1811">
        <v>1</v>
      </c>
    </row>
    <row r="19" spans="1:29" ht="41.4">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1"/>
      <c r="M19" s="2486"/>
      <c r="N19" s="2486"/>
      <c r="O19" s="2486"/>
      <c r="P19" s="3432"/>
      <c r="Q19" s="1262" t="str">
        <f>B19</f>
        <v>公共配套设施</v>
      </c>
      <c r="R19" s="666" t="s">
        <v>14</v>
      </c>
      <c r="S19" s="667">
        <f>F19</f>
        <v>100</v>
      </c>
      <c r="T19" s="666" t="s">
        <v>14</v>
      </c>
      <c r="U19" s="667">
        <f>H19</f>
        <v>100</v>
      </c>
      <c r="V19" s="666" t="s">
        <v>14</v>
      </c>
      <c r="W19" s="667">
        <f>J19</f>
        <v>100</v>
      </c>
      <c r="X19" s="1264"/>
      <c r="Y19" s="3425"/>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1"/>
      <c r="M20" s="2486"/>
      <c r="N20" s="2486"/>
      <c r="O20" s="2486"/>
      <c r="P20" s="3432"/>
      <c r="Q20" s="1262"/>
      <c r="R20" s="666"/>
      <c r="S20" s="667"/>
      <c r="T20" s="666"/>
      <c r="U20" s="667"/>
      <c r="V20" s="666"/>
      <c r="W20" s="667"/>
      <c r="X20" s="1264"/>
      <c r="Y20" s="3425"/>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1"/>
      <c r="M21" s="2486"/>
      <c r="N21" s="2486"/>
      <c r="O21" s="2486"/>
      <c r="P21" s="3432"/>
      <c r="Q21" s="1262" t="str">
        <f>B21</f>
        <v>基础设施水平</v>
      </c>
      <c r="R21" s="666" t="s">
        <v>14</v>
      </c>
      <c r="S21" s="667">
        <f>F21</f>
        <v>100</v>
      </c>
      <c r="T21" s="666" t="s">
        <v>14</v>
      </c>
      <c r="U21" s="667">
        <f>H21</f>
        <v>100</v>
      </c>
      <c r="V21" s="666" t="s">
        <v>14</v>
      </c>
      <c r="W21" s="667">
        <f>J21</f>
        <v>100</v>
      </c>
      <c r="X21" s="1264"/>
      <c r="Y21" s="3425"/>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1"/>
      <c r="M22" s="2486"/>
      <c r="N22" s="2486"/>
      <c r="O22" s="2486"/>
      <c r="P22" s="3432"/>
      <c r="Q22" s="1262"/>
      <c r="R22" s="666"/>
      <c r="S22" s="667"/>
      <c r="T22" s="666"/>
      <c r="U22" s="667"/>
      <c r="V22" s="666"/>
      <c r="W22" s="667"/>
      <c r="X22" s="1264"/>
      <c r="Y22" s="3425"/>
      <c r="Z22" s="1263"/>
      <c r="AA22" s="1263">
        <v>1</v>
      </c>
      <c r="AB22" s="1263">
        <v>1</v>
      </c>
      <c r="AC22" s="1811">
        <v>1</v>
      </c>
    </row>
    <row r="23" spans="1:29" ht="55.2">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1"/>
      <c r="M23" s="2486"/>
      <c r="N23" s="2486"/>
      <c r="O23" s="2486"/>
      <c r="P23" s="3432"/>
      <c r="Q23" s="1262" t="str">
        <f>B23</f>
        <v>环境质量</v>
      </c>
      <c r="R23" s="666" t="s">
        <v>14</v>
      </c>
      <c r="S23" s="667">
        <f>F23</f>
        <v>100</v>
      </c>
      <c r="T23" s="666" t="s">
        <v>14</v>
      </c>
      <c r="U23" s="667">
        <f>H23</f>
        <v>100</v>
      </c>
      <c r="V23" s="666" t="s">
        <v>14</v>
      </c>
      <c r="W23" s="667">
        <f>J23</f>
        <v>100</v>
      </c>
      <c r="X23" s="1264"/>
      <c r="Y23" s="3425"/>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1"/>
      <c r="M24" s="2486"/>
      <c r="N24" s="2486"/>
      <c r="O24" s="2486"/>
      <c r="P24" s="3432"/>
      <c r="Q24" s="1262"/>
      <c r="R24" s="666"/>
      <c r="S24" s="667"/>
      <c r="T24" s="666"/>
      <c r="U24" s="667"/>
      <c r="V24" s="666"/>
      <c r="W24" s="667"/>
      <c r="X24" s="1264"/>
      <c r="Y24" s="3425"/>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1"/>
      <c r="M25" s="2486"/>
      <c r="N25" s="2486"/>
      <c r="O25" s="2486"/>
      <c r="P25" s="3432"/>
      <c r="Q25" s="1262" t="str">
        <f>B25</f>
        <v>毗邻道路的类型与等级</v>
      </c>
      <c r="R25" s="666" t="s">
        <v>14</v>
      </c>
      <c r="S25" s="667">
        <f>F25</f>
        <v>100</v>
      </c>
      <c r="T25" s="666" t="s">
        <v>14</v>
      </c>
      <c r="U25" s="667">
        <f>H25</f>
        <v>100</v>
      </c>
      <c r="V25" s="666" t="s">
        <v>14</v>
      </c>
      <c r="W25" s="667">
        <f>J25</f>
        <v>100</v>
      </c>
      <c r="X25" s="1264"/>
      <c r="Y25" s="3425"/>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1"/>
      <c r="M26" s="2486"/>
      <c r="N26" s="2486"/>
      <c r="O26" s="2486"/>
      <c r="P26" s="3432"/>
      <c r="Q26" s="1262"/>
      <c r="R26" s="666"/>
      <c r="S26" s="667"/>
      <c r="T26" s="666"/>
      <c r="U26" s="667"/>
      <c r="V26" s="666"/>
      <c r="W26" s="667"/>
      <c r="X26" s="1264"/>
      <c r="Y26" s="3425"/>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432"/>
      <c r="Q27" s="1262" t="str">
        <f t="shared" ref="Q27:Q47" si="11">B27</f>
        <v>楼层</v>
      </c>
      <c r="R27" s="666" t="s">
        <v>14</v>
      </c>
      <c r="S27" s="667">
        <f>F27</f>
        <v>100</v>
      </c>
      <c r="T27" s="666" t="s">
        <v>14</v>
      </c>
      <c r="U27" s="667">
        <f>H27</f>
        <v>100</v>
      </c>
      <c r="V27" s="666" t="s">
        <v>14</v>
      </c>
      <c r="W27" s="667">
        <f>J27</f>
        <v>100</v>
      </c>
      <c r="X27" s="1264"/>
      <c r="Y27" s="3425"/>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7"/>
      <c r="M28" s="2439"/>
      <c r="N28" s="2439"/>
      <c r="O28" s="2439"/>
      <c r="P28" s="3432"/>
      <c r="Q28" s="529" t="str">
        <f t="shared" si="11"/>
        <v>朝向</v>
      </c>
      <c r="R28" s="663" t="s">
        <v>14</v>
      </c>
      <c r="S28" s="664">
        <f>F28</f>
        <v>100</v>
      </c>
      <c r="T28" s="663" t="s">
        <v>14</v>
      </c>
      <c r="U28" s="664">
        <f>H28</f>
        <v>100</v>
      </c>
      <c r="V28" s="663" t="s">
        <v>14</v>
      </c>
      <c r="W28" s="664">
        <f>J28</f>
        <v>100</v>
      </c>
      <c r="X28" s="665"/>
      <c r="Y28" s="3425"/>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1"/>
      <c r="M29" s="2486"/>
      <c r="N29" s="2486"/>
      <c r="O29" s="2486"/>
      <c r="P29" s="3432"/>
      <c r="Q29" s="1262">
        <f t="shared" si="11"/>
        <v>111</v>
      </c>
      <c r="R29" s="666" t="s">
        <v>14</v>
      </c>
      <c r="S29" s="667">
        <f t="shared" ref="S29:S47" si="12">F29</f>
        <v>100</v>
      </c>
      <c r="T29" s="666" t="s">
        <v>14</v>
      </c>
      <c r="U29" s="667">
        <f t="shared" ref="U29:U47" si="13">H29</f>
        <v>100</v>
      </c>
      <c r="V29" s="666" t="s">
        <v>14</v>
      </c>
      <c r="W29" s="667">
        <f t="shared" ref="W29:W47" si="14">J29</f>
        <v>100</v>
      </c>
      <c r="X29" s="1264"/>
      <c r="Y29" s="3425"/>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1"/>
      <c r="M30" s="2486"/>
      <c r="N30" s="2486"/>
      <c r="O30" s="2486"/>
      <c r="P30" s="3432"/>
      <c r="Q30" s="1262">
        <f t="shared" si="11"/>
        <v>111</v>
      </c>
      <c r="R30" s="666" t="s">
        <v>14</v>
      </c>
      <c r="S30" s="667">
        <f t="shared" si="12"/>
        <v>100</v>
      </c>
      <c r="T30" s="666" t="s">
        <v>14</v>
      </c>
      <c r="U30" s="667">
        <f t="shared" si="13"/>
        <v>100</v>
      </c>
      <c r="V30" s="666" t="s">
        <v>14</v>
      </c>
      <c r="W30" s="667">
        <f t="shared" si="14"/>
        <v>100</v>
      </c>
      <c r="X30" s="1264"/>
      <c r="Y30" s="3425"/>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1"/>
      <c r="M31" s="2486"/>
      <c r="N31" s="2486"/>
      <c r="O31" s="2486"/>
      <c r="P31" s="3432"/>
      <c r="Q31" s="1262">
        <f t="shared" si="11"/>
        <v>111</v>
      </c>
      <c r="R31" s="666" t="s">
        <v>14</v>
      </c>
      <c r="S31" s="667">
        <f t="shared" si="12"/>
        <v>100</v>
      </c>
      <c r="T31" s="666" t="s">
        <v>14</v>
      </c>
      <c r="U31" s="667">
        <f t="shared" si="13"/>
        <v>100</v>
      </c>
      <c r="V31" s="666" t="s">
        <v>14</v>
      </c>
      <c r="W31" s="667">
        <f t="shared" si="14"/>
        <v>100</v>
      </c>
      <c r="X31" s="1264"/>
      <c r="Y31" s="3425"/>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1"/>
      <c r="M32" s="2486"/>
      <c r="N32" s="2486"/>
      <c r="O32" s="2486"/>
      <c r="P32" s="3432"/>
      <c r="Q32" s="1262">
        <f t="shared" si="11"/>
        <v>111</v>
      </c>
      <c r="R32" s="666" t="s">
        <v>14</v>
      </c>
      <c r="S32" s="667">
        <f t="shared" si="12"/>
        <v>100</v>
      </c>
      <c r="T32" s="666" t="s">
        <v>14</v>
      </c>
      <c r="U32" s="667">
        <f t="shared" si="13"/>
        <v>100</v>
      </c>
      <c r="V32" s="666" t="s">
        <v>14</v>
      </c>
      <c r="W32" s="667">
        <f t="shared" si="14"/>
        <v>100</v>
      </c>
      <c r="X32" s="1264"/>
      <c r="Y32" s="3425"/>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1"/>
      <c r="M33" s="2486"/>
      <c r="N33" s="2486"/>
      <c r="O33" s="2486"/>
      <c r="P33" s="3426" t="s">
        <v>1696</v>
      </c>
      <c r="Q33" s="1262" t="str">
        <f t="shared" si="11"/>
        <v>建筑类型</v>
      </c>
      <c r="R33" s="666" t="s">
        <v>14</v>
      </c>
      <c r="S33" s="667">
        <f t="shared" si="12"/>
        <v>100</v>
      </c>
      <c r="T33" s="666" t="s">
        <v>14</v>
      </c>
      <c r="U33" s="667">
        <f t="shared" si="13"/>
        <v>100</v>
      </c>
      <c r="V33" s="666" t="s">
        <v>14</v>
      </c>
      <c r="W33" s="667">
        <f t="shared" si="14"/>
        <v>100</v>
      </c>
      <c r="X33" s="1264"/>
      <c r="Y33" s="3429"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0"/>
      <c r="M34" s="2492"/>
      <c r="N34" s="2492"/>
      <c r="O34" s="2492"/>
      <c r="P34" s="3427"/>
      <c r="Q34" s="530" t="str">
        <f t="shared" si="11"/>
        <v>项目建筑规模</v>
      </c>
      <c r="R34" s="668" t="s">
        <v>14</v>
      </c>
      <c r="S34" s="669" t="e">
        <f t="shared" si="12"/>
        <v>#N/A</v>
      </c>
      <c r="T34" s="668" t="s">
        <v>14</v>
      </c>
      <c r="U34" s="669" t="e">
        <f t="shared" si="13"/>
        <v>#N/A</v>
      </c>
      <c r="V34" s="668" t="s">
        <v>14</v>
      </c>
      <c r="W34" s="669" t="e">
        <f t="shared" si="14"/>
        <v>#N/A</v>
      </c>
      <c r="X34" s="670"/>
      <c r="Y34" s="3429"/>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1"/>
      <c r="M35" s="2486"/>
      <c r="N35" s="2486"/>
      <c r="O35" s="2486"/>
      <c r="P35" s="3427"/>
      <c r="Q35" s="1262" t="str">
        <f t="shared" si="11"/>
        <v>建筑结构</v>
      </c>
      <c r="R35" s="666" t="s">
        <v>14</v>
      </c>
      <c r="S35" s="667">
        <f t="shared" si="12"/>
        <v>100</v>
      </c>
      <c r="T35" s="666" t="s">
        <v>14</v>
      </c>
      <c r="U35" s="667">
        <f t="shared" si="13"/>
        <v>100</v>
      </c>
      <c r="V35" s="666" t="s">
        <v>14</v>
      </c>
      <c r="W35" s="667">
        <f t="shared" si="14"/>
        <v>100</v>
      </c>
      <c r="X35" s="1264"/>
      <c r="Y35" s="3429"/>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1"/>
      <c r="M36" s="2486"/>
      <c r="N36" s="2486"/>
      <c r="O36" s="2486"/>
      <c r="P36" s="3427"/>
      <c r="Q36" s="1262" t="str">
        <f t="shared" si="11"/>
        <v>公共部分装修</v>
      </c>
      <c r="R36" s="666" t="s">
        <v>14</v>
      </c>
      <c r="S36" s="667">
        <f t="shared" si="12"/>
        <v>100</v>
      </c>
      <c r="T36" s="666" t="s">
        <v>14</v>
      </c>
      <c r="U36" s="667">
        <f t="shared" si="13"/>
        <v>100</v>
      </c>
      <c r="V36" s="666" t="s">
        <v>14</v>
      </c>
      <c r="W36" s="667">
        <f t="shared" si="14"/>
        <v>100</v>
      </c>
      <c r="X36" s="1264"/>
      <c r="Y36" s="3429"/>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1"/>
      <c r="M37" s="2486"/>
      <c r="N37" s="2486"/>
      <c r="O37" s="2486"/>
      <c r="P37" s="3427"/>
      <c r="Q37" s="1262" t="str">
        <f t="shared" si="11"/>
        <v>成新度</v>
      </c>
      <c r="R37" s="666" t="s">
        <v>14</v>
      </c>
      <c r="S37" s="667" t="e">
        <f t="shared" si="12"/>
        <v>#N/A</v>
      </c>
      <c r="T37" s="666" t="s">
        <v>14</v>
      </c>
      <c r="U37" s="667" t="e">
        <f t="shared" si="13"/>
        <v>#N/A</v>
      </c>
      <c r="V37" s="666" t="s">
        <v>14</v>
      </c>
      <c r="W37" s="667" t="e">
        <f t="shared" si="14"/>
        <v>#N/A</v>
      </c>
      <c r="X37" s="1264"/>
      <c r="Y37" s="3429"/>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9"/>
      <c r="N38" s="2439"/>
      <c r="O38" s="2439"/>
      <c r="P38" s="3427"/>
      <c r="Q38" s="529" t="str">
        <f t="shared" si="11"/>
        <v>写字楼等级</v>
      </c>
      <c r="R38" s="663" t="s">
        <v>14</v>
      </c>
      <c r="S38" s="664">
        <f t="shared" si="12"/>
        <v>100</v>
      </c>
      <c r="T38" s="663" t="s">
        <v>14</v>
      </c>
      <c r="U38" s="664">
        <f t="shared" si="13"/>
        <v>100</v>
      </c>
      <c r="V38" s="663" t="s">
        <v>14</v>
      </c>
      <c r="W38" s="664">
        <f t="shared" si="14"/>
        <v>100</v>
      </c>
      <c r="X38" s="665"/>
      <c r="Y38" s="3429"/>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1"/>
      <c r="M39" s="2486"/>
      <c r="N39" s="2486"/>
      <c r="O39" s="2486"/>
      <c r="P39" s="3427" t="s">
        <v>1696</v>
      </c>
      <c r="Q39" s="1262" t="str">
        <f t="shared" si="11"/>
        <v>物业管理</v>
      </c>
      <c r="R39" s="666" t="s">
        <v>14</v>
      </c>
      <c r="S39" s="667">
        <f t="shared" si="12"/>
        <v>100</v>
      </c>
      <c r="T39" s="666" t="s">
        <v>14</v>
      </c>
      <c r="U39" s="667">
        <f t="shared" si="13"/>
        <v>100</v>
      </c>
      <c r="V39" s="666" t="s">
        <v>14</v>
      </c>
      <c r="W39" s="667">
        <f t="shared" si="14"/>
        <v>100</v>
      </c>
      <c r="X39" s="1264"/>
      <c r="Y39" s="3429"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1"/>
      <c r="M40" s="2486"/>
      <c r="N40" s="2486"/>
      <c r="O40" s="2486"/>
      <c r="P40" s="3427"/>
      <c r="Q40" s="1262" t="str">
        <f t="shared" si="11"/>
        <v>市政基础设施</v>
      </c>
      <c r="R40" s="666" t="s">
        <v>14</v>
      </c>
      <c r="S40" s="667">
        <f t="shared" si="12"/>
        <v>100</v>
      </c>
      <c r="T40" s="666" t="s">
        <v>14</v>
      </c>
      <c r="U40" s="667">
        <f t="shared" si="13"/>
        <v>100</v>
      </c>
      <c r="V40" s="666" t="s">
        <v>14</v>
      </c>
      <c r="W40" s="667">
        <f t="shared" si="14"/>
        <v>100</v>
      </c>
      <c r="X40" s="1264"/>
      <c r="Y40" s="3429"/>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427"/>
      <c r="Q41" s="1262" t="str">
        <f t="shared" si="11"/>
        <v>层高</v>
      </c>
      <c r="R41" s="666" t="s">
        <v>14</v>
      </c>
      <c r="S41" s="667">
        <f t="shared" si="12"/>
        <v>100</v>
      </c>
      <c r="T41" s="666" t="s">
        <v>14</v>
      </c>
      <c r="U41" s="667">
        <f t="shared" si="13"/>
        <v>100</v>
      </c>
      <c r="V41" s="666" t="s">
        <v>14</v>
      </c>
      <c r="W41" s="667">
        <f t="shared" si="14"/>
        <v>100</v>
      </c>
      <c r="X41" s="1264"/>
      <c r="Y41" s="3429"/>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427"/>
      <c r="Q42" s="530" t="str">
        <f t="shared" si="11"/>
        <v>单套建筑面积</v>
      </c>
      <c r="R42" s="668" t="s">
        <v>14</v>
      </c>
      <c r="S42" s="669">
        <f t="shared" si="12"/>
        <v>100</v>
      </c>
      <c r="T42" s="668" t="s">
        <v>14</v>
      </c>
      <c r="U42" s="669">
        <f t="shared" si="13"/>
        <v>100</v>
      </c>
      <c r="V42" s="668" t="s">
        <v>14</v>
      </c>
      <c r="W42" s="669">
        <f t="shared" si="14"/>
        <v>100</v>
      </c>
      <c r="X42" s="670"/>
      <c r="Y42" s="3429"/>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1"/>
      <c r="M43" s="2486"/>
      <c r="N43" s="2486"/>
      <c r="O43" s="2486"/>
      <c r="P43" s="3427"/>
      <c r="Q43" s="1262" t="str">
        <f t="shared" si="11"/>
        <v>内部装修</v>
      </c>
      <c r="R43" s="666" t="s">
        <v>14</v>
      </c>
      <c r="S43" s="667">
        <f t="shared" si="12"/>
        <v>100</v>
      </c>
      <c r="T43" s="666" t="s">
        <v>14</v>
      </c>
      <c r="U43" s="667">
        <f t="shared" si="13"/>
        <v>100</v>
      </c>
      <c r="V43" s="666" t="s">
        <v>14</v>
      </c>
      <c r="W43" s="667">
        <f t="shared" si="14"/>
        <v>100</v>
      </c>
      <c r="X43" s="1264"/>
      <c r="Y43" s="3429"/>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1"/>
      <c r="M44" s="2486"/>
      <c r="N44" s="2486"/>
      <c r="O44" s="2486"/>
      <c r="P44" s="3427"/>
      <c r="Q44" s="1262" t="str">
        <f t="shared" si="11"/>
        <v>内部装修维护情况</v>
      </c>
      <c r="R44" s="666" t="s">
        <v>14</v>
      </c>
      <c r="S44" s="667">
        <f t="shared" si="12"/>
        <v>100</v>
      </c>
      <c r="T44" s="666" t="s">
        <v>14</v>
      </c>
      <c r="U44" s="667">
        <f t="shared" si="13"/>
        <v>100</v>
      </c>
      <c r="V44" s="666" t="s">
        <v>14</v>
      </c>
      <c r="W44" s="667">
        <f t="shared" si="14"/>
        <v>100</v>
      </c>
      <c r="X44" s="1264"/>
      <c r="Y44" s="3429"/>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7"/>
      <c r="M45" s="2439"/>
      <c r="N45" s="2439"/>
      <c r="O45" s="2439"/>
      <c r="P45" s="3427"/>
      <c r="Q45" s="529">
        <f t="shared" si="11"/>
        <v>111</v>
      </c>
      <c r="R45" s="663" t="s">
        <v>14</v>
      </c>
      <c r="S45" s="664">
        <f t="shared" si="12"/>
        <v>100</v>
      </c>
      <c r="T45" s="663" t="s">
        <v>14</v>
      </c>
      <c r="U45" s="664">
        <f t="shared" si="13"/>
        <v>100</v>
      </c>
      <c r="V45" s="663" t="s">
        <v>14</v>
      </c>
      <c r="W45" s="664">
        <f t="shared" si="14"/>
        <v>100</v>
      </c>
      <c r="X45" s="665"/>
      <c r="Y45" s="3429"/>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1"/>
      <c r="M46" s="2486"/>
      <c r="N46" s="2486"/>
      <c r="O46" s="2486"/>
      <c r="P46" s="3427"/>
      <c r="Q46" s="1262">
        <f t="shared" si="11"/>
        <v>111</v>
      </c>
      <c r="R46" s="666" t="s">
        <v>14</v>
      </c>
      <c r="S46" s="667">
        <f t="shared" si="12"/>
        <v>100</v>
      </c>
      <c r="T46" s="666" t="s">
        <v>14</v>
      </c>
      <c r="U46" s="667">
        <f t="shared" si="13"/>
        <v>100</v>
      </c>
      <c r="V46" s="666" t="s">
        <v>14</v>
      </c>
      <c r="W46" s="667">
        <f t="shared" si="14"/>
        <v>100</v>
      </c>
      <c r="X46" s="1264"/>
      <c r="Y46" s="3429"/>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428"/>
      <c r="Q47" s="1262">
        <f t="shared" si="11"/>
        <v>111</v>
      </c>
      <c r="R47" s="666" t="s">
        <v>14</v>
      </c>
      <c r="S47" s="667">
        <f t="shared" si="12"/>
        <v>100</v>
      </c>
      <c r="T47" s="666" t="s">
        <v>14</v>
      </c>
      <c r="U47" s="667">
        <f t="shared" si="13"/>
        <v>100</v>
      </c>
      <c r="V47" s="666" t="s">
        <v>14</v>
      </c>
      <c r="W47" s="667">
        <f t="shared" si="14"/>
        <v>100</v>
      </c>
      <c r="X47" s="1264"/>
      <c r="Y47" s="3430"/>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3"/>
      <c r="M48" s="2486"/>
      <c r="N48" s="2486"/>
      <c r="O48" s="2486"/>
      <c r="P48" s="3433" t="str">
        <f>A48</f>
        <v>成交单价（元/平方米）</v>
      </c>
      <c r="Q48" s="3422"/>
      <c r="R48" s="3423">
        <f>E48</f>
        <v>0</v>
      </c>
      <c r="S48" s="3423"/>
      <c r="T48" s="3423">
        <f>G48</f>
        <v>0</v>
      </c>
      <c r="U48" s="3423"/>
      <c r="V48" s="3423">
        <f>I48</f>
        <v>0</v>
      </c>
      <c r="W48" s="3423"/>
      <c r="X48" s="384"/>
      <c r="Y48" s="672"/>
      <c r="Z48" s="384"/>
      <c r="AA48" s="384"/>
      <c r="AB48" s="384"/>
      <c r="AC48" s="554"/>
    </row>
    <row r="49" spans="1:29" ht="15" thickBot="1">
      <c r="A49" s="422" t="s">
        <v>1793</v>
      </c>
      <c r="B49" s="423"/>
      <c r="C49" s="1081" t="e">
        <f>R50</f>
        <v>#DIV/0!</v>
      </c>
      <c r="D49" s="2140" t="s">
        <v>2138</v>
      </c>
      <c r="E49" s="1082" t="e">
        <f>R49</f>
        <v>#DIV/0!</v>
      </c>
      <c r="F49" s="2141"/>
      <c r="G49" s="1081" t="e">
        <f>T49</f>
        <v>#DIV/0!</v>
      </c>
      <c r="H49" s="2141"/>
      <c r="I49" s="1082" t="e">
        <f>V49</f>
        <v>#DIV/0!</v>
      </c>
      <c r="J49" s="2141"/>
      <c r="K49" s="2143">
        <f>F49+H49+J49</f>
        <v>0</v>
      </c>
      <c r="L49" s="2493"/>
      <c r="M49" s="2486"/>
      <c r="N49" s="2486"/>
      <c r="O49" s="2486"/>
      <c r="P49" s="3433" t="str">
        <f>A49</f>
        <v>比较价值（元/平方米）</v>
      </c>
      <c r="Q49" s="3422"/>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3"/>
      <c r="M50" s="2486"/>
      <c r="N50" s="2486"/>
      <c r="O50" s="2486"/>
      <c r="P50" s="3464" t="str">
        <f>A50</f>
        <v>估价对象XX用房的比较价值（楼面单价，元/平方米）</v>
      </c>
      <c r="Q50" s="3465"/>
      <c r="R50" s="3466" t="e">
        <f>IF(F1="售价",ROUND(IF(D49="简单平均",AVERAGE(R49:V49),R49*F49+T49*H49+V49*J49),0),ROUND(IF(D49="简单平均",AVERAGE(R49:V49),R49*F49+T49*H49+V49*J49),1))</f>
        <v>#DIV/0!</v>
      </c>
      <c r="S50" s="3466"/>
      <c r="T50" s="3466"/>
      <c r="U50" s="3466"/>
      <c r="V50" s="3466"/>
      <c r="W50" s="3466"/>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6" customFormat="1" ht="13.5" customHeight="1">
      <c r="A55" s="2496"/>
      <c r="B55" s="2496"/>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7" t="s">
        <v>1798</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1" customFormat="1" ht="14.4">
      <c r="A59" s="439" t="s">
        <v>1679</v>
      </c>
      <c r="B59" s="440"/>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6"/>
      <c r="Q59" s="2509"/>
      <c r="R59" s="2509"/>
      <c r="S59" s="2509"/>
      <c r="T59" s="2509"/>
      <c r="U59" s="2509"/>
      <c r="V59" s="2509"/>
      <c r="W59" s="2509"/>
      <c r="X59" s="2509"/>
      <c r="Y59" s="2509"/>
      <c r="Z59" s="2509"/>
      <c r="AA59" s="2509"/>
      <c r="AB59" s="2509"/>
      <c r="AC59" s="2509"/>
    </row>
    <row r="60" spans="1:29" s="102" customFormat="1">
      <c r="A60" s="442"/>
      <c r="B60" s="443"/>
      <c r="C60" s="1101">
        <v>100</v>
      </c>
      <c r="D60" s="445"/>
      <c r="E60" s="445"/>
      <c r="F60" s="445"/>
      <c r="G60" s="445"/>
      <c r="H60" s="445"/>
      <c r="I60" s="445"/>
      <c r="J60" s="445"/>
      <c r="K60" s="445"/>
      <c r="L60" s="445"/>
      <c r="M60" s="446"/>
      <c r="N60" s="445"/>
      <c r="O60" s="446"/>
      <c r="P60" s="2527"/>
      <c r="Q60" s="2439"/>
      <c r="R60" s="2439"/>
      <c r="S60" s="2439"/>
      <c r="T60" s="2439"/>
      <c r="U60" s="2439"/>
      <c r="V60" s="2439"/>
      <c r="W60" s="2439"/>
      <c r="X60" s="2439"/>
      <c r="Y60" s="2439"/>
      <c r="Z60" s="2439"/>
      <c r="AA60" s="2439"/>
      <c r="AB60" s="2439"/>
      <c r="AC60" s="2439"/>
    </row>
    <row r="61" spans="1:29" s="102" customFormat="1" ht="15" thickBot="1">
      <c r="A61" s="448" t="s">
        <v>1716</v>
      </c>
      <c r="B61" s="449"/>
      <c r="C61" s="450"/>
      <c r="D61" s="451"/>
      <c r="E61" s="451"/>
      <c r="F61" s="451"/>
      <c r="G61" s="451"/>
      <c r="H61" s="451"/>
      <c r="I61" s="451"/>
      <c r="J61" s="451"/>
      <c r="K61" s="451"/>
      <c r="L61" s="451"/>
      <c r="M61" s="452"/>
      <c r="N61" s="451"/>
      <c r="O61" s="452"/>
      <c r="P61" s="2527"/>
      <c r="Q61" s="2507"/>
      <c r="R61" s="2439"/>
      <c r="S61" s="2439"/>
      <c r="T61" s="2439"/>
      <c r="U61" s="2439"/>
      <c r="V61" s="2439"/>
      <c r="W61" s="2439"/>
      <c r="X61" s="2439"/>
      <c r="Y61" s="2439"/>
      <c r="Z61" s="2439"/>
      <c r="AA61" s="2439"/>
      <c r="AB61" s="2439"/>
      <c r="AC61" s="2439"/>
    </row>
    <row r="62" spans="1:29" s="102" customFormat="1" ht="14.4">
      <c r="A62" s="454" t="s">
        <v>1681</v>
      </c>
      <c r="B62" s="443"/>
      <c r="C62" s="455" t="s">
        <v>1776</v>
      </c>
      <c r="D62" s="31"/>
      <c r="E62" s="31"/>
      <c r="F62" s="31"/>
      <c r="G62" s="31"/>
      <c r="H62" s="31"/>
      <c r="I62" s="31"/>
      <c r="J62" s="31"/>
      <c r="K62" s="31"/>
      <c r="L62" s="456"/>
      <c r="M62" s="457"/>
      <c r="N62" s="2519"/>
      <c r="O62" s="2519"/>
      <c r="P62" s="2528"/>
      <c r="Q62" s="2507"/>
      <c r="R62" s="2439"/>
      <c r="S62" s="2439"/>
      <c r="T62" s="2439"/>
      <c r="U62" s="2439"/>
      <c r="V62" s="2439"/>
      <c r="W62" s="2439"/>
      <c r="X62" s="2439"/>
      <c r="Y62" s="2439"/>
      <c r="Z62" s="2439"/>
      <c r="AA62" s="2439"/>
      <c r="AB62" s="2439"/>
      <c r="AC62" s="2439"/>
    </row>
    <row r="63" spans="1:29" s="102" customFormat="1" ht="14.4" thickBot="1">
      <c r="A63" s="454"/>
      <c r="B63" s="443"/>
      <c r="C63" s="444">
        <v>100</v>
      </c>
      <c r="D63" s="445"/>
      <c r="E63" s="445"/>
      <c r="F63" s="445"/>
      <c r="G63" s="445"/>
      <c r="H63" s="445"/>
      <c r="I63" s="445"/>
      <c r="J63" s="445"/>
      <c r="K63" s="445"/>
      <c r="L63" s="445"/>
      <c r="M63" s="447"/>
      <c r="N63" s="2519"/>
      <c r="O63" s="2519"/>
      <c r="P63" s="2527"/>
      <c r="Q63" s="2507"/>
      <c r="R63" s="2439"/>
      <c r="S63" s="2439"/>
      <c r="T63" s="2439"/>
      <c r="U63" s="2439"/>
      <c r="V63" s="2439"/>
      <c r="W63" s="2439"/>
      <c r="X63" s="2439"/>
      <c r="Y63" s="2439"/>
      <c r="Z63" s="2439"/>
      <c r="AA63" s="2439"/>
      <c r="AB63" s="2439"/>
      <c r="AC63" s="2439"/>
    </row>
    <row r="64" spans="1:29" ht="14.4">
      <c r="A64" s="378" t="s">
        <v>1719</v>
      </c>
      <c r="B64" s="459" t="s">
        <v>1685</v>
      </c>
      <c r="C64" s="460">
        <f>C9</f>
        <v>0</v>
      </c>
      <c r="D64" s="461"/>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4.4" thickBot="1">
      <c r="A65" s="366"/>
      <c r="B65" s="465"/>
      <c r="C65" s="466">
        <v>100</v>
      </c>
      <c r="D65" s="466"/>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9.4" thickTop="1">
      <c r="A66" s="366"/>
      <c r="B66" s="468" t="s">
        <v>1688</v>
      </c>
      <c r="C66" s="512"/>
      <c r="D66" s="512"/>
      <c r="E66" s="512"/>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4.4" thickBot="1">
      <c r="A67" s="366"/>
      <c r="B67" s="473"/>
      <c r="C67" s="466"/>
      <c r="D67" s="466"/>
      <c r="E67" s="466"/>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1"/>
      <c r="O70" s="2521"/>
      <c r="P70" s="2529"/>
      <c r="Q70" s="2507"/>
      <c r="R70" s="2486"/>
      <c r="S70" s="2486"/>
      <c r="T70" s="2486"/>
      <c r="U70" s="2486"/>
      <c r="V70" s="2486"/>
      <c r="W70" s="2486"/>
      <c r="X70" s="2486"/>
      <c r="Y70" s="2486"/>
      <c r="Z70" s="2486"/>
      <c r="AA70" s="2486"/>
      <c r="AB70" s="2486"/>
      <c r="AC70" s="2486"/>
    </row>
    <row r="71" spans="1:29" s="407" customFormat="1" ht="14.4"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4.4"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4.4"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4.4"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4.4" thickTop="1">
      <c r="A75" s="483"/>
      <c r="B75" s="476">
        <f>B14</f>
        <v>111</v>
      </c>
      <c r="C75" s="31"/>
      <c r="D75" s="31"/>
      <c r="E75" s="31"/>
      <c r="F75" s="31"/>
      <c r="G75" s="31"/>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4.4"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ht="14.4">
      <c r="A77" s="378" t="s">
        <v>1690</v>
      </c>
      <c r="B77" s="459" t="s">
        <v>1821</v>
      </c>
      <c r="C77" s="503" t="s">
        <v>1721</v>
      </c>
      <c r="D77" s="503" t="s">
        <v>1722</v>
      </c>
      <c r="E77" s="503" t="s">
        <v>1723</v>
      </c>
      <c r="F77" s="503" t="s">
        <v>1724</v>
      </c>
      <c r="G77" s="503" t="s">
        <v>1725</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5" thickTop="1">
      <c r="A79" s="366"/>
      <c r="B79" s="468" t="s">
        <v>1726</v>
      </c>
      <c r="C79" s="508" t="s">
        <v>1721</v>
      </c>
      <c r="D79" s="508" t="s">
        <v>1722</v>
      </c>
      <c r="E79" s="508" t="s">
        <v>1723</v>
      </c>
      <c r="F79" s="508" t="s">
        <v>1724</v>
      </c>
      <c r="G79" s="508" t="s">
        <v>1725</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5" thickTop="1">
      <c r="A81" s="366"/>
      <c r="B81" s="468" t="s">
        <v>1727</v>
      </c>
      <c r="C81" s="508" t="s">
        <v>1721</v>
      </c>
      <c r="D81" s="508" t="s">
        <v>1722</v>
      </c>
      <c r="E81" s="508" t="s">
        <v>1723</v>
      </c>
      <c r="F81" s="508" t="s">
        <v>1724</v>
      </c>
      <c r="G81" s="508" t="s">
        <v>1725</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5" thickTop="1">
      <c r="A83" s="366"/>
      <c r="B83" s="476" t="s">
        <v>1813</v>
      </c>
      <c r="C83" s="580" t="s">
        <v>1799</v>
      </c>
      <c r="D83" s="580" t="s">
        <v>1800</v>
      </c>
      <c r="E83" s="580" t="s">
        <v>1801</v>
      </c>
      <c r="F83" s="580" t="s">
        <v>1802</v>
      </c>
      <c r="G83" s="580" t="s">
        <v>1803</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5" thickTop="1">
      <c r="A85" s="366"/>
      <c r="B85" s="468" t="s">
        <v>1822</v>
      </c>
      <c r="C85" s="508" t="s">
        <v>1721</v>
      </c>
      <c r="D85" s="508" t="s">
        <v>1722</v>
      </c>
      <c r="E85" s="508" t="s">
        <v>1723</v>
      </c>
      <c r="F85" s="508" t="s">
        <v>1724</v>
      </c>
      <c r="G85" s="508" t="s">
        <v>1725</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2" customFormat="1" ht="29.4" thickTop="1">
      <c r="A87" s="369"/>
      <c r="B87" s="468" t="s">
        <v>1823</v>
      </c>
      <c r="C87" s="484"/>
      <c r="D87" s="484"/>
      <c r="E87" s="484"/>
      <c r="F87" s="484"/>
      <c r="G87" s="484"/>
      <c r="H87" s="484"/>
      <c r="I87" s="484"/>
      <c r="J87" s="484"/>
      <c r="K87" s="484"/>
      <c r="L87" s="509"/>
      <c r="M87" s="510"/>
      <c r="N87" s="2519"/>
      <c r="O87" s="2519"/>
      <c r="P87" s="2529"/>
      <c r="Q87" s="2507"/>
      <c r="R87" s="2439"/>
      <c r="S87" s="2439"/>
      <c r="T87" s="2439"/>
      <c r="U87" s="2439"/>
      <c r="V87" s="2439"/>
      <c r="W87" s="2439"/>
      <c r="X87" s="2439"/>
      <c r="Y87" s="2439"/>
      <c r="Z87" s="2439"/>
      <c r="AA87" s="2439"/>
      <c r="AB87" s="2439"/>
      <c r="AC87" s="2439"/>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69"/>
      <c r="B89" s="468" t="str">
        <f>B27</f>
        <v>楼层</v>
      </c>
      <c r="C89" s="484"/>
      <c r="D89" s="484"/>
      <c r="E89" s="484"/>
      <c r="F89" s="1779"/>
      <c r="G89" s="484"/>
      <c r="H89" s="484"/>
      <c r="I89" s="484"/>
      <c r="J89" s="484"/>
      <c r="K89" s="484"/>
      <c r="L89" s="484"/>
      <c r="M89" s="510"/>
      <c r="N89" s="2519"/>
      <c r="O89" s="2519"/>
      <c r="P89" s="2529"/>
      <c r="Q89" s="2507"/>
      <c r="R89" s="2439"/>
      <c r="S89" s="2439"/>
      <c r="T89" s="2439"/>
      <c r="U89" s="2439"/>
      <c r="V89" s="2439"/>
      <c r="W89" s="2439"/>
      <c r="X89" s="2439"/>
      <c r="Y89" s="2439"/>
      <c r="Z89" s="2439"/>
      <c r="AA89" s="2439"/>
      <c r="AB89" s="2439"/>
      <c r="AC89" s="2439"/>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1"/>
      <c r="O90" s="2521"/>
      <c r="P90" s="2529"/>
      <c r="Q90" s="2507"/>
      <c r="R90" s="2439"/>
      <c r="S90" s="2439"/>
      <c r="T90" s="2439"/>
      <c r="U90" s="2439"/>
      <c r="V90" s="2439"/>
      <c r="W90" s="2439"/>
      <c r="X90" s="2439"/>
      <c r="Y90" s="2439"/>
      <c r="Z90" s="2439"/>
      <c r="AA90" s="2439"/>
      <c r="AB90" s="2439"/>
      <c r="AC90" s="2439"/>
    </row>
    <row r="91" spans="1:29" s="407" customFormat="1" ht="14.4"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6"/>
      <c r="B93" s="468">
        <f>B29</f>
        <v>111</v>
      </c>
      <c r="C93" s="484"/>
      <c r="D93" s="484"/>
      <c r="E93" s="484"/>
      <c r="F93" s="484"/>
      <c r="G93" s="484"/>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4.4" thickBot="1">
      <c r="A94" s="366"/>
      <c r="B94" s="473"/>
      <c r="C94" s="490"/>
      <c r="D94" s="466"/>
      <c r="E94" s="466"/>
      <c r="F94" s="466"/>
      <c r="G94" s="466"/>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4.4" thickTop="1">
      <c r="A95" s="366"/>
      <c r="B95" s="468">
        <f>B30</f>
        <v>111</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4.4"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4.4" thickTop="1">
      <c r="A97" s="366"/>
      <c r="B97" s="468">
        <f>B31</f>
        <v>111</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4.4"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4.4" thickTop="1">
      <c r="A99" s="366"/>
      <c r="B99" s="476">
        <f>B32</f>
        <v>111</v>
      </c>
      <c r="C99" s="31"/>
      <c r="D99" s="31"/>
      <c r="E99" s="31"/>
      <c r="F99" s="31"/>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4.4"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ht="14.4">
      <c r="A101" s="378" t="s">
        <v>1694</v>
      </c>
      <c r="B101" s="459" t="s">
        <v>1736</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c r="D104" s="6"/>
      <c r="E104" s="6"/>
      <c r="F104" s="6"/>
      <c r="G104" s="6"/>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4.4" thickBot="1">
      <c r="A105" s="483"/>
      <c r="B105" s="473"/>
      <c r="C105" s="490"/>
      <c r="D105" s="466"/>
      <c r="E105" s="466"/>
      <c r="F105" s="466"/>
      <c r="G105" s="466"/>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5" thickTop="1">
      <c r="A106" s="408"/>
      <c r="B106" s="468" t="s">
        <v>1738</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8"/>
      <c r="B108" s="468" t="s">
        <v>1740</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1"/>
      <c r="O112" s="2521"/>
      <c r="P112" s="2529"/>
      <c r="Q112" s="2507"/>
      <c r="R112" s="2486"/>
      <c r="S112" s="2486"/>
      <c r="T112" s="2486"/>
      <c r="U112" s="2486"/>
      <c r="V112" s="2486"/>
      <c r="W112" s="2486"/>
      <c r="X112" s="2486"/>
      <c r="Y112" s="2486"/>
      <c r="Z112" s="2486"/>
      <c r="AA112" s="2486"/>
      <c r="AB112" s="2486"/>
      <c r="AC112" s="2486"/>
    </row>
    <row r="113" spans="1:29" s="407" customFormat="1" ht="15" thickTop="1">
      <c r="A113" s="405"/>
      <c r="B113" s="468" t="s">
        <v>1824</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8"/>
      <c r="B115" s="468" t="s">
        <v>1741</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8"/>
      <c r="B117" s="468" t="s">
        <v>1742</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5" thickTop="1">
      <c r="A119" s="408"/>
      <c r="B119" s="559" t="s">
        <v>1825</v>
      </c>
      <c r="C119" s="512"/>
      <c r="D119" s="512"/>
      <c r="E119" s="512"/>
      <c r="F119" s="512"/>
      <c r="G119" s="512"/>
      <c r="H119" s="512"/>
      <c r="I119" s="512"/>
      <c r="J119" s="512"/>
      <c r="K119" s="512"/>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5" thickTop="1">
      <c r="A121" s="405"/>
      <c r="B121" s="468" t="s">
        <v>1808</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4.4"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5" thickTop="1">
      <c r="A123" s="408"/>
      <c r="B123" s="468" t="s">
        <v>1744</v>
      </c>
      <c r="C123" s="484"/>
      <c r="D123" s="484"/>
      <c r="E123" s="484"/>
      <c r="F123" s="512"/>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4.4" thickTop="1">
      <c r="A127" s="405"/>
      <c r="B127" s="468">
        <f>B45</f>
        <v>111</v>
      </c>
      <c r="C127" s="484"/>
      <c r="D127" s="484"/>
      <c r="E127" s="484"/>
      <c r="F127" s="484"/>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4.4" thickBot="1">
      <c r="A128" s="483"/>
      <c r="B128" s="473"/>
      <c r="C128" s="490"/>
      <c r="D128" s="466"/>
      <c r="E128" s="466"/>
      <c r="F128" s="466"/>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4.4" thickTop="1">
      <c r="A129" s="408"/>
      <c r="B129" s="468">
        <f>B46</f>
        <v>111</v>
      </c>
      <c r="C129" s="484"/>
      <c r="D129" s="484"/>
      <c r="E129" s="484"/>
      <c r="F129" s="484"/>
      <c r="G129" s="512"/>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4.4" thickBot="1">
      <c r="A130" s="366"/>
      <c r="B130" s="473"/>
      <c r="C130" s="490"/>
      <c r="D130" s="490"/>
      <c r="E130" s="490"/>
      <c r="F130" s="490"/>
      <c r="G130" s="466"/>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4.4" thickTop="1">
      <c r="A131" s="408"/>
      <c r="B131" s="476">
        <f>B47</f>
        <v>111</v>
      </c>
      <c r="C131" s="31"/>
      <c r="D131" s="31"/>
      <c r="E131" s="31"/>
      <c r="F131" s="31"/>
      <c r="G131" s="516"/>
      <c r="H131" s="516"/>
      <c r="I131" s="516"/>
      <c r="J131" s="516"/>
      <c r="K131" s="31"/>
      <c r="L131" s="456"/>
      <c r="M131" s="519"/>
      <c r="N131" s="2520"/>
      <c r="O131" s="2520"/>
      <c r="P131" s="2529"/>
      <c r="Q131" s="2507"/>
      <c r="R131" s="2486"/>
      <c r="S131" s="2486"/>
      <c r="T131" s="2486"/>
      <c r="U131" s="2486"/>
      <c r="V131" s="2486"/>
      <c r="W131" s="2486"/>
      <c r="X131" s="2486"/>
      <c r="Y131" s="2486"/>
      <c r="Z131" s="2486"/>
      <c r="AA131" s="2486"/>
      <c r="AB131" s="2486"/>
      <c r="AC131" s="2486"/>
    </row>
    <row r="132" spans="1:29" ht="14.4"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2447.34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37" t="s">
        <v>1770</v>
      </c>
      <c r="D4" s="3438"/>
      <c r="E4" s="3439" t="s">
        <v>1771</v>
      </c>
      <c r="F4" s="3440"/>
      <c r="G4" s="3437" t="s">
        <v>1772</v>
      </c>
      <c r="H4" s="3438"/>
      <c r="I4" s="3437" t="s">
        <v>1773</v>
      </c>
      <c r="J4" s="3438"/>
      <c r="K4" s="536" t="s">
        <v>1774</v>
      </c>
      <c r="L4" s="859"/>
      <c r="M4" s="860"/>
      <c r="N4" s="860"/>
      <c r="O4" s="860"/>
      <c r="P4" s="3441" t="s">
        <v>1775</v>
      </c>
      <c r="Q4" s="3442"/>
      <c r="R4" s="3447" t="s">
        <v>1771</v>
      </c>
      <c r="S4" s="3448"/>
      <c r="T4" s="3447" t="s">
        <v>1772</v>
      </c>
      <c r="U4" s="3448"/>
      <c r="V4" s="3423" t="s">
        <v>1773</v>
      </c>
      <c r="W4" s="3423"/>
      <c r="X4" s="1264"/>
      <c r="Y4" s="3447" t="s">
        <v>1775</v>
      </c>
      <c r="Z4" s="3448"/>
      <c r="AA4" s="3434" t="s">
        <v>1771</v>
      </c>
      <c r="AB4" s="3435" t="s">
        <v>1772</v>
      </c>
      <c r="AC4" s="3434" t="s">
        <v>1773</v>
      </c>
    </row>
    <row r="5" spans="1:29">
      <c r="A5" s="347"/>
      <c r="B5" s="348"/>
      <c r="C5" s="3455" t="s">
        <v>1673</v>
      </c>
      <c r="D5" s="3456"/>
      <c r="E5" s="3462" t="s">
        <v>1674</v>
      </c>
      <c r="F5" s="3463"/>
      <c r="G5" s="3455" t="s">
        <v>1675</v>
      </c>
      <c r="H5" s="3456"/>
      <c r="I5" s="3455" t="s">
        <v>1676</v>
      </c>
      <c r="J5" s="3456"/>
      <c r="K5" s="536"/>
      <c r="L5" s="859"/>
      <c r="M5" s="860"/>
      <c r="N5" s="860"/>
      <c r="O5" s="860"/>
      <c r="P5" s="3443"/>
      <c r="Q5" s="3444"/>
      <c r="R5" s="3449"/>
      <c r="S5" s="3450"/>
      <c r="T5" s="3449"/>
      <c r="U5" s="3450"/>
      <c r="V5" s="3423"/>
      <c r="W5" s="3423"/>
      <c r="X5" s="1264"/>
      <c r="Y5" s="3449"/>
      <c r="Z5" s="3450"/>
      <c r="AA5" s="3435"/>
      <c r="AB5" s="3435"/>
      <c r="AC5" s="3435"/>
    </row>
    <row r="6" spans="1:29" ht="15" thickBot="1">
      <c r="A6" s="349"/>
      <c r="B6" s="350"/>
      <c r="C6" s="3453" t="s">
        <v>1677</v>
      </c>
      <c r="D6" s="3454"/>
      <c r="E6" s="3460" t="s">
        <v>1677</v>
      </c>
      <c r="F6" s="3461"/>
      <c r="G6" s="3453" t="s">
        <v>1677</v>
      </c>
      <c r="H6" s="3454"/>
      <c r="I6" s="3453" t="s">
        <v>1677</v>
      </c>
      <c r="J6" s="3454"/>
      <c r="K6" s="536" t="s">
        <v>1678</v>
      </c>
      <c r="L6" s="859"/>
      <c r="M6" s="860"/>
      <c r="N6" s="860"/>
      <c r="O6" s="860"/>
      <c r="P6" s="3445"/>
      <c r="Q6" s="3446"/>
      <c r="R6" s="3449"/>
      <c r="S6" s="3450"/>
      <c r="T6" s="3451"/>
      <c r="U6" s="3452"/>
      <c r="V6" s="3423"/>
      <c r="W6" s="3423"/>
      <c r="X6" s="1264"/>
      <c r="Y6" s="3451"/>
      <c r="Z6" s="3452"/>
      <c r="AA6" s="3436"/>
      <c r="AB6" s="3436"/>
      <c r="AC6" s="3436"/>
    </row>
    <row r="7" spans="1:29" s="102" customFormat="1" ht="15" thickBot="1">
      <c r="A7" s="351" t="s">
        <v>1679</v>
      </c>
      <c r="B7" s="352"/>
      <c r="C7" s="353">
        <f>'数据-取费表'!B2</f>
        <v>45783</v>
      </c>
      <c r="D7" s="354">
        <v>100</v>
      </c>
      <c r="E7" s="355"/>
      <c r="F7" s="356">
        <f>SUMIF(52:52,YEAR(E7)&amp;"-"&amp;MONTH(E7),53:53)</f>
        <v>0</v>
      </c>
      <c r="G7" s="355"/>
      <c r="H7" s="354">
        <f>SUMIF(52:52,YEAR(G7)&amp;"-"&amp;MONTH(G7),53:53)</f>
        <v>0</v>
      </c>
      <c r="I7" s="355"/>
      <c r="J7" s="354">
        <f>SUMIF(52:52,YEAR(I7)&amp;"-"&amp;MONTH(I7),53:53)</f>
        <v>0</v>
      </c>
      <c r="K7" s="38"/>
      <c r="L7" s="861"/>
      <c r="M7" s="862"/>
      <c r="N7" s="862"/>
      <c r="O7" s="862"/>
      <c r="P7" s="3457" t="s">
        <v>1680</v>
      </c>
      <c r="Q7" s="3459"/>
      <c r="R7" s="663" t="s">
        <v>14</v>
      </c>
      <c r="S7" s="664">
        <f t="shared" ref="S7:S15" si="0">F7</f>
        <v>0</v>
      </c>
      <c r="T7" s="663" t="s">
        <v>14</v>
      </c>
      <c r="U7" s="664">
        <f t="shared" ref="U7:U15" si="1">H7</f>
        <v>0</v>
      </c>
      <c r="V7" s="663" t="s">
        <v>14</v>
      </c>
      <c r="W7" s="664">
        <f t="shared" ref="W7:W15" si="2">J7</f>
        <v>0</v>
      </c>
      <c r="X7" s="665"/>
      <c r="Y7" s="3457" t="s">
        <v>1680</v>
      </c>
      <c r="Z7" s="3458"/>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57" t="s">
        <v>1683</v>
      </c>
      <c r="Q8" s="3458"/>
      <c r="R8" s="663" t="s">
        <v>14</v>
      </c>
      <c r="S8" s="664">
        <f t="shared" si="0"/>
        <v>100</v>
      </c>
      <c r="T8" s="663" t="s">
        <v>14</v>
      </c>
      <c r="U8" s="664">
        <f t="shared" si="1"/>
        <v>100</v>
      </c>
      <c r="V8" s="663" t="s">
        <v>14</v>
      </c>
      <c r="W8" s="664">
        <f t="shared" si="2"/>
        <v>100</v>
      </c>
      <c r="X8" s="665"/>
      <c r="Y8" s="3457" t="s">
        <v>1683</v>
      </c>
      <c r="Z8" s="3458"/>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22" t="s">
        <v>1686</v>
      </c>
      <c r="Q9" s="529" t="str">
        <f t="shared" ref="Q9:Q15" si="6">B9</f>
        <v>用途</v>
      </c>
      <c r="R9" s="663" t="s">
        <v>14</v>
      </c>
      <c r="S9" s="664">
        <f t="shared" si="0"/>
        <v>100</v>
      </c>
      <c r="T9" s="663" t="s">
        <v>14</v>
      </c>
      <c r="U9" s="664">
        <f t="shared" si="1"/>
        <v>100</v>
      </c>
      <c r="V9" s="663" t="s">
        <v>14</v>
      </c>
      <c r="W9" s="664">
        <f t="shared" si="2"/>
        <v>100</v>
      </c>
      <c r="X9" s="665"/>
      <c r="Y9" s="3273" t="s">
        <v>1687</v>
      </c>
      <c r="Z9" s="50" t="str">
        <f t="shared" ref="Z9:Z15" si="7">Q9</f>
        <v>用途</v>
      </c>
      <c r="AA9" s="50">
        <f t="shared" si="3"/>
        <v>1</v>
      </c>
      <c r="AB9" s="50">
        <f t="shared" si="4"/>
        <v>1</v>
      </c>
      <c r="AC9" s="50">
        <f t="shared" si="5"/>
        <v>1</v>
      </c>
    </row>
    <row r="10" spans="1:29" s="365" customFormat="1" ht="28.8">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8"/>
      <c r="L10" s="864"/>
      <c r="M10" s="865"/>
      <c r="N10" s="865"/>
      <c r="O10" s="866"/>
      <c r="P10" s="3422"/>
      <c r="Q10" s="529"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22"/>
      <c r="Q11" s="529" t="str">
        <f t="shared" si="6"/>
        <v>容积率</v>
      </c>
      <c r="R11" s="663" t="s">
        <v>14</v>
      </c>
      <c r="S11" s="664">
        <f t="shared" si="0"/>
        <v>100</v>
      </c>
      <c r="T11" s="663" t="s">
        <v>14</v>
      </c>
      <c r="U11" s="664">
        <f t="shared" si="1"/>
        <v>100</v>
      </c>
      <c r="V11" s="663" t="s">
        <v>14</v>
      </c>
      <c r="W11" s="664">
        <f t="shared" si="2"/>
        <v>100</v>
      </c>
      <c r="X11" s="665"/>
      <c r="Y11" s="3273"/>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22"/>
      <c r="Q12" s="529">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22"/>
      <c r="Q13" s="529">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22"/>
      <c r="Q14" s="529">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24" t="s">
        <v>1691</v>
      </c>
      <c r="Q15" s="1262" t="str">
        <f t="shared" si="6"/>
        <v>产业集聚程度</v>
      </c>
      <c r="R15" s="666" t="s">
        <v>14</v>
      </c>
      <c r="S15" s="667">
        <f t="shared" si="0"/>
        <v>100</v>
      </c>
      <c r="T15" s="666" t="s">
        <v>14</v>
      </c>
      <c r="U15" s="667">
        <f t="shared" si="1"/>
        <v>100</v>
      </c>
      <c r="V15" s="666" t="s">
        <v>14</v>
      </c>
      <c r="W15" s="667">
        <f t="shared" si="2"/>
        <v>100</v>
      </c>
      <c r="X15" s="1264"/>
      <c r="Y15" s="3424"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25"/>
      <c r="Q16" s="1262"/>
      <c r="R16" s="666"/>
      <c r="S16" s="667"/>
      <c r="T16" s="666"/>
      <c r="U16" s="667"/>
      <c r="V16" s="666"/>
      <c r="W16" s="667"/>
      <c r="X16" s="1264"/>
      <c r="Y16" s="3425"/>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25"/>
      <c r="Q17" s="1262" t="str">
        <f>B17</f>
        <v>交通便捷度</v>
      </c>
      <c r="R17" s="666" t="s">
        <v>14</v>
      </c>
      <c r="S17" s="667">
        <f>F17</f>
        <v>100</v>
      </c>
      <c r="T17" s="666" t="s">
        <v>14</v>
      </c>
      <c r="U17" s="667">
        <f>H17</f>
        <v>100</v>
      </c>
      <c r="V17" s="666" t="s">
        <v>14</v>
      </c>
      <c r="W17" s="667">
        <f>J17</f>
        <v>100</v>
      </c>
      <c r="X17" s="1264"/>
      <c r="Y17" s="3425"/>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25"/>
      <c r="Q18" s="1262"/>
      <c r="R18" s="666"/>
      <c r="S18" s="667"/>
      <c r="T18" s="666"/>
      <c r="U18" s="667"/>
      <c r="V18" s="666"/>
      <c r="W18" s="667"/>
      <c r="X18" s="1264"/>
      <c r="Y18" s="3425"/>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25"/>
      <c r="Q19" s="1262" t="str">
        <f>B19</f>
        <v>公共配套设施</v>
      </c>
      <c r="R19" s="666" t="s">
        <v>14</v>
      </c>
      <c r="S19" s="667">
        <f>F19</f>
        <v>100</v>
      </c>
      <c r="T19" s="666" t="s">
        <v>14</v>
      </c>
      <c r="U19" s="667">
        <f>H19</f>
        <v>100</v>
      </c>
      <c r="V19" s="666" t="s">
        <v>14</v>
      </c>
      <c r="W19" s="667">
        <f>J19</f>
        <v>100</v>
      </c>
      <c r="X19" s="1264"/>
      <c r="Y19" s="3425"/>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25"/>
      <c r="Q20" s="1262"/>
      <c r="R20" s="666"/>
      <c r="S20" s="667"/>
      <c r="T20" s="666"/>
      <c r="U20" s="667"/>
      <c r="V20" s="666"/>
      <c r="W20" s="667"/>
      <c r="X20" s="1264"/>
      <c r="Y20" s="3425"/>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25"/>
      <c r="Q21" s="1262" t="str">
        <f>B21</f>
        <v>基础设施水平</v>
      </c>
      <c r="R21" s="666" t="s">
        <v>14</v>
      </c>
      <c r="S21" s="667">
        <f>F21</f>
        <v>100</v>
      </c>
      <c r="T21" s="666" t="s">
        <v>14</v>
      </c>
      <c r="U21" s="667">
        <f>H21</f>
        <v>100</v>
      </c>
      <c r="V21" s="666" t="s">
        <v>14</v>
      </c>
      <c r="W21" s="667">
        <f>J21</f>
        <v>100</v>
      </c>
      <c r="X21" s="1264"/>
      <c r="Y21" s="342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25"/>
      <c r="Q22" s="1262"/>
      <c r="R22" s="666"/>
      <c r="S22" s="667"/>
      <c r="T22" s="666"/>
      <c r="U22" s="667"/>
      <c r="V22" s="666"/>
      <c r="W22" s="667"/>
      <c r="X22" s="1264"/>
      <c r="Y22" s="3425"/>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25"/>
      <c r="Q23" s="1262" t="str">
        <f>B23</f>
        <v>环境质量</v>
      </c>
      <c r="R23" s="666" t="s">
        <v>14</v>
      </c>
      <c r="S23" s="667">
        <f>F23</f>
        <v>100</v>
      </c>
      <c r="T23" s="666" t="s">
        <v>14</v>
      </c>
      <c r="U23" s="667">
        <f>H23</f>
        <v>100</v>
      </c>
      <c r="V23" s="666" t="s">
        <v>14</v>
      </c>
      <c r="W23" s="667">
        <f>J23</f>
        <v>100</v>
      </c>
      <c r="X23" s="1264"/>
      <c r="Y23" s="3425"/>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25"/>
      <c r="Q24" s="1262"/>
      <c r="R24" s="666"/>
      <c r="S24" s="667"/>
      <c r="T24" s="666"/>
      <c r="U24" s="667"/>
      <c r="V24" s="666"/>
      <c r="W24" s="667"/>
      <c r="X24" s="1264"/>
      <c r="Y24" s="3425"/>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25"/>
      <c r="Q25" s="1262">
        <f>B25</f>
        <v>111</v>
      </c>
      <c r="R25" s="666" t="s">
        <v>14</v>
      </c>
      <c r="S25" s="667">
        <f>F25</f>
        <v>100</v>
      </c>
      <c r="T25" s="666" t="s">
        <v>14</v>
      </c>
      <c r="U25" s="667">
        <f>H25</f>
        <v>100</v>
      </c>
      <c r="V25" s="666" t="s">
        <v>14</v>
      </c>
      <c r="W25" s="667">
        <f>J25</f>
        <v>100</v>
      </c>
      <c r="X25" s="1264"/>
      <c r="Y25" s="3425"/>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25"/>
      <c r="Q26" s="1262">
        <f t="shared" ref="Q26:Q40" si="11">B26</f>
        <v>111</v>
      </c>
      <c r="R26" s="666" t="s">
        <v>14</v>
      </c>
      <c r="S26" s="667">
        <f>F26</f>
        <v>100</v>
      </c>
      <c r="T26" s="666" t="s">
        <v>14</v>
      </c>
      <c r="U26" s="667">
        <f>H26</f>
        <v>100</v>
      </c>
      <c r="V26" s="666" t="s">
        <v>14</v>
      </c>
      <c r="W26" s="667">
        <f>J26</f>
        <v>100</v>
      </c>
      <c r="X26" s="1264"/>
      <c r="Y26" s="3425"/>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25"/>
      <c r="Q27" s="529">
        <f t="shared" si="11"/>
        <v>111</v>
      </c>
      <c r="R27" s="663" t="s">
        <v>14</v>
      </c>
      <c r="S27" s="664">
        <f>F27</f>
        <v>100</v>
      </c>
      <c r="T27" s="663" t="s">
        <v>14</v>
      </c>
      <c r="U27" s="664">
        <f>H27</f>
        <v>100</v>
      </c>
      <c r="V27" s="663" t="s">
        <v>14</v>
      </c>
      <c r="W27" s="664">
        <f>J27</f>
        <v>100</v>
      </c>
      <c r="X27" s="665"/>
      <c r="Y27" s="3425"/>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25"/>
      <c r="Q28" s="1262">
        <f t="shared" si="11"/>
        <v>111</v>
      </c>
      <c r="R28" s="666" t="s">
        <v>14</v>
      </c>
      <c r="S28" s="667">
        <f t="shared" ref="S28:S40" si="12">F28</f>
        <v>100</v>
      </c>
      <c r="T28" s="666" t="s">
        <v>14</v>
      </c>
      <c r="U28" s="667">
        <f t="shared" ref="U28:U40" si="13">H28</f>
        <v>100</v>
      </c>
      <c r="V28" s="666" t="s">
        <v>14</v>
      </c>
      <c r="W28" s="667">
        <f t="shared" ref="W28:W40" si="14">J28</f>
        <v>100</v>
      </c>
      <c r="X28" s="1264"/>
      <c r="Y28" s="3425"/>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79" t="s">
        <v>1696</v>
      </c>
      <c r="Q29" s="1262" t="str">
        <f t="shared" si="11"/>
        <v>建筑类型</v>
      </c>
      <c r="R29" s="666" t="s">
        <v>14</v>
      </c>
      <c r="S29" s="667">
        <f t="shared" si="12"/>
        <v>100</v>
      </c>
      <c r="T29" s="666" t="s">
        <v>14</v>
      </c>
      <c r="U29" s="667">
        <f t="shared" si="13"/>
        <v>100</v>
      </c>
      <c r="V29" s="666" t="s">
        <v>14</v>
      </c>
      <c r="W29" s="667">
        <f t="shared" si="14"/>
        <v>100</v>
      </c>
      <c r="X29" s="1264"/>
      <c r="Y29" s="3429"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29"/>
      <c r="Q30" s="530" t="str">
        <f t="shared" si="11"/>
        <v>项目建筑规模</v>
      </c>
      <c r="R30" s="668" t="s">
        <v>14</v>
      </c>
      <c r="S30" s="669" t="e">
        <f t="shared" si="12"/>
        <v>#N/A</v>
      </c>
      <c r="T30" s="668" t="s">
        <v>14</v>
      </c>
      <c r="U30" s="669" t="e">
        <f t="shared" si="13"/>
        <v>#N/A</v>
      </c>
      <c r="V30" s="668" t="s">
        <v>14</v>
      </c>
      <c r="W30" s="669" t="e">
        <f t="shared" si="14"/>
        <v>#N/A</v>
      </c>
      <c r="X30" s="670"/>
      <c r="Y30" s="3429"/>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29"/>
      <c r="Q31" s="1262" t="str">
        <f t="shared" si="11"/>
        <v>建筑结构</v>
      </c>
      <c r="R31" s="666" t="s">
        <v>14</v>
      </c>
      <c r="S31" s="667">
        <f t="shared" si="12"/>
        <v>100</v>
      </c>
      <c r="T31" s="666" t="s">
        <v>14</v>
      </c>
      <c r="U31" s="667">
        <f t="shared" si="13"/>
        <v>100</v>
      </c>
      <c r="V31" s="666" t="s">
        <v>14</v>
      </c>
      <c r="W31" s="667">
        <f t="shared" si="14"/>
        <v>100</v>
      </c>
      <c r="X31" s="1264"/>
      <c r="Y31" s="3429"/>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29"/>
      <c r="Q32" s="1262" t="str">
        <f t="shared" si="11"/>
        <v>公共部分装修</v>
      </c>
      <c r="R32" s="666" t="s">
        <v>14</v>
      </c>
      <c r="S32" s="667">
        <f t="shared" si="12"/>
        <v>100</v>
      </c>
      <c r="T32" s="666" t="s">
        <v>14</v>
      </c>
      <c r="U32" s="667">
        <f t="shared" si="13"/>
        <v>100</v>
      </c>
      <c r="V32" s="666" t="s">
        <v>14</v>
      </c>
      <c r="W32" s="667">
        <f t="shared" si="14"/>
        <v>100</v>
      </c>
      <c r="X32" s="1264"/>
      <c r="Y32" s="3429"/>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29"/>
      <c r="Q33" s="1262" t="str">
        <f t="shared" si="11"/>
        <v>成新度</v>
      </c>
      <c r="R33" s="666" t="s">
        <v>14</v>
      </c>
      <c r="S33" s="667" t="e">
        <f t="shared" si="12"/>
        <v>#N/A</v>
      </c>
      <c r="T33" s="666" t="s">
        <v>14</v>
      </c>
      <c r="U33" s="667" t="e">
        <f t="shared" si="13"/>
        <v>#N/A</v>
      </c>
      <c r="V33" s="666" t="s">
        <v>14</v>
      </c>
      <c r="W33" s="667" t="e">
        <f t="shared" si="14"/>
        <v>#N/A</v>
      </c>
      <c r="X33" s="1264"/>
      <c r="Y33" s="3429"/>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29"/>
      <c r="Q34" s="529" t="str">
        <f t="shared" si="11"/>
        <v>物业管理</v>
      </c>
      <c r="R34" s="663" t="s">
        <v>14</v>
      </c>
      <c r="S34" s="664">
        <f t="shared" si="12"/>
        <v>100</v>
      </c>
      <c r="T34" s="663" t="s">
        <v>14</v>
      </c>
      <c r="U34" s="664">
        <f t="shared" si="13"/>
        <v>100</v>
      </c>
      <c r="V34" s="663" t="s">
        <v>14</v>
      </c>
      <c r="W34" s="664">
        <f t="shared" si="14"/>
        <v>100</v>
      </c>
      <c r="X34" s="665"/>
      <c r="Y34" s="3429"/>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29" t="s">
        <v>1696</v>
      </c>
      <c r="Q35" s="1262" t="str">
        <f t="shared" si="11"/>
        <v>市政基础设施</v>
      </c>
      <c r="R35" s="666" t="s">
        <v>14</v>
      </c>
      <c r="S35" s="667">
        <f t="shared" si="12"/>
        <v>100</v>
      </c>
      <c r="T35" s="666" t="s">
        <v>14</v>
      </c>
      <c r="U35" s="667">
        <f t="shared" si="13"/>
        <v>100</v>
      </c>
      <c r="V35" s="666" t="s">
        <v>14</v>
      </c>
      <c r="W35" s="667">
        <f t="shared" si="14"/>
        <v>100</v>
      </c>
      <c r="X35" s="1264"/>
      <c r="Y35" s="3429"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29"/>
      <c r="Q36" s="1262" t="str">
        <f t="shared" si="11"/>
        <v>内部装修</v>
      </c>
      <c r="R36" s="666" t="s">
        <v>14</v>
      </c>
      <c r="S36" s="667">
        <f t="shared" si="12"/>
        <v>100</v>
      </c>
      <c r="T36" s="666" t="s">
        <v>14</v>
      </c>
      <c r="U36" s="667">
        <f t="shared" si="13"/>
        <v>100</v>
      </c>
      <c r="V36" s="666" t="s">
        <v>14</v>
      </c>
      <c r="W36" s="667">
        <f t="shared" si="14"/>
        <v>100</v>
      </c>
      <c r="X36" s="1264"/>
      <c r="Y36" s="3429"/>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29"/>
      <c r="Q37" s="1262" t="str">
        <f t="shared" si="11"/>
        <v>内部装修状况</v>
      </c>
      <c r="R37" s="666" t="s">
        <v>14</v>
      </c>
      <c r="S37" s="667">
        <f t="shared" si="12"/>
        <v>100</v>
      </c>
      <c r="T37" s="666" t="s">
        <v>14</v>
      </c>
      <c r="U37" s="667">
        <f t="shared" si="13"/>
        <v>100</v>
      </c>
      <c r="V37" s="666" t="s">
        <v>14</v>
      </c>
      <c r="W37" s="667">
        <f t="shared" si="14"/>
        <v>100</v>
      </c>
      <c r="X37" s="1264"/>
      <c r="Y37" s="3429"/>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29"/>
      <c r="Q38" s="530">
        <f t="shared" si="11"/>
        <v>111</v>
      </c>
      <c r="R38" s="668" t="s">
        <v>14</v>
      </c>
      <c r="S38" s="669">
        <f t="shared" si="12"/>
        <v>100</v>
      </c>
      <c r="T38" s="668" t="s">
        <v>14</v>
      </c>
      <c r="U38" s="669">
        <f t="shared" si="13"/>
        <v>100</v>
      </c>
      <c r="V38" s="668" t="s">
        <v>14</v>
      </c>
      <c r="W38" s="669">
        <f t="shared" si="14"/>
        <v>100</v>
      </c>
      <c r="X38" s="670"/>
      <c r="Y38" s="3429"/>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29"/>
      <c r="Q39" s="1262">
        <f t="shared" si="11"/>
        <v>111</v>
      </c>
      <c r="R39" s="666" t="s">
        <v>14</v>
      </c>
      <c r="S39" s="667">
        <f t="shared" si="12"/>
        <v>100</v>
      </c>
      <c r="T39" s="666" t="s">
        <v>14</v>
      </c>
      <c r="U39" s="667">
        <f t="shared" si="13"/>
        <v>100</v>
      </c>
      <c r="V39" s="666" t="s">
        <v>14</v>
      </c>
      <c r="W39" s="667">
        <f t="shared" si="14"/>
        <v>100</v>
      </c>
      <c r="X39" s="1264"/>
      <c r="Y39" s="3429"/>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30"/>
      <c r="Q40" s="1262">
        <f t="shared" si="11"/>
        <v>111</v>
      </c>
      <c r="R40" s="666" t="s">
        <v>14</v>
      </c>
      <c r="S40" s="667">
        <f t="shared" si="12"/>
        <v>100</v>
      </c>
      <c r="T40" s="666" t="s">
        <v>14</v>
      </c>
      <c r="U40" s="667">
        <f t="shared" si="13"/>
        <v>100</v>
      </c>
      <c r="V40" s="666" t="s">
        <v>14</v>
      </c>
      <c r="W40" s="667">
        <f t="shared" si="14"/>
        <v>100</v>
      </c>
      <c r="X40" s="1264"/>
      <c r="Y40" s="3430"/>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22" t="str">
        <f>A41</f>
        <v>成交单价（元/平方米）</v>
      </c>
      <c r="Q41" s="3422"/>
      <c r="R41" s="3423">
        <f>E41</f>
        <v>0</v>
      </c>
      <c r="S41" s="3423"/>
      <c r="T41" s="3423">
        <f>G41</f>
        <v>0</v>
      </c>
      <c r="U41" s="3423"/>
      <c r="V41" s="3423">
        <f>I41</f>
        <v>0</v>
      </c>
      <c r="W41" s="3423"/>
      <c r="X41" s="384"/>
      <c r="Y41" s="672"/>
      <c r="Z41" s="384"/>
      <c r="AA41" s="384"/>
      <c r="AB41" s="384"/>
      <c r="AC41" s="384"/>
    </row>
    <row r="42" spans="1:29" ht="1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22" t="str">
        <f>A42</f>
        <v>比较价值（元/平方米）</v>
      </c>
      <c r="Q42" s="3422"/>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19" t="str">
        <f>A43</f>
        <v>估价对象XX用房的比较价值（楼面单价，元/平方米）</v>
      </c>
      <c r="Q43" s="3420"/>
      <c r="R43" s="3421" t="e">
        <f>IF(F1="售价",ROUND(IF(D42="简单平均",AVERAGE(R42:V42),R42*F42+T42*H42+V42*J42),0),ROUND(IF(D42="简单平均",AVERAGE(R42:V42),R42*F42+T42*H42+V42*J42),1))</f>
        <v>#DIV/0!</v>
      </c>
      <c r="S43" s="3421"/>
      <c r="T43" s="3421"/>
      <c r="U43" s="3421"/>
      <c r="V43" s="3421"/>
      <c r="W43" s="3421"/>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7"/>
      <c r="O54" s="2538"/>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0"/>
      <c r="R3" s="340"/>
      <c r="S3" s="340"/>
      <c r="T3" s="340"/>
      <c r="U3" s="340"/>
      <c r="V3" s="340"/>
      <c r="W3" s="340"/>
      <c r="X3" s="340"/>
      <c r="Y3" s="340"/>
      <c r="Z3" s="340"/>
      <c r="AA3" s="340"/>
      <c r="AB3" s="675"/>
      <c r="AC3" s="662"/>
    </row>
    <row r="4" spans="1:29" ht="14.4">
      <c r="A4" s="344" t="s">
        <v>1769</v>
      </c>
      <c r="B4" s="345"/>
      <c r="C4" s="3437" t="s">
        <v>1770</v>
      </c>
      <c r="D4" s="3438"/>
      <c r="E4" s="3439" t="s">
        <v>1771</v>
      </c>
      <c r="F4" s="3440"/>
      <c r="G4" s="3437" t="s">
        <v>1772</v>
      </c>
      <c r="H4" s="3438"/>
      <c r="I4" s="3437" t="s">
        <v>1773</v>
      </c>
      <c r="J4" s="3438"/>
      <c r="K4" s="536" t="s">
        <v>1774</v>
      </c>
      <c r="L4" s="2485"/>
      <c r="M4" s="2486"/>
      <c r="N4" s="2486"/>
      <c r="O4" s="2486"/>
      <c r="P4" s="3441" t="s">
        <v>1775</v>
      </c>
      <c r="Q4" s="3442"/>
      <c r="R4" s="3447" t="s">
        <v>1771</v>
      </c>
      <c r="S4" s="3448"/>
      <c r="T4" s="3447" t="s">
        <v>1772</v>
      </c>
      <c r="U4" s="3448"/>
      <c r="V4" s="3423" t="s">
        <v>1773</v>
      </c>
      <c r="W4" s="3423"/>
      <c r="X4" s="1264"/>
      <c r="Y4" s="3447" t="s">
        <v>1775</v>
      </c>
      <c r="Z4" s="3448"/>
      <c r="AA4" s="3434" t="s">
        <v>1771</v>
      </c>
      <c r="AB4" s="3435" t="s">
        <v>1772</v>
      </c>
      <c r="AC4" s="3434" t="s">
        <v>1773</v>
      </c>
    </row>
    <row r="5" spans="1:29">
      <c r="A5" s="347"/>
      <c r="B5" s="348"/>
      <c r="C5" s="3455" t="s">
        <v>1673</v>
      </c>
      <c r="D5" s="3456"/>
      <c r="E5" s="3462" t="s">
        <v>1674</v>
      </c>
      <c r="F5" s="3463"/>
      <c r="G5" s="3455" t="s">
        <v>1675</v>
      </c>
      <c r="H5" s="3456"/>
      <c r="I5" s="3455" t="s">
        <v>1676</v>
      </c>
      <c r="J5" s="3456"/>
      <c r="K5" s="536"/>
      <c r="L5" s="2485"/>
      <c r="M5" s="2486"/>
      <c r="N5" s="2486"/>
      <c r="O5" s="2486"/>
      <c r="P5" s="3443"/>
      <c r="Q5" s="3444"/>
      <c r="R5" s="3449"/>
      <c r="S5" s="3450"/>
      <c r="T5" s="3449"/>
      <c r="U5" s="3450"/>
      <c r="V5" s="3423"/>
      <c r="W5" s="3423"/>
      <c r="X5" s="1264"/>
      <c r="Y5" s="3449"/>
      <c r="Z5" s="3450"/>
      <c r="AA5" s="3435"/>
      <c r="AB5" s="3435"/>
      <c r="AC5" s="3435"/>
    </row>
    <row r="6" spans="1:29" ht="15" thickBot="1">
      <c r="A6" s="349"/>
      <c r="B6" s="350"/>
      <c r="C6" s="3453" t="s">
        <v>1677</v>
      </c>
      <c r="D6" s="3454"/>
      <c r="E6" s="3460" t="s">
        <v>1677</v>
      </c>
      <c r="F6" s="3461"/>
      <c r="G6" s="3453" t="s">
        <v>1677</v>
      </c>
      <c r="H6" s="3454"/>
      <c r="I6" s="3453" t="s">
        <v>1677</v>
      </c>
      <c r="J6" s="3454"/>
      <c r="K6" s="536" t="s">
        <v>1678</v>
      </c>
      <c r="L6" s="2485"/>
      <c r="M6" s="2486"/>
      <c r="N6" s="2486"/>
      <c r="O6" s="2486"/>
      <c r="P6" s="3445"/>
      <c r="Q6" s="3446"/>
      <c r="R6" s="3449"/>
      <c r="S6" s="3450"/>
      <c r="T6" s="3451"/>
      <c r="U6" s="3452"/>
      <c r="V6" s="3423"/>
      <c r="W6" s="3423"/>
      <c r="X6" s="1264"/>
      <c r="Y6" s="3451"/>
      <c r="Z6" s="3452"/>
      <c r="AA6" s="3436"/>
      <c r="AB6" s="3436"/>
      <c r="AC6" s="3436"/>
    </row>
    <row r="7" spans="1:29" s="102" customFormat="1" ht="15" thickBot="1">
      <c r="A7" s="351" t="s">
        <v>1679</v>
      </c>
      <c r="B7" s="352"/>
      <c r="C7" s="353">
        <f>'数据-取费表'!B2</f>
        <v>45783</v>
      </c>
      <c r="D7" s="354">
        <v>100</v>
      </c>
      <c r="E7" s="355"/>
      <c r="F7" s="356">
        <f>SUMIF(48:48,YEAR(E7)&amp;"-"&amp;MONTH(E7),49:49)</f>
        <v>0</v>
      </c>
      <c r="G7" s="355"/>
      <c r="H7" s="354">
        <f>SUMIF(48:48,YEAR(G7)&amp;"-"&amp;MONTH(G7),49:49)</f>
        <v>0</v>
      </c>
      <c r="I7" s="355"/>
      <c r="J7" s="354">
        <f>SUMIF(48:48,YEAR(I7)&amp;"-"&amp;MONTH(I7),49:49)</f>
        <v>0</v>
      </c>
      <c r="K7" s="38"/>
      <c r="L7" s="2487"/>
      <c r="M7" s="2439"/>
      <c r="N7" s="2439"/>
      <c r="O7" s="2439"/>
      <c r="P7" s="3457" t="s">
        <v>1680</v>
      </c>
      <c r="Q7" s="3459"/>
      <c r="R7" s="663" t="s">
        <v>14</v>
      </c>
      <c r="S7" s="664">
        <f t="shared" ref="S7:S14" si="0">F7</f>
        <v>0</v>
      </c>
      <c r="T7" s="663" t="s">
        <v>14</v>
      </c>
      <c r="U7" s="664">
        <f t="shared" ref="U7:U14" si="1">H7</f>
        <v>0</v>
      </c>
      <c r="V7" s="663" t="s">
        <v>14</v>
      </c>
      <c r="W7" s="664">
        <f t="shared" ref="W7:W14" si="2">J7</f>
        <v>0</v>
      </c>
      <c r="X7" s="665"/>
      <c r="Y7" s="3457" t="s">
        <v>1680</v>
      </c>
      <c r="Z7" s="3458"/>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7"/>
      <c r="M8" s="2439"/>
      <c r="N8" s="2439"/>
      <c r="O8" s="2439"/>
      <c r="P8" s="3457" t="s">
        <v>1683</v>
      </c>
      <c r="Q8" s="3458"/>
      <c r="R8" s="663" t="s">
        <v>14</v>
      </c>
      <c r="S8" s="664">
        <f t="shared" si="0"/>
        <v>100</v>
      </c>
      <c r="T8" s="663" t="s">
        <v>14</v>
      </c>
      <c r="U8" s="664">
        <f t="shared" si="1"/>
        <v>100</v>
      </c>
      <c r="V8" s="663" t="s">
        <v>14</v>
      </c>
      <c r="W8" s="664">
        <f t="shared" si="2"/>
        <v>100</v>
      </c>
      <c r="X8" s="665"/>
      <c r="Y8" s="3457" t="s">
        <v>1683</v>
      </c>
      <c r="Z8" s="3458"/>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7"/>
      <c r="M9" s="2439"/>
      <c r="N9" s="2439"/>
      <c r="O9" s="2439"/>
      <c r="P9" s="3422" t="s">
        <v>1686</v>
      </c>
      <c r="Q9" s="529" t="str">
        <f t="shared" ref="Q9:Q14" si="6">B9</f>
        <v>用途</v>
      </c>
      <c r="R9" s="663" t="s">
        <v>14</v>
      </c>
      <c r="S9" s="664">
        <f t="shared" si="0"/>
        <v>100</v>
      </c>
      <c r="T9" s="663" t="s">
        <v>14</v>
      </c>
      <c r="U9" s="664">
        <f t="shared" si="1"/>
        <v>100</v>
      </c>
      <c r="V9" s="663" t="s">
        <v>14</v>
      </c>
      <c r="W9" s="664">
        <f t="shared" si="2"/>
        <v>100</v>
      </c>
      <c r="X9" s="665"/>
      <c r="Y9" s="3273" t="s">
        <v>1687</v>
      </c>
      <c r="Z9" s="50" t="str">
        <f t="shared" ref="Z9:Z14" si="7">Q9</f>
        <v>用途</v>
      </c>
      <c r="AA9" s="50">
        <f t="shared" si="3"/>
        <v>1</v>
      </c>
      <c r="AB9" s="50">
        <f t="shared" si="4"/>
        <v>1</v>
      </c>
      <c r="AC9" s="50">
        <f t="shared" si="5"/>
        <v>1</v>
      </c>
    </row>
    <row r="10" spans="1:29" s="365" customFormat="1" ht="28.8">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8"/>
      <c r="L10" s="2488"/>
      <c r="M10" s="2489"/>
      <c r="N10" s="2489"/>
      <c r="O10" s="2489"/>
      <c r="P10" s="3422"/>
      <c r="Q10" s="529"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422"/>
      <c r="Q11" s="529">
        <f t="shared" si="6"/>
        <v>111</v>
      </c>
      <c r="R11" s="663" t="s">
        <v>14</v>
      </c>
      <c r="S11" s="664">
        <f t="shared" si="0"/>
        <v>100</v>
      </c>
      <c r="T11" s="663" t="s">
        <v>14</v>
      </c>
      <c r="U11" s="664">
        <f t="shared" si="1"/>
        <v>100</v>
      </c>
      <c r="V11" s="663" t="s">
        <v>14</v>
      </c>
      <c r="W11" s="664">
        <f t="shared" si="2"/>
        <v>100</v>
      </c>
      <c r="X11" s="665"/>
      <c r="Y11" s="3273"/>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9"/>
      <c r="N12" s="2439"/>
      <c r="O12" s="2439"/>
      <c r="P12" s="3422"/>
      <c r="Q12" s="529">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422"/>
      <c r="Q13" s="529">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96.6">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424" t="s">
        <v>1691</v>
      </c>
      <c r="Q14" s="1262" t="str">
        <f t="shared" si="6"/>
        <v>交通便捷度</v>
      </c>
      <c r="R14" s="666" t="s">
        <v>14</v>
      </c>
      <c r="S14" s="667">
        <f t="shared" si="0"/>
        <v>100</v>
      </c>
      <c r="T14" s="666" t="s">
        <v>14</v>
      </c>
      <c r="U14" s="667">
        <f t="shared" si="1"/>
        <v>100</v>
      </c>
      <c r="V14" s="666" t="s">
        <v>14</v>
      </c>
      <c r="W14" s="667">
        <f t="shared" si="2"/>
        <v>100</v>
      </c>
      <c r="X14" s="1264"/>
      <c r="Y14" s="3424"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1"/>
      <c r="M15" s="2486"/>
      <c r="N15" s="2486"/>
      <c r="O15" s="2486"/>
      <c r="P15" s="3425"/>
      <c r="Q15" s="1262"/>
      <c r="R15" s="666"/>
      <c r="S15" s="667"/>
      <c r="T15" s="666"/>
      <c r="U15" s="667"/>
      <c r="V15" s="666"/>
      <c r="W15" s="667"/>
      <c r="X15" s="1264"/>
      <c r="Y15" s="3425"/>
      <c r="Z15" s="1263"/>
      <c r="AA15" s="1263">
        <v>1</v>
      </c>
      <c r="AB15" s="1263">
        <v>1</v>
      </c>
      <c r="AC15" s="1263">
        <v>1</v>
      </c>
    </row>
    <row r="16" spans="1:29" ht="41.4">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425"/>
      <c r="Q16" s="1262" t="str">
        <f>B16</f>
        <v>公共配套设施</v>
      </c>
      <c r="R16" s="666" t="s">
        <v>14</v>
      </c>
      <c r="S16" s="667">
        <f>F16</f>
        <v>100</v>
      </c>
      <c r="T16" s="666" t="s">
        <v>14</v>
      </c>
      <c r="U16" s="667">
        <f>H16</f>
        <v>100</v>
      </c>
      <c r="V16" s="666" t="s">
        <v>14</v>
      </c>
      <c r="W16" s="667">
        <f>J16</f>
        <v>100</v>
      </c>
      <c r="X16" s="1264"/>
      <c r="Y16" s="3425"/>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1"/>
      <c r="M17" s="2486"/>
      <c r="N17" s="2486"/>
      <c r="O17" s="2486"/>
      <c r="P17" s="3425"/>
      <c r="Q17" s="1262"/>
      <c r="R17" s="666"/>
      <c r="S17" s="667"/>
      <c r="T17" s="666"/>
      <c r="U17" s="667"/>
      <c r="V17" s="666"/>
      <c r="W17" s="667"/>
      <c r="X17" s="1264"/>
      <c r="Y17" s="3425"/>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425"/>
      <c r="Q18" s="1262" t="str">
        <f>B18</f>
        <v>基础设施水平</v>
      </c>
      <c r="R18" s="666" t="s">
        <v>14</v>
      </c>
      <c r="S18" s="667">
        <f>F18</f>
        <v>100</v>
      </c>
      <c r="T18" s="666" t="s">
        <v>14</v>
      </c>
      <c r="U18" s="667">
        <f>H18</f>
        <v>100</v>
      </c>
      <c r="V18" s="666" t="s">
        <v>14</v>
      </c>
      <c r="W18" s="667">
        <f>J18</f>
        <v>100</v>
      </c>
      <c r="X18" s="1264"/>
      <c r="Y18" s="3425"/>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1"/>
      <c r="M19" s="2486"/>
      <c r="N19" s="2486"/>
      <c r="O19" s="2486"/>
      <c r="P19" s="3425"/>
      <c r="Q19" s="1262"/>
      <c r="R19" s="666"/>
      <c r="S19" s="667"/>
      <c r="T19" s="666"/>
      <c r="U19" s="667"/>
      <c r="V19" s="666"/>
      <c r="W19" s="667"/>
      <c r="X19" s="1264"/>
      <c r="Y19" s="3425"/>
      <c r="Z19" s="1263"/>
      <c r="AA19" s="1263">
        <v>1</v>
      </c>
      <c r="AB19" s="1263">
        <v>1</v>
      </c>
      <c r="AC19" s="1263">
        <v>1</v>
      </c>
    </row>
    <row r="20" spans="1:29" ht="55.2">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425"/>
      <c r="Q20" s="1262" t="str">
        <f>B20</f>
        <v>自然及人文环境</v>
      </c>
      <c r="R20" s="666" t="s">
        <v>14</v>
      </c>
      <c r="S20" s="667">
        <f>F20</f>
        <v>100</v>
      </c>
      <c r="T20" s="666" t="s">
        <v>14</v>
      </c>
      <c r="U20" s="667">
        <f>H20</f>
        <v>100</v>
      </c>
      <c r="V20" s="666" t="s">
        <v>14</v>
      </c>
      <c r="W20" s="667">
        <f>J20</f>
        <v>100</v>
      </c>
      <c r="X20" s="1264"/>
      <c r="Y20" s="3425"/>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1"/>
      <c r="M21" s="2486"/>
      <c r="N21" s="2486"/>
      <c r="O21" s="2486"/>
      <c r="P21" s="3425"/>
      <c r="Q21" s="1262"/>
      <c r="R21" s="666"/>
      <c r="S21" s="667"/>
      <c r="T21" s="666"/>
      <c r="U21" s="667"/>
      <c r="V21" s="666"/>
      <c r="W21" s="667"/>
      <c r="X21" s="1264"/>
      <c r="Y21" s="3425"/>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425"/>
      <c r="Q22" s="1262" t="str">
        <f>B22</f>
        <v>楼层</v>
      </c>
      <c r="R22" s="666" t="s">
        <v>14</v>
      </c>
      <c r="S22" s="667">
        <f>F22</f>
        <v>100</v>
      </c>
      <c r="T22" s="666" t="s">
        <v>14</v>
      </c>
      <c r="U22" s="667">
        <f>H22</f>
        <v>100</v>
      </c>
      <c r="V22" s="666" t="s">
        <v>14</v>
      </c>
      <c r="W22" s="667">
        <f>J22</f>
        <v>100</v>
      </c>
      <c r="X22" s="1264"/>
      <c r="Y22" s="3425"/>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425"/>
      <c r="Q23" s="1262">
        <f>B23</f>
        <v>111</v>
      </c>
      <c r="R23" s="666" t="s">
        <v>14</v>
      </c>
      <c r="S23" s="667">
        <f>F23</f>
        <v>100</v>
      </c>
      <c r="T23" s="666" t="s">
        <v>14</v>
      </c>
      <c r="U23" s="667">
        <f>H23</f>
        <v>100</v>
      </c>
      <c r="V23" s="666" t="s">
        <v>14</v>
      </c>
      <c r="W23" s="667">
        <f>J23</f>
        <v>100</v>
      </c>
      <c r="X23" s="1264"/>
      <c r="Y23" s="3425"/>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425"/>
      <c r="Q24" s="1262">
        <f t="shared" ref="Q24:Q36" si="11">B24</f>
        <v>111</v>
      </c>
      <c r="R24" s="666" t="s">
        <v>14</v>
      </c>
      <c r="S24" s="667">
        <f>F24</f>
        <v>100</v>
      </c>
      <c r="T24" s="666" t="s">
        <v>14</v>
      </c>
      <c r="U24" s="667">
        <f>H24</f>
        <v>100</v>
      </c>
      <c r="V24" s="666" t="s">
        <v>14</v>
      </c>
      <c r="W24" s="667">
        <f>J24</f>
        <v>100</v>
      </c>
      <c r="X24" s="1264"/>
      <c r="Y24" s="3425"/>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9"/>
      <c r="N25" s="2439"/>
      <c r="O25" s="2439"/>
      <c r="P25" s="3425"/>
      <c r="Q25" s="529">
        <f t="shared" si="11"/>
        <v>111</v>
      </c>
      <c r="R25" s="663" t="s">
        <v>14</v>
      </c>
      <c r="S25" s="664">
        <f>F25</f>
        <v>100</v>
      </c>
      <c r="T25" s="663" t="s">
        <v>14</v>
      </c>
      <c r="U25" s="664">
        <f>H25</f>
        <v>100</v>
      </c>
      <c r="V25" s="663" t="s">
        <v>14</v>
      </c>
      <c r="W25" s="664">
        <f>J25</f>
        <v>100</v>
      </c>
      <c r="X25" s="665"/>
      <c r="Y25" s="3425"/>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479"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29"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429"/>
      <c r="Q27" s="530" t="str">
        <f t="shared" si="11"/>
        <v>项目停车位配比</v>
      </c>
      <c r="R27" s="668" t="s">
        <v>14</v>
      </c>
      <c r="S27" s="669">
        <f t="shared" si="12"/>
        <v>100</v>
      </c>
      <c r="T27" s="668" t="s">
        <v>14</v>
      </c>
      <c r="U27" s="669">
        <f t="shared" si="13"/>
        <v>100</v>
      </c>
      <c r="V27" s="668" t="s">
        <v>14</v>
      </c>
      <c r="W27" s="669">
        <f t="shared" si="14"/>
        <v>100</v>
      </c>
      <c r="X27" s="670"/>
      <c r="Y27" s="3429"/>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429"/>
      <c r="Q28" s="1262" t="str">
        <f t="shared" si="11"/>
        <v>公共部分装修</v>
      </c>
      <c r="R28" s="666" t="s">
        <v>14</v>
      </c>
      <c r="S28" s="667">
        <f t="shared" si="12"/>
        <v>100</v>
      </c>
      <c r="T28" s="666" t="s">
        <v>14</v>
      </c>
      <c r="U28" s="667">
        <f t="shared" si="13"/>
        <v>100</v>
      </c>
      <c r="V28" s="666" t="s">
        <v>14</v>
      </c>
      <c r="W28" s="667">
        <f t="shared" si="14"/>
        <v>100</v>
      </c>
      <c r="X28" s="1264"/>
      <c r="Y28" s="3429"/>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429"/>
      <c r="Q29" s="1262" t="str">
        <f t="shared" si="11"/>
        <v>成新率</v>
      </c>
      <c r="R29" s="666" t="s">
        <v>14</v>
      </c>
      <c r="S29" s="667" t="e">
        <f t="shared" si="12"/>
        <v>#N/A</v>
      </c>
      <c r="T29" s="666" t="s">
        <v>14</v>
      </c>
      <c r="U29" s="667" t="e">
        <f t="shared" si="13"/>
        <v>#N/A</v>
      </c>
      <c r="V29" s="666" t="s">
        <v>14</v>
      </c>
      <c r="W29" s="667" t="e">
        <f t="shared" si="14"/>
        <v>#N/A</v>
      </c>
      <c r="X29" s="1264"/>
      <c r="Y29" s="3429"/>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429"/>
      <c r="Q30" s="1262" t="str">
        <f t="shared" si="11"/>
        <v>物业等级</v>
      </c>
      <c r="R30" s="666" t="s">
        <v>14</v>
      </c>
      <c r="S30" s="667">
        <f t="shared" si="12"/>
        <v>100</v>
      </c>
      <c r="T30" s="666" t="s">
        <v>14</v>
      </c>
      <c r="U30" s="667">
        <f t="shared" si="13"/>
        <v>100</v>
      </c>
      <c r="V30" s="666" t="s">
        <v>14</v>
      </c>
      <c r="W30" s="667">
        <f t="shared" si="14"/>
        <v>100</v>
      </c>
      <c r="X30" s="1264"/>
      <c r="Y30" s="3429"/>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9"/>
      <c r="N31" s="2439"/>
      <c r="O31" s="2439"/>
      <c r="P31" s="3429"/>
      <c r="Q31" s="529" t="str">
        <f t="shared" si="11"/>
        <v>停车位面积</v>
      </c>
      <c r="R31" s="663" t="s">
        <v>14</v>
      </c>
      <c r="S31" s="664" t="e">
        <f t="shared" si="12"/>
        <v>#N/A</v>
      </c>
      <c r="T31" s="663" t="s">
        <v>14</v>
      </c>
      <c r="U31" s="664" t="e">
        <f t="shared" si="13"/>
        <v>#N/A</v>
      </c>
      <c r="V31" s="663" t="s">
        <v>14</v>
      </c>
      <c r="W31" s="664" t="e">
        <f t="shared" si="14"/>
        <v>#N/A</v>
      </c>
      <c r="X31" s="665"/>
      <c r="Y31" s="3429"/>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429" t="s">
        <v>1696</v>
      </c>
      <c r="Q32" s="1262" t="str">
        <f t="shared" si="11"/>
        <v>车位类型</v>
      </c>
      <c r="R32" s="666" t="s">
        <v>14</v>
      </c>
      <c r="S32" s="667">
        <f t="shared" si="12"/>
        <v>100</v>
      </c>
      <c r="T32" s="666" t="s">
        <v>14</v>
      </c>
      <c r="U32" s="667">
        <f t="shared" si="13"/>
        <v>100</v>
      </c>
      <c r="V32" s="666" t="s">
        <v>14</v>
      </c>
      <c r="W32" s="667">
        <f t="shared" si="14"/>
        <v>100</v>
      </c>
      <c r="X32" s="1264"/>
      <c r="Y32" s="3429"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429"/>
      <c r="Q33" s="1262" t="str">
        <f t="shared" si="11"/>
        <v>是否直接入户</v>
      </c>
      <c r="R33" s="666" t="s">
        <v>14</v>
      </c>
      <c r="S33" s="667">
        <f t="shared" si="12"/>
        <v>100</v>
      </c>
      <c r="T33" s="666" t="s">
        <v>14</v>
      </c>
      <c r="U33" s="667">
        <f t="shared" si="13"/>
        <v>100</v>
      </c>
      <c r="V33" s="666" t="s">
        <v>14</v>
      </c>
      <c r="W33" s="667">
        <f t="shared" si="14"/>
        <v>100</v>
      </c>
      <c r="X33" s="1264"/>
      <c r="Y33" s="3429"/>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429"/>
      <c r="Q34" s="1262">
        <f t="shared" si="11"/>
        <v>111</v>
      </c>
      <c r="R34" s="666" t="s">
        <v>14</v>
      </c>
      <c r="S34" s="667">
        <f t="shared" si="12"/>
        <v>100</v>
      </c>
      <c r="T34" s="666" t="s">
        <v>14</v>
      </c>
      <c r="U34" s="667">
        <f t="shared" si="13"/>
        <v>100</v>
      </c>
      <c r="V34" s="666" t="s">
        <v>14</v>
      </c>
      <c r="W34" s="667">
        <f t="shared" si="14"/>
        <v>100</v>
      </c>
      <c r="X34" s="1264"/>
      <c r="Y34" s="3429"/>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429"/>
      <c r="Q35" s="530">
        <f t="shared" si="11"/>
        <v>111</v>
      </c>
      <c r="R35" s="668" t="s">
        <v>14</v>
      </c>
      <c r="S35" s="669">
        <f t="shared" si="12"/>
        <v>100</v>
      </c>
      <c r="T35" s="668" t="s">
        <v>14</v>
      </c>
      <c r="U35" s="669">
        <f t="shared" si="13"/>
        <v>100</v>
      </c>
      <c r="V35" s="668" t="s">
        <v>14</v>
      </c>
      <c r="W35" s="669">
        <f t="shared" si="14"/>
        <v>100</v>
      </c>
      <c r="X35" s="670"/>
      <c r="Y35" s="3429"/>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429"/>
      <c r="Q36" s="1262">
        <f t="shared" si="11"/>
        <v>111</v>
      </c>
      <c r="R36" s="666" t="s">
        <v>14</v>
      </c>
      <c r="S36" s="667">
        <f t="shared" si="12"/>
        <v>100</v>
      </c>
      <c r="T36" s="666" t="s">
        <v>14</v>
      </c>
      <c r="U36" s="667">
        <f t="shared" si="13"/>
        <v>100</v>
      </c>
      <c r="V36" s="666" t="s">
        <v>14</v>
      </c>
      <c r="W36" s="667">
        <f t="shared" si="14"/>
        <v>100</v>
      </c>
      <c r="X36" s="1264"/>
      <c r="Y36" s="3429"/>
      <c r="Z36" s="1263">
        <f t="shared" si="15"/>
        <v>111</v>
      </c>
      <c r="AA36" s="1263">
        <f t="shared" si="3"/>
        <v>1</v>
      </c>
      <c r="AB36" s="1263">
        <f t="shared" si="4"/>
        <v>1</v>
      </c>
      <c r="AC36" s="1263">
        <f t="shared" si="5"/>
        <v>1</v>
      </c>
    </row>
    <row r="37" spans="1:29" ht="14.4">
      <c r="A37" s="415" t="s">
        <v>1844</v>
      </c>
      <c r="B37" s="1820" t="s">
        <v>3354</v>
      </c>
      <c r="C37" s="1080" t="s">
        <v>0</v>
      </c>
      <c r="D37" s="417"/>
      <c r="E37" s="418"/>
      <c r="F37" s="419"/>
      <c r="G37" s="420"/>
      <c r="H37" s="421"/>
      <c r="I37" s="418"/>
      <c r="J37" s="421"/>
      <c r="K37" s="544"/>
      <c r="L37" s="2493"/>
      <c r="M37" s="2486"/>
      <c r="N37" s="2486"/>
      <c r="O37" s="2486"/>
      <c r="P37" s="3422" t="str">
        <f>A37</f>
        <v>成交单价</v>
      </c>
      <c r="Q37" s="3422"/>
      <c r="R37" s="3423">
        <f>E37</f>
        <v>0</v>
      </c>
      <c r="S37" s="3423"/>
      <c r="T37" s="3423">
        <f>G37</f>
        <v>0</v>
      </c>
      <c r="U37" s="3423"/>
      <c r="V37" s="3423">
        <f>I37</f>
        <v>0</v>
      </c>
      <c r="W37" s="3423"/>
      <c r="X37" s="384"/>
      <c r="Y37" s="672"/>
      <c r="Z37" s="384"/>
      <c r="AA37" s="384"/>
      <c r="AB37" s="384"/>
      <c r="AC37" s="384"/>
    </row>
    <row r="38" spans="1:29" ht="1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3"/>
      <c r="M38" s="2486"/>
      <c r="N38" s="2486"/>
      <c r="O38" s="2486"/>
      <c r="P38" s="3422" t="str">
        <f>A38</f>
        <v>比较价值（元/平方米）</v>
      </c>
      <c r="Q38" s="3422"/>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3"/>
      <c r="M39" s="2486"/>
      <c r="N39" s="2486"/>
      <c r="O39" s="2486"/>
      <c r="P39" s="3419" t="str">
        <f>A39</f>
        <v>估价对象XX用房的比较价值（楼面单价，元/平方米）</v>
      </c>
      <c r="Q39" s="3420"/>
      <c r="R39" s="3480" t="e">
        <f>IF(F1="售价",ROUND(IF(D38="简单平均",AVERAGE(R38:W38),R38*F38+T38*H38+V38*J38),0),ROUND(IF(D38="简单平均",AVERAGE(R38:V38),R38*F38+T38*H38+V38*J38),1))</f>
        <v>#DIV/0!</v>
      </c>
      <c r="S39" s="3480"/>
      <c r="T39" s="3480"/>
      <c r="U39" s="3480"/>
      <c r="V39" s="3480"/>
      <c r="W39" s="3480"/>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ht="14.4">
      <c r="A48" s="439" t="s">
        <v>1851</v>
      </c>
      <c r="B48" s="440"/>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6"/>
      <c r="Q48" s="2509"/>
      <c r="R48" s="2509"/>
      <c r="S48" s="2509"/>
      <c r="T48" s="2509"/>
      <c r="U48" s="2509"/>
      <c r="V48" s="2509"/>
      <c r="W48" s="2509"/>
      <c r="X48" s="2509"/>
      <c r="Y48" s="2509"/>
      <c r="Z48" s="2509"/>
      <c r="AA48" s="2509"/>
      <c r="AB48" s="2509"/>
      <c r="AC48" s="2509"/>
    </row>
    <row r="49" spans="1:29" s="102" customFormat="1">
      <c r="A49" s="442"/>
      <c r="B49" s="443"/>
      <c r="C49" s="1096">
        <v>100</v>
      </c>
      <c r="D49" s="445"/>
      <c r="E49" s="445"/>
      <c r="F49" s="445"/>
      <c r="G49" s="445"/>
      <c r="H49" s="445"/>
      <c r="I49" s="445"/>
      <c r="J49" s="445"/>
      <c r="K49" s="445"/>
      <c r="L49" s="445"/>
      <c r="M49" s="446"/>
      <c r="N49" s="445"/>
      <c r="O49" s="446"/>
      <c r="P49" s="2527"/>
      <c r="Q49" s="2439"/>
      <c r="R49" s="2439"/>
      <c r="S49" s="2439"/>
      <c r="T49" s="2439"/>
      <c r="U49" s="2439"/>
      <c r="V49" s="2439"/>
      <c r="W49" s="2439"/>
      <c r="X49" s="2439"/>
      <c r="Y49" s="2439"/>
      <c r="Z49" s="2439"/>
      <c r="AA49" s="2439"/>
      <c r="AB49" s="2439"/>
      <c r="AC49" s="2439"/>
    </row>
    <row r="50" spans="1:29" s="102" customFormat="1" ht="15" thickBot="1">
      <c r="A50" s="448" t="s">
        <v>1716</v>
      </c>
      <c r="B50" s="449"/>
      <c r="C50" s="450"/>
      <c r="D50" s="451"/>
      <c r="E50" s="451"/>
      <c r="F50" s="451"/>
      <c r="G50" s="451"/>
      <c r="H50" s="451"/>
      <c r="I50" s="451"/>
      <c r="J50" s="451"/>
      <c r="K50" s="451"/>
      <c r="L50" s="451"/>
      <c r="M50" s="452"/>
      <c r="N50" s="451"/>
      <c r="O50" s="452"/>
      <c r="P50" s="2527"/>
      <c r="Q50" s="2507"/>
      <c r="R50" s="2439"/>
      <c r="S50" s="2439"/>
      <c r="T50" s="2439"/>
      <c r="U50" s="2439"/>
      <c r="V50" s="2439"/>
      <c r="W50" s="2439"/>
      <c r="X50" s="2439"/>
      <c r="Y50" s="2439"/>
      <c r="Z50" s="2439"/>
      <c r="AA50" s="2439"/>
      <c r="AB50" s="2439"/>
      <c r="AC50" s="2439"/>
    </row>
    <row r="51" spans="1:29" s="102" customFormat="1" ht="14.4">
      <c r="A51" s="454" t="s">
        <v>1681</v>
      </c>
      <c r="B51" s="443"/>
      <c r="C51" s="455" t="s">
        <v>1776</v>
      </c>
      <c r="D51" s="31"/>
      <c r="E51" s="31"/>
      <c r="F51" s="31"/>
      <c r="G51" s="31"/>
      <c r="H51" s="31"/>
      <c r="I51" s="31"/>
      <c r="J51" s="31"/>
      <c r="K51" s="31"/>
      <c r="L51" s="456"/>
      <c r="M51" s="457"/>
      <c r="N51" s="2519"/>
      <c r="O51" s="2519"/>
      <c r="P51" s="2528"/>
      <c r="Q51" s="2507"/>
      <c r="R51" s="2439"/>
      <c r="S51" s="2439"/>
      <c r="T51" s="2439"/>
      <c r="U51" s="2439"/>
      <c r="V51" s="2439"/>
      <c r="W51" s="2439"/>
      <c r="X51" s="2439"/>
      <c r="Y51" s="2439"/>
      <c r="Z51" s="2439"/>
      <c r="AA51" s="2439"/>
      <c r="AB51" s="2439"/>
      <c r="AC51" s="2439"/>
    </row>
    <row r="52" spans="1:29" s="102" customFormat="1" ht="14.4" thickBot="1">
      <c r="A52" s="454"/>
      <c r="B52" s="443"/>
      <c r="C52" s="562">
        <v>100</v>
      </c>
      <c r="D52" s="445"/>
      <c r="E52" s="445"/>
      <c r="F52" s="445"/>
      <c r="G52" s="445"/>
      <c r="H52" s="445"/>
      <c r="I52" s="445"/>
      <c r="J52" s="445"/>
      <c r="K52" s="445"/>
      <c r="L52" s="445"/>
      <c r="M52" s="447"/>
      <c r="N52" s="2519"/>
      <c r="O52" s="2519"/>
      <c r="P52" s="2527"/>
      <c r="Q52" s="2507"/>
      <c r="R52" s="2439"/>
      <c r="S52" s="2439"/>
      <c r="T52" s="2439"/>
      <c r="U52" s="2439"/>
      <c r="V52" s="2439"/>
      <c r="W52" s="2439"/>
      <c r="X52" s="2439"/>
      <c r="Y52" s="2439"/>
      <c r="Z52" s="2439"/>
      <c r="AA52" s="2439"/>
      <c r="AB52" s="2439"/>
      <c r="AC52" s="2439"/>
    </row>
    <row r="53" spans="1:29" ht="14.4">
      <c r="A53" s="378" t="s">
        <v>1719</v>
      </c>
      <c r="B53" s="459" t="s">
        <v>1685</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4.4"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9.4" thickTop="1">
      <c r="A55" s="366"/>
      <c r="B55" s="468" t="s">
        <v>1688</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4.4"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4.4"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4.4"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4.4"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4.4"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4.4"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4.4"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5" thickTop="1">
      <c r="A65" s="366"/>
      <c r="B65" s="468" t="s">
        <v>1727</v>
      </c>
      <c r="C65" s="508" t="s">
        <v>1721</v>
      </c>
      <c r="D65" s="508" t="s">
        <v>1722</v>
      </c>
      <c r="E65" s="508" t="s">
        <v>1723</v>
      </c>
      <c r="F65" s="508" t="s">
        <v>1724</v>
      </c>
      <c r="G65" s="508" t="s">
        <v>1725</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5" thickTop="1">
      <c r="A67" s="366"/>
      <c r="B67" s="476" t="s">
        <v>1813</v>
      </c>
      <c r="C67" s="580" t="s">
        <v>1799</v>
      </c>
      <c r="D67" s="580" t="s">
        <v>1800</v>
      </c>
      <c r="E67" s="580" t="s">
        <v>1801</v>
      </c>
      <c r="F67" s="580" t="s">
        <v>1802</v>
      </c>
      <c r="G67" s="580" t="s">
        <v>1803</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5" thickTop="1">
      <c r="A69" s="366"/>
      <c r="B69" s="468" t="s">
        <v>1733</v>
      </c>
      <c r="C69" s="508" t="s">
        <v>1721</v>
      </c>
      <c r="D69" s="508" t="s">
        <v>1722</v>
      </c>
      <c r="E69" s="508" t="s">
        <v>1723</v>
      </c>
      <c r="F69" s="508" t="s">
        <v>1724</v>
      </c>
      <c r="G69" s="508" t="s">
        <v>1725</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5" thickTop="1">
      <c r="A71" s="366"/>
      <c r="B71" s="468" t="s">
        <v>1852</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2" customFormat="1" ht="14.4" thickTop="1">
      <c r="A73" s="369"/>
      <c r="B73" s="468">
        <f>B23</f>
        <v>111</v>
      </c>
      <c r="C73" s="479"/>
      <c r="D73" s="479"/>
      <c r="E73" s="479"/>
      <c r="F73" s="479"/>
      <c r="G73" s="484"/>
      <c r="H73" s="484"/>
      <c r="I73" s="484"/>
      <c r="J73" s="484"/>
      <c r="K73" s="484"/>
      <c r="L73" s="509"/>
      <c r="M73" s="510"/>
      <c r="N73" s="2519"/>
      <c r="O73" s="2519"/>
      <c r="P73" s="2529"/>
      <c r="Q73" s="2507"/>
      <c r="R73" s="2439"/>
      <c r="S73" s="2439"/>
      <c r="T73" s="2439"/>
      <c r="U73" s="2439"/>
      <c r="V73" s="2439"/>
      <c r="W73" s="2439"/>
      <c r="X73" s="2439"/>
      <c r="Y73" s="2439"/>
      <c r="Z73" s="2439"/>
      <c r="AA73" s="2439"/>
      <c r="AB73" s="2439"/>
      <c r="AC73" s="2439"/>
    </row>
    <row r="74" spans="1:29" s="102" customFormat="1" ht="14.4" thickBot="1">
      <c r="A74" s="369"/>
      <c r="B74" s="473"/>
      <c r="C74" s="490"/>
      <c r="D74" s="466"/>
      <c r="E74" s="466"/>
      <c r="F74" s="466"/>
      <c r="G74" s="466"/>
      <c r="H74" s="466"/>
      <c r="I74" s="466"/>
      <c r="J74" s="466"/>
      <c r="K74" s="466"/>
      <c r="L74" s="466"/>
      <c r="M74" s="467"/>
      <c r="N74" s="2521"/>
      <c r="O74" s="2521"/>
      <c r="P74" s="2529"/>
      <c r="Q74" s="2507"/>
      <c r="R74" s="2439"/>
      <c r="S74" s="2439"/>
      <c r="T74" s="2439"/>
      <c r="U74" s="2439"/>
      <c r="V74" s="2439"/>
      <c r="W74" s="2439"/>
      <c r="X74" s="2439"/>
      <c r="Y74" s="2439"/>
      <c r="Z74" s="2439"/>
      <c r="AA74" s="2439"/>
      <c r="AB74" s="2439"/>
      <c r="AC74" s="2439"/>
    </row>
    <row r="75" spans="1:29" s="102" customFormat="1" ht="14.4" thickTop="1">
      <c r="A75" s="369"/>
      <c r="B75" s="468">
        <f>B24</f>
        <v>111</v>
      </c>
      <c r="C75" s="479"/>
      <c r="D75" s="479"/>
      <c r="E75" s="479"/>
      <c r="F75" s="479"/>
      <c r="G75" s="484"/>
      <c r="H75" s="484"/>
      <c r="I75" s="484"/>
      <c r="J75" s="484"/>
      <c r="K75" s="484"/>
      <c r="L75" s="484"/>
      <c r="M75" s="510"/>
      <c r="N75" s="2519"/>
      <c r="O75" s="2519"/>
      <c r="P75" s="2529"/>
      <c r="Q75" s="2507"/>
      <c r="R75" s="2439"/>
      <c r="S75" s="2439"/>
      <c r="T75" s="2439"/>
      <c r="U75" s="2439"/>
      <c r="V75" s="2439"/>
      <c r="W75" s="2439"/>
      <c r="X75" s="2439"/>
      <c r="Y75" s="2439"/>
      <c r="Z75" s="2439"/>
      <c r="AA75" s="2439"/>
      <c r="AB75" s="2439"/>
      <c r="AC75" s="2439"/>
    </row>
    <row r="76" spans="1:29" s="102" customFormat="1" ht="14.4" thickBot="1">
      <c r="A76" s="369"/>
      <c r="B76" s="473"/>
      <c r="C76" s="490"/>
      <c r="D76" s="466"/>
      <c r="E76" s="466"/>
      <c r="F76" s="466"/>
      <c r="G76" s="466"/>
      <c r="H76" s="466"/>
      <c r="I76" s="466"/>
      <c r="J76" s="466"/>
      <c r="K76" s="466"/>
      <c r="L76" s="466"/>
      <c r="M76" s="467"/>
      <c r="N76" s="2521"/>
      <c r="O76" s="2521"/>
      <c r="P76" s="2529"/>
      <c r="Q76" s="2507"/>
      <c r="R76" s="2439"/>
      <c r="S76" s="2439"/>
      <c r="T76" s="2439"/>
      <c r="U76" s="2439"/>
      <c r="V76" s="2439"/>
      <c r="W76" s="2439"/>
      <c r="X76" s="2439"/>
      <c r="Y76" s="2439"/>
      <c r="Z76" s="2439"/>
      <c r="AA76" s="2439"/>
      <c r="AB76" s="2439"/>
      <c r="AC76" s="2439"/>
    </row>
    <row r="77" spans="1:29" s="407" customFormat="1" ht="14.4"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4.4"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9.4" thickTop="1">
      <c r="A79" s="378" t="s">
        <v>1694</v>
      </c>
      <c r="B79" s="459" t="s">
        <v>1853</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6"/>
      <c r="B81" s="468"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4.4"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5" thickTop="1">
      <c r="A83" s="408"/>
      <c r="B83" s="468" t="s">
        <v>1740</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8"/>
      <c r="B88" s="476" t="s">
        <v>1856</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4.4"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5" thickTop="1">
      <c r="A93" s="408"/>
      <c r="B93" s="468" t="s">
        <v>1858</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8"/>
      <c r="B95" s="468" t="s">
        <v>1859</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4.4"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4.4"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4.4"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4.4"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4.4"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4.4"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37" t="s">
        <v>1770</v>
      </c>
      <c r="D4" s="3438"/>
      <c r="E4" s="3439" t="s">
        <v>1771</v>
      </c>
      <c r="F4" s="3440"/>
      <c r="G4" s="3437" t="s">
        <v>1772</v>
      </c>
      <c r="H4" s="3438"/>
      <c r="I4" s="3437" t="s">
        <v>1773</v>
      </c>
      <c r="J4" s="3438"/>
      <c r="K4" s="536" t="s">
        <v>1774</v>
      </c>
      <c r="L4" s="2485"/>
      <c r="M4" s="2486"/>
      <c r="N4" s="2486"/>
      <c r="O4" s="2486"/>
      <c r="P4" s="3441" t="s">
        <v>1775</v>
      </c>
      <c r="Q4" s="3442"/>
      <c r="R4" s="3447" t="s">
        <v>1771</v>
      </c>
      <c r="S4" s="3448"/>
      <c r="T4" s="3447" t="s">
        <v>1772</v>
      </c>
      <c r="U4" s="3448"/>
      <c r="V4" s="3423" t="s">
        <v>1773</v>
      </c>
      <c r="W4" s="3423"/>
      <c r="X4" s="1264"/>
      <c r="Y4" s="3447" t="s">
        <v>1775</v>
      </c>
      <c r="Z4" s="3448"/>
      <c r="AA4" s="3434" t="s">
        <v>1771</v>
      </c>
      <c r="AB4" s="3435" t="s">
        <v>1772</v>
      </c>
      <c r="AC4" s="3434" t="s">
        <v>1773</v>
      </c>
    </row>
    <row r="5" spans="1:29">
      <c r="A5" s="347"/>
      <c r="B5" s="348"/>
      <c r="C5" s="3455" t="s">
        <v>1673</v>
      </c>
      <c r="D5" s="3456"/>
      <c r="E5" s="3462" t="s">
        <v>1674</v>
      </c>
      <c r="F5" s="3463"/>
      <c r="G5" s="3455" t="s">
        <v>1675</v>
      </c>
      <c r="H5" s="3456"/>
      <c r="I5" s="3455" t="s">
        <v>1676</v>
      </c>
      <c r="J5" s="3456"/>
      <c r="K5" s="536"/>
      <c r="L5" s="2485"/>
      <c r="M5" s="2486"/>
      <c r="N5" s="2486"/>
      <c r="O5" s="2486"/>
      <c r="P5" s="3443"/>
      <c r="Q5" s="3444"/>
      <c r="R5" s="3449"/>
      <c r="S5" s="3450"/>
      <c r="T5" s="3449"/>
      <c r="U5" s="3450"/>
      <c r="V5" s="3423"/>
      <c r="W5" s="3423"/>
      <c r="X5" s="1264"/>
      <c r="Y5" s="3449"/>
      <c r="Z5" s="3450"/>
      <c r="AA5" s="3435"/>
      <c r="AB5" s="3435"/>
      <c r="AC5" s="3435"/>
    </row>
    <row r="6" spans="1:29" ht="15" thickBot="1">
      <c r="A6" s="349"/>
      <c r="B6" s="350"/>
      <c r="C6" s="3453" t="s">
        <v>1677</v>
      </c>
      <c r="D6" s="3454"/>
      <c r="E6" s="3460" t="s">
        <v>1677</v>
      </c>
      <c r="F6" s="3461"/>
      <c r="G6" s="3453" t="s">
        <v>1677</v>
      </c>
      <c r="H6" s="3454"/>
      <c r="I6" s="3453" t="s">
        <v>1677</v>
      </c>
      <c r="J6" s="3454"/>
      <c r="K6" s="536" t="s">
        <v>1678</v>
      </c>
      <c r="L6" s="2485"/>
      <c r="M6" s="2486"/>
      <c r="N6" s="2486"/>
      <c r="O6" s="2486"/>
      <c r="P6" s="3445"/>
      <c r="Q6" s="3446"/>
      <c r="R6" s="3449"/>
      <c r="S6" s="3450"/>
      <c r="T6" s="3451"/>
      <c r="U6" s="3452"/>
      <c r="V6" s="3423"/>
      <c r="W6" s="3423"/>
      <c r="X6" s="1264"/>
      <c r="Y6" s="3451"/>
      <c r="Z6" s="3452"/>
      <c r="AA6" s="3436"/>
      <c r="AB6" s="3436"/>
      <c r="AC6" s="3436"/>
    </row>
    <row r="7" spans="1:29" s="102" customFormat="1" ht="15" thickBot="1">
      <c r="A7" s="351" t="s">
        <v>1679</v>
      </c>
      <c r="B7" s="352"/>
      <c r="C7" s="353">
        <f>'数据-取费表'!B2</f>
        <v>45783</v>
      </c>
      <c r="D7" s="354">
        <v>100</v>
      </c>
      <c r="E7" s="355"/>
      <c r="F7" s="356">
        <f>SUMIF(46:46,YEAR(E7)&amp;"-"&amp;MONTH(E7),47:47)</f>
        <v>0</v>
      </c>
      <c r="G7" s="1821"/>
      <c r="H7" s="354">
        <f>SUMIF(46:46,YEAR(G7)&amp;"-"&amp;MONTH(G7),47:47)</f>
        <v>0</v>
      </c>
      <c r="I7" s="355"/>
      <c r="J7" s="354">
        <f>SUMIF(46:46,YEAR(I7)&amp;"-"&amp;MONTH(I7),47:47)</f>
        <v>0</v>
      </c>
      <c r="K7" s="38"/>
      <c r="L7" s="2487"/>
      <c r="M7" s="2439"/>
      <c r="N7" s="2439"/>
      <c r="O7" s="2439"/>
      <c r="P7" s="3457" t="s">
        <v>1680</v>
      </c>
      <c r="Q7" s="3459"/>
      <c r="R7" s="663" t="s">
        <v>14</v>
      </c>
      <c r="S7" s="664">
        <f t="shared" ref="S7:S14" si="0">F7</f>
        <v>0</v>
      </c>
      <c r="T7" s="663" t="s">
        <v>14</v>
      </c>
      <c r="U7" s="664">
        <f t="shared" ref="U7:U14" si="1">H7</f>
        <v>0</v>
      </c>
      <c r="V7" s="663" t="s">
        <v>14</v>
      </c>
      <c r="W7" s="664">
        <f t="shared" ref="W7:W14" si="2">J7</f>
        <v>0</v>
      </c>
      <c r="X7" s="665"/>
      <c r="Y7" s="3457" t="s">
        <v>1680</v>
      </c>
      <c r="Z7" s="3458"/>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7"/>
      <c r="M8" s="2439"/>
      <c r="N8" s="2439"/>
      <c r="O8" s="2439"/>
      <c r="P8" s="3457" t="s">
        <v>1683</v>
      </c>
      <c r="Q8" s="3458"/>
      <c r="R8" s="663" t="s">
        <v>14</v>
      </c>
      <c r="S8" s="664">
        <f t="shared" si="0"/>
        <v>100</v>
      </c>
      <c r="T8" s="663" t="s">
        <v>14</v>
      </c>
      <c r="U8" s="664">
        <f t="shared" si="1"/>
        <v>100</v>
      </c>
      <c r="V8" s="663" t="s">
        <v>14</v>
      </c>
      <c r="W8" s="664">
        <f t="shared" si="2"/>
        <v>100</v>
      </c>
      <c r="X8" s="665"/>
      <c r="Y8" s="3457" t="s">
        <v>1683</v>
      </c>
      <c r="Z8" s="3458"/>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7"/>
      <c r="M9" s="2439"/>
      <c r="N9" s="2439"/>
      <c r="O9" s="2539"/>
      <c r="P9" s="3422" t="s">
        <v>1686</v>
      </c>
      <c r="Q9" s="529" t="str">
        <f t="shared" ref="Q9:Q14" si="6">B9</f>
        <v>用途</v>
      </c>
      <c r="R9" s="663" t="s">
        <v>14</v>
      </c>
      <c r="S9" s="664">
        <f t="shared" si="0"/>
        <v>100</v>
      </c>
      <c r="T9" s="663" t="s">
        <v>14</v>
      </c>
      <c r="U9" s="664">
        <f t="shared" si="1"/>
        <v>100</v>
      </c>
      <c r="V9" s="663" t="s">
        <v>14</v>
      </c>
      <c r="W9" s="664">
        <f t="shared" si="2"/>
        <v>100</v>
      </c>
      <c r="X9" s="665"/>
      <c r="Y9" s="3273" t="s">
        <v>1687</v>
      </c>
      <c r="Z9" s="50" t="str">
        <f t="shared" ref="Z9:Z14" si="7">Q9</f>
        <v>用途</v>
      </c>
      <c r="AA9" s="50">
        <f t="shared" si="3"/>
        <v>1</v>
      </c>
      <c r="AB9" s="50">
        <f t="shared" si="4"/>
        <v>1</v>
      </c>
      <c r="AC9" s="50">
        <f t="shared" si="5"/>
        <v>1</v>
      </c>
    </row>
    <row r="10" spans="1:29" s="365" customFormat="1" ht="28.8">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8"/>
      <c r="L10" s="2488"/>
      <c r="M10" s="2489"/>
      <c r="N10" s="2489"/>
      <c r="O10" s="2540"/>
      <c r="P10" s="3422"/>
      <c r="Q10" s="529"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422"/>
      <c r="Q11" s="529">
        <f t="shared" si="6"/>
        <v>111</v>
      </c>
      <c r="R11" s="663" t="s">
        <v>14</v>
      </c>
      <c r="S11" s="664">
        <f t="shared" si="0"/>
        <v>100</v>
      </c>
      <c r="T11" s="663" t="s">
        <v>14</v>
      </c>
      <c r="U11" s="664">
        <f t="shared" si="1"/>
        <v>100</v>
      </c>
      <c r="V11" s="663" t="s">
        <v>14</v>
      </c>
      <c r="W11" s="664">
        <f t="shared" si="2"/>
        <v>100</v>
      </c>
      <c r="X11" s="665"/>
      <c r="Y11" s="3273"/>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9"/>
      <c r="N12" s="2439"/>
      <c r="O12" s="2539"/>
      <c r="P12" s="3422"/>
      <c r="Q12" s="529">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1"/>
      <c r="M13" s="2486"/>
      <c r="N13" s="2486"/>
      <c r="O13" s="2541"/>
      <c r="P13" s="3422"/>
      <c r="Q13" s="529">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96.6">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424" t="s">
        <v>1691</v>
      </c>
      <c r="Q14" s="1262" t="str">
        <f t="shared" si="6"/>
        <v>交通便捷度</v>
      </c>
      <c r="R14" s="666" t="s">
        <v>14</v>
      </c>
      <c r="S14" s="667">
        <f t="shared" si="0"/>
        <v>100</v>
      </c>
      <c r="T14" s="666" t="s">
        <v>14</v>
      </c>
      <c r="U14" s="667">
        <f t="shared" si="1"/>
        <v>100</v>
      </c>
      <c r="V14" s="666" t="s">
        <v>14</v>
      </c>
      <c r="W14" s="667">
        <f t="shared" si="2"/>
        <v>100</v>
      </c>
      <c r="X14" s="1264"/>
      <c r="Y14" s="3424"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1"/>
      <c r="M15" s="2486"/>
      <c r="N15" s="2486"/>
      <c r="O15" s="2541"/>
      <c r="P15" s="3425"/>
      <c r="Q15" s="1262"/>
      <c r="R15" s="666"/>
      <c r="S15" s="667"/>
      <c r="T15" s="666"/>
      <c r="U15" s="667"/>
      <c r="V15" s="666"/>
      <c r="W15" s="667"/>
      <c r="X15" s="1264"/>
      <c r="Y15" s="3425"/>
      <c r="Z15" s="1263"/>
      <c r="AA15" s="1263">
        <v>1</v>
      </c>
      <c r="AB15" s="1263">
        <v>1</v>
      </c>
      <c r="AC15" s="1263">
        <v>1</v>
      </c>
    </row>
    <row r="16" spans="1:29" ht="41.4">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425"/>
      <c r="Q16" s="1262" t="str">
        <f>B16</f>
        <v>公共配套设施</v>
      </c>
      <c r="R16" s="666" t="s">
        <v>14</v>
      </c>
      <c r="S16" s="667">
        <f>F16</f>
        <v>100</v>
      </c>
      <c r="T16" s="666" t="s">
        <v>14</v>
      </c>
      <c r="U16" s="667">
        <f>H16</f>
        <v>100</v>
      </c>
      <c r="V16" s="666" t="s">
        <v>14</v>
      </c>
      <c r="W16" s="667">
        <f>J16</f>
        <v>100</v>
      </c>
      <c r="X16" s="1264"/>
      <c r="Y16" s="3425"/>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1"/>
      <c r="M17" s="2486"/>
      <c r="N17" s="2486"/>
      <c r="O17" s="2541"/>
      <c r="P17" s="3425"/>
      <c r="Q17" s="1262"/>
      <c r="R17" s="666"/>
      <c r="S17" s="667"/>
      <c r="T17" s="666"/>
      <c r="U17" s="667"/>
      <c r="V17" s="666"/>
      <c r="W17" s="667"/>
      <c r="X17" s="1264"/>
      <c r="Y17" s="3425"/>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425"/>
      <c r="Q18" s="1262" t="str">
        <f>B18</f>
        <v>基础设施水平</v>
      </c>
      <c r="R18" s="666" t="s">
        <v>14</v>
      </c>
      <c r="S18" s="667">
        <f>F18</f>
        <v>100</v>
      </c>
      <c r="T18" s="666" t="s">
        <v>14</v>
      </c>
      <c r="U18" s="667">
        <f>H18</f>
        <v>100</v>
      </c>
      <c r="V18" s="666" t="s">
        <v>14</v>
      </c>
      <c r="W18" s="667">
        <f>J18</f>
        <v>100</v>
      </c>
      <c r="X18" s="1264"/>
      <c r="Y18" s="3425"/>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1"/>
      <c r="M19" s="2486"/>
      <c r="N19" s="2486"/>
      <c r="O19" s="2541"/>
      <c r="P19" s="3425"/>
      <c r="Q19" s="1262"/>
      <c r="R19" s="666"/>
      <c r="S19" s="667"/>
      <c r="T19" s="666"/>
      <c r="U19" s="667"/>
      <c r="V19" s="666"/>
      <c r="W19" s="667"/>
      <c r="X19" s="1264"/>
      <c r="Y19" s="3425"/>
      <c r="Z19" s="1263"/>
      <c r="AA19" s="1263">
        <v>1</v>
      </c>
      <c r="AB19" s="1263">
        <v>1</v>
      </c>
      <c r="AC19" s="1263">
        <v>1</v>
      </c>
    </row>
    <row r="20" spans="1:29" ht="55.2">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425"/>
      <c r="Q20" s="1262" t="str">
        <f>B20</f>
        <v>自然及人文环境</v>
      </c>
      <c r="R20" s="666" t="s">
        <v>14</v>
      </c>
      <c r="S20" s="667">
        <f>F20</f>
        <v>100</v>
      </c>
      <c r="T20" s="666" t="s">
        <v>14</v>
      </c>
      <c r="U20" s="667">
        <f>H20</f>
        <v>100</v>
      </c>
      <c r="V20" s="666" t="s">
        <v>14</v>
      </c>
      <c r="W20" s="667">
        <f>J20</f>
        <v>100</v>
      </c>
      <c r="X20" s="1264"/>
      <c r="Y20" s="3425"/>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1"/>
      <c r="M21" s="2486"/>
      <c r="N21" s="2486"/>
      <c r="O21" s="2541"/>
      <c r="P21" s="3425"/>
      <c r="Q21" s="1262"/>
      <c r="R21" s="666"/>
      <c r="S21" s="667"/>
      <c r="T21" s="666"/>
      <c r="U21" s="667"/>
      <c r="V21" s="666"/>
      <c r="W21" s="667"/>
      <c r="X21" s="1264"/>
      <c r="Y21" s="3425"/>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425"/>
      <c r="Q22" s="1262" t="str">
        <f>B22</f>
        <v>楼层</v>
      </c>
      <c r="R22" s="666" t="s">
        <v>14</v>
      </c>
      <c r="S22" s="667">
        <f>F22</f>
        <v>100</v>
      </c>
      <c r="T22" s="666" t="s">
        <v>14</v>
      </c>
      <c r="U22" s="667">
        <f>H22</f>
        <v>100</v>
      </c>
      <c r="V22" s="666" t="s">
        <v>14</v>
      </c>
      <c r="W22" s="667">
        <f>J22</f>
        <v>100</v>
      </c>
      <c r="X22" s="1264"/>
      <c r="Y22" s="3425"/>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425"/>
      <c r="Q23" s="1262">
        <f>B23</f>
        <v>111</v>
      </c>
      <c r="R23" s="666" t="s">
        <v>14</v>
      </c>
      <c r="S23" s="667">
        <f>F23</f>
        <v>100</v>
      </c>
      <c r="T23" s="666" t="s">
        <v>14</v>
      </c>
      <c r="U23" s="667">
        <f>H23</f>
        <v>100</v>
      </c>
      <c r="V23" s="666" t="s">
        <v>14</v>
      </c>
      <c r="W23" s="667">
        <f>J23</f>
        <v>100</v>
      </c>
      <c r="X23" s="1264"/>
      <c r="Y23" s="3425"/>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425"/>
      <c r="Q24" s="1262">
        <f t="shared" ref="Q24:Q34" si="11">B24</f>
        <v>111</v>
      </c>
      <c r="R24" s="666" t="s">
        <v>14</v>
      </c>
      <c r="S24" s="667">
        <f>F24</f>
        <v>100</v>
      </c>
      <c r="T24" s="666" t="s">
        <v>14</v>
      </c>
      <c r="U24" s="667">
        <f>H24</f>
        <v>100</v>
      </c>
      <c r="V24" s="666" t="s">
        <v>14</v>
      </c>
      <c r="W24" s="667">
        <f>J24</f>
        <v>100</v>
      </c>
      <c r="X24" s="1264"/>
      <c r="Y24" s="3425"/>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7"/>
      <c r="M25" s="2439"/>
      <c r="N25" s="2439"/>
      <c r="O25" s="2539"/>
      <c r="P25" s="3425"/>
      <c r="Q25" s="529">
        <f t="shared" si="11"/>
        <v>111</v>
      </c>
      <c r="R25" s="663" t="s">
        <v>14</v>
      </c>
      <c r="S25" s="664">
        <f>F25</f>
        <v>100</v>
      </c>
      <c r="T25" s="663" t="s">
        <v>14</v>
      </c>
      <c r="U25" s="664">
        <f>H25</f>
        <v>100</v>
      </c>
      <c r="V25" s="663" t="s">
        <v>14</v>
      </c>
      <c r="W25" s="664">
        <f>J25</f>
        <v>100</v>
      </c>
      <c r="X25" s="665"/>
      <c r="Y25" s="3425"/>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1"/>
      <c r="M26" s="2486"/>
      <c r="N26" s="2486"/>
      <c r="O26" s="2541"/>
      <c r="P26" s="3479"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29"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429"/>
      <c r="Q27" s="530" t="str">
        <f t="shared" si="11"/>
        <v>成新率</v>
      </c>
      <c r="R27" s="668" t="s">
        <v>14</v>
      </c>
      <c r="S27" s="669" t="e">
        <f t="shared" si="12"/>
        <v>#N/A</v>
      </c>
      <c r="T27" s="668" t="s">
        <v>14</v>
      </c>
      <c r="U27" s="669" t="e">
        <f t="shared" si="13"/>
        <v>#N/A</v>
      </c>
      <c r="V27" s="668" t="s">
        <v>14</v>
      </c>
      <c r="W27" s="669" t="e">
        <f t="shared" si="14"/>
        <v>#N/A</v>
      </c>
      <c r="X27" s="670"/>
      <c r="Y27" s="3429"/>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429"/>
      <c r="Q28" s="1262" t="str">
        <f t="shared" si="11"/>
        <v>物业等级</v>
      </c>
      <c r="R28" s="666" t="s">
        <v>14</v>
      </c>
      <c r="S28" s="667">
        <f t="shared" si="12"/>
        <v>100</v>
      </c>
      <c r="T28" s="666" t="s">
        <v>14</v>
      </c>
      <c r="U28" s="667">
        <f t="shared" si="13"/>
        <v>100</v>
      </c>
      <c r="V28" s="666" t="s">
        <v>14</v>
      </c>
      <c r="W28" s="667">
        <f t="shared" si="14"/>
        <v>100</v>
      </c>
      <c r="X28" s="1264"/>
      <c r="Y28" s="3429"/>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429"/>
      <c r="Q29" s="1262" t="str">
        <f t="shared" si="11"/>
        <v>有无电梯</v>
      </c>
      <c r="R29" s="666" t="s">
        <v>14</v>
      </c>
      <c r="S29" s="667">
        <f t="shared" si="12"/>
        <v>100</v>
      </c>
      <c r="T29" s="666" t="s">
        <v>14</v>
      </c>
      <c r="U29" s="667">
        <f t="shared" si="13"/>
        <v>100</v>
      </c>
      <c r="V29" s="666" t="s">
        <v>14</v>
      </c>
      <c r="W29" s="667">
        <f t="shared" si="14"/>
        <v>100</v>
      </c>
      <c r="X29" s="1264"/>
      <c r="Y29" s="3429"/>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429"/>
      <c r="Q30" s="1262" t="str">
        <f t="shared" si="11"/>
        <v>建筑面积</v>
      </c>
      <c r="R30" s="666" t="s">
        <v>14</v>
      </c>
      <c r="S30" s="667" t="e">
        <f t="shared" si="12"/>
        <v>#N/A</v>
      </c>
      <c r="T30" s="666" t="s">
        <v>14</v>
      </c>
      <c r="U30" s="667" t="e">
        <f t="shared" si="13"/>
        <v>#N/A</v>
      </c>
      <c r="V30" s="666" t="s">
        <v>14</v>
      </c>
      <c r="W30" s="667" t="e">
        <f t="shared" si="14"/>
        <v>#N/A</v>
      </c>
      <c r="X30" s="1264"/>
      <c r="Y30" s="3429"/>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9"/>
      <c r="N31" s="2439"/>
      <c r="O31" s="2539"/>
      <c r="P31" s="3429"/>
      <c r="Q31" s="529" t="str">
        <f t="shared" si="11"/>
        <v>是否封闭</v>
      </c>
      <c r="R31" s="663" t="s">
        <v>14</v>
      </c>
      <c r="S31" s="664">
        <f t="shared" si="12"/>
        <v>100</v>
      </c>
      <c r="T31" s="663" t="s">
        <v>14</v>
      </c>
      <c r="U31" s="664">
        <f t="shared" si="13"/>
        <v>100</v>
      </c>
      <c r="V31" s="663" t="s">
        <v>14</v>
      </c>
      <c r="W31" s="664">
        <f t="shared" si="14"/>
        <v>100</v>
      </c>
      <c r="X31" s="665"/>
      <c r="Y31" s="3429"/>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429" t="s">
        <v>1696</v>
      </c>
      <c r="Q32" s="1262">
        <f t="shared" si="11"/>
        <v>111</v>
      </c>
      <c r="R32" s="666" t="s">
        <v>14</v>
      </c>
      <c r="S32" s="667">
        <f t="shared" si="12"/>
        <v>100</v>
      </c>
      <c r="T32" s="666" t="s">
        <v>14</v>
      </c>
      <c r="U32" s="667">
        <f t="shared" si="13"/>
        <v>100</v>
      </c>
      <c r="V32" s="666" t="s">
        <v>14</v>
      </c>
      <c r="W32" s="667">
        <f t="shared" si="14"/>
        <v>100</v>
      </c>
      <c r="X32" s="1264"/>
      <c r="Y32" s="3429"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429"/>
      <c r="Q33" s="1262">
        <f t="shared" si="11"/>
        <v>111</v>
      </c>
      <c r="R33" s="666" t="s">
        <v>14</v>
      </c>
      <c r="S33" s="667">
        <f t="shared" si="12"/>
        <v>100</v>
      </c>
      <c r="T33" s="666" t="s">
        <v>14</v>
      </c>
      <c r="U33" s="667">
        <f t="shared" si="13"/>
        <v>100</v>
      </c>
      <c r="V33" s="666" t="s">
        <v>14</v>
      </c>
      <c r="W33" s="667">
        <f t="shared" si="14"/>
        <v>100</v>
      </c>
      <c r="X33" s="1264"/>
      <c r="Y33" s="3429"/>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1"/>
      <c r="M34" s="2486"/>
      <c r="N34" s="2486"/>
      <c r="O34" s="2541"/>
      <c r="P34" s="3429"/>
      <c r="Q34" s="1262">
        <f t="shared" si="11"/>
        <v>111</v>
      </c>
      <c r="R34" s="666" t="s">
        <v>14</v>
      </c>
      <c r="S34" s="667">
        <f t="shared" si="12"/>
        <v>100</v>
      </c>
      <c r="T34" s="666" t="s">
        <v>14</v>
      </c>
      <c r="U34" s="667">
        <f t="shared" si="13"/>
        <v>100</v>
      </c>
      <c r="V34" s="666" t="s">
        <v>14</v>
      </c>
      <c r="W34" s="667">
        <f t="shared" si="14"/>
        <v>100</v>
      </c>
      <c r="X34" s="1264"/>
      <c r="Y34" s="3429"/>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3"/>
      <c r="M35" s="2486"/>
      <c r="N35" s="2486"/>
      <c r="O35" s="2486"/>
      <c r="P35" s="3422" t="str">
        <f>A35</f>
        <v>成交单价（元/平方米）</v>
      </c>
      <c r="Q35" s="3422"/>
      <c r="R35" s="3423">
        <f>E35</f>
        <v>0</v>
      </c>
      <c r="S35" s="3423"/>
      <c r="T35" s="3423">
        <f>G35</f>
        <v>0</v>
      </c>
      <c r="U35" s="3423"/>
      <c r="V35" s="3423">
        <f>I35</f>
        <v>0</v>
      </c>
      <c r="W35" s="3423"/>
      <c r="X35" s="384"/>
      <c r="Y35" s="672"/>
      <c r="Z35" s="384"/>
      <c r="AA35" s="384"/>
      <c r="AB35" s="384"/>
      <c r="AC35" s="384"/>
    </row>
    <row r="36" spans="1:30" ht="15" thickBot="1">
      <c r="A36" s="422" t="s">
        <v>1793</v>
      </c>
      <c r="B36" s="423"/>
      <c r="C36" s="1081" t="e">
        <f>R37</f>
        <v>#DIV/0!</v>
      </c>
      <c r="D36" s="2140" t="s">
        <v>2138</v>
      </c>
      <c r="E36" s="1082" t="e">
        <f>R36</f>
        <v>#DIV/0!</v>
      </c>
      <c r="F36" s="2141"/>
      <c r="G36" s="1081" t="e">
        <f>T36</f>
        <v>#DIV/0!</v>
      </c>
      <c r="H36" s="2141"/>
      <c r="I36" s="1082" t="e">
        <f>V36</f>
        <v>#DIV/0!</v>
      </c>
      <c r="J36" s="2141"/>
      <c r="K36" s="2143">
        <f>F36+H36+J36</f>
        <v>0</v>
      </c>
      <c r="L36" s="2493"/>
      <c r="M36" s="2486"/>
      <c r="N36" s="2486"/>
      <c r="O36" s="2486"/>
      <c r="P36" s="3422" t="str">
        <f>A36</f>
        <v>比较价值（元/平方米）</v>
      </c>
      <c r="Q36" s="3422"/>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3"/>
      <c r="M37" s="2486"/>
      <c r="N37" s="2486"/>
      <c r="O37" s="2486"/>
      <c r="P37" s="3419" t="str">
        <f>A37</f>
        <v>估价对象XX用房的比较价值（楼面单价，元/平方米）</v>
      </c>
      <c r="Q37" s="3420"/>
      <c r="R37" s="3480" t="e">
        <f>IF(F1="售价",ROUND(IF(D36="简单平均",AVERAGE(R36:W36),R36*F36+T36*H36+V36*J36),0),ROUND(IF(D36="简单平均",AVERAGE(R36:V36),R36*F36+T36*H36+V36*J36),1))</f>
        <v>#DIV/0!</v>
      </c>
      <c r="S37" s="3480"/>
      <c r="T37" s="3480"/>
      <c r="U37" s="3480"/>
      <c r="V37" s="3480"/>
      <c r="W37" s="3480"/>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7" t="s">
        <v>1798</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ht="14.4">
      <c r="A46" s="439" t="s">
        <v>1679</v>
      </c>
      <c r="B46" s="440"/>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09"/>
      <c r="Q46" s="2509"/>
      <c r="R46" s="2509"/>
      <c r="S46" s="2509"/>
      <c r="T46" s="2509"/>
      <c r="U46" s="2509"/>
      <c r="V46" s="2509"/>
      <c r="W46" s="2509"/>
      <c r="X46" s="2509"/>
      <c r="Y46" s="2509"/>
      <c r="Z46" s="2509"/>
      <c r="AA46" s="2509"/>
      <c r="AB46" s="2509"/>
      <c r="AC46" s="2509"/>
      <c r="AD46" s="2509"/>
    </row>
    <row r="47" spans="1:30" s="102" customFormat="1">
      <c r="A47" s="442"/>
      <c r="B47" s="443"/>
      <c r="C47" s="1101">
        <v>100</v>
      </c>
      <c r="D47" s="445"/>
      <c r="E47" s="445"/>
      <c r="F47" s="445"/>
      <c r="G47" s="445"/>
      <c r="H47" s="445"/>
      <c r="I47" s="445"/>
      <c r="J47" s="445"/>
      <c r="K47" s="445"/>
      <c r="L47" s="445"/>
      <c r="M47" s="446"/>
      <c r="N47" s="445"/>
      <c r="O47" s="447"/>
      <c r="P47" s="2507"/>
      <c r="Q47" s="2439"/>
      <c r="R47" s="2439"/>
      <c r="S47" s="2439"/>
      <c r="T47" s="2439"/>
      <c r="U47" s="2439"/>
      <c r="V47" s="2439"/>
      <c r="W47" s="2439"/>
      <c r="X47" s="2439"/>
      <c r="Y47" s="2439"/>
      <c r="Z47" s="2439"/>
      <c r="AA47" s="2439"/>
      <c r="AB47" s="2439"/>
      <c r="AC47" s="2439"/>
      <c r="AD47" s="2439"/>
    </row>
    <row r="48" spans="1:30" s="102" customFormat="1" ht="15" thickBot="1">
      <c r="A48" s="448" t="s">
        <v>1716</v>
      </c>
      <c r="B48" s="449"/>
      <c r="C48" s="450"/>
      <c r="D48" s="451"/>
      <c r="E48" s="451"/>
      <c r="F48" s="451"/>
      <c r="G48" s="451"/>
      <c r="H48" s="451"/>
      <c r="I48" s="451"/>
      <c r="J48" s="451"/>
      <c r="K48" s="451"/>
      <c r="L48" s="451"/>
      <c r="M48" s="452"/>
      <c r="N48" s="451"/>
      <c r="O48" s="453"/>
      <c r="P48" s="2507"/>
      <c r="Q48" s="2507"/>
      <c r="R48" s="2439"/>
      <c r="S48" s="2439"/>
      <c r="T48" s="2439"/>
      <c r="U48" s="2439"/>
      <c r="V48" s="2439"/>
      <c r="W48" s="2439"/>
      <c r="X48" s="2439"/>
      <c r="Y48" s="2439"/>
      <c r="Z48" s="2439"/>
      <c r="AA48" s="2439"/>
      <c r="AB48" s="2439"/>
      <c r="AC48" s="2439"/>
      <c r="AD48" s="2439"/>
    </row>
    <row r="49" spans="1:30" s="102" customFormat="1" ht="14.4">
      <c r="A49" s="454" t="s">
        <v>1681</v>
      </c>
      <c r="B49" s="443"/>
      <c r="C49" s="455" t="s">
        <v>1776</v>
      </c>
      <c r="D49" s="31"/>
      <c r="E49" s="31"/>
      <c r="F49" s="31"/>
      <c r="G49" s="31"/>
      <c r="H49" s="31"/>
      <c r="I49" s="31"/>
      <c r="J49" s="31"/>
      <c r="K49" s="31"/>
      <c r="L49" s="456"/>
      <c r="M49" s="457"/>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4"/>
      <c r="B50" s="443"/>
      <c r="C50" s="562">
        <v>100</v>
      </c>
      <c r="D50" s="445"/>
      <c r="E50" s="445"/>
      <c r="F50" s="445"/>
      <c r="G50" s="445"/>
      <c r="H50" s="445"/>
      <c r="I50" s="445"/>
      <c r="J50" s="445"/>
      <c r="K50" s="445"/>
      <c r="L50" s="445"/>
      <c r="M50" s="447"/>
      <c r="N50" s="2519"/>
      <c r="O50" s="2519"/>
      <c r="P50" s="2507"/>
      <c r="Q50" s="2507"/>
      <c r="R50" s="2439"/>
      <c r="S50" s="2439"/>
      <c r="T50" s="2439"/>
      <c r="U50" s="2439"/>
      <c r="V50" s="2439"/>
      <c r="W50" s="2439"/>
      <c r="X50" s="2439"/>
      <c r="Y50" s="2439"/>
      <c r="Z50" s="2439"/>
      <c r="AA50" s="2439"/>
      <c r="AB50" s="2439"/>
      <c r="AC50" s="2439"/>
      <c r="AD50" s="2439"/>
    </row>
    <row r="51" spans="1:30" ht="14.4">
      <c r="A51" s="378" t="s">
        <v>1719</v>
      </c>
      <c r="B51" s="459" t="s">
        <v>1685</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4.4"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9.4" thickTop="1">
      <c r="A53" s="366"/>
      <c r="B53" s="468" t="s">
        <v>1688</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4.4"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4.4"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4.4"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4.4"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4.4"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4.4"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4.4"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9.4" thickTop="1">
      <c r="A63" s="366"/>
      <c r="B63" s="468" t="s">
        <v>1863</v>
      </c>
      <c r="C63" s="508" t="s">
        <v>1721</v>
      </c>
      <c r="D63" s="508" t="s">
        <v>1722</v>
      </c>
      <c r="E63" s="508" t="s">
        <v>1723</v>
      </c>
      <c r="F63" s="508" t="s">
        <v>1724</v>
      </c>
      <c r="G63" s="508" t="s">
        <v>1725</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5" thickTop="1">
      <c r="A65" s="366"/>
      <c r="B65" s="476" t="s">
        <v>1813</v>
      </c>
      <c r="C65" s="580" t="s">
        <v>1799</v>
      </c>
      <c r="D65" s="580" t="s">
        <v>1800</v>
      </c>
      <c r="E65" s="580" t="s">
        <v>1801</v>
      </c>
      <c r="F65" s="580" t="s">
        <v>1802</v>
      </c>
      <c r="G65" s="580" t="s">
        <v>1803</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5" thickTop="1">
      <c r="A67" s="366"/>
      <c r="B67" s="468" t="s">
        <v>1733</v>
      </c>
      <c r="C67" s="508" t="s">
        <v>1721</v>
      </c>
      <c r="D67" s="508" t="s">
        <v>1722</v>
      </c>
      <c r="E67" s="508" t="s">
        <v>1723</v>
      </c>
      <c r="F67" s="508" t="s">
        <v>1724</v>
      </c>
      <c r="G67" s="508" t="s">
        <v>1725</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5" thickTop="1">
      <c r="A69" s="366"/>
      <c r="B69" s="468" t="s">
        <v>1852</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4.4"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69"/>
      <c r="B71" s="468">
        <f>B23</f>
        <v>111</v>
      </c>
      <c r="C71" s="479"/>
      <c r="D71" s="479"/>
      <c r="E71" s="479"/>
      <c r="F71" s="479"/>
      <c r="G71" s="484"/>
      <c r="H71" s="484"/>
      <c r="I71" s="484"/>
      <c r="J71" s="484"/>
      <c r="K71" s="484"/>
      <c r="L71" s="509"/>
      <c r="M71" s="510"/>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69"/>
      <c r="B72" s="473"/>
      <c r="C72" s="490"/>
      <c r="D72" s="466"/>
      <c r="E72" s="466"/>
      <c r="F72" s="466"/>
      <c r="G72" s="466"/>
      <c r="H72" s="466"/>
      <c r="I72" s="466"/>
      <c r="J72" s="466"/>
      <c r="K72" s="466"/>
      <c r="L72" s="466"/>
      <c r="M72" s="467"/>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69"/>
      <c r="B73" s="468">
        <f>B24</f>
        <v>111</v>
      </c>
      <c r="C73" s="479"/>
      <c r="D73" s="479"/>
      <c r="E73" s="479"/>
      <c r="F73" s="479"/>
      <c r="G73" s="484"/>
      <c r="H73" s="484"/>
      <c r="I73" s="484"/>
      <c r="J73" s="484"/>
      <c r="K73" s="484"/>
      <c r="L73" s="484"/>
      <c r="M73" s="510"/>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69"/>
      <c r="B74" s="473"/>
      <c r="C74" s="490"/>
      <c r="D74" s="466"/>
      <c r="E74" s="466"/>
      <c r="F74" s="466"/>
      <c r="G74" s="466"/>
      <c r="H74" s="466"/>
      <c r="I74" s="466"/>
      <c r="J74" s="466"/>
      <c r="K74" s="466"/>
      <c r="L74" s="466"/>
      <c r="M74" s="467"/>
      <c r="N74" s="2521"/>
      <c r="O74" s="2521"/>
      <c r="P74" s="2519"/>
      <c r="Q74" s="2507"/>
      <c r="R74" s="2439"/>
      <c r="S74" s="2439"/>
      <c r="T74" s="2439"/>
      <c r="U74" s="2439"/>
      <c r="V74" s="2439"/>
      <c r="W74" s="2439"/>
      <c r="X74" s="2439"/>
      <c r="Y74" s="2439"/>
      <c r="Z74" s="2439"/>
      <c r="AA74" s="2439"/>
      <c r="AB74" s="2439"/>
      <c r="AC74" s="2439"/>
      <c r="AD74" s="2439"/>
    </row>
    <row r="75" spans="1:30" s="407" customFormat="1" ht="14.4"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4.4"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5" thickTop="1">
      <c r="A77" s="378" t="s">
        <v>1694</v>
      </c>
      <c r="B77" s="459" t="s">
        <v>1740</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8"/>
      <c r="B82" s="476" t="s">
        <v>1856</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8"/>
      <c r="B84" s="468" t="s">
        <v>1864</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4.4"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5" thickTop="1">
      <c r="A89" s="405"/>
      <c r="B89" s="468" t="s">
        <v>1866</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4.4"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4.4"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4.4"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4.4"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4.4"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4.4"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4.4"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37" t="s">
        <v>1770</v>
      </c>
      <c r="D4" s="3438"/>
      <c r="E4" s="3439" t="s">
        <v>1771</v>
      </c>
      <c r="F4" s="3440"/>
      <c r="G4" s="3437" t="s">
        <v>1772</v>
      </c>
      <c r="H4" s="3438"/>
      <c r="I4" s="3437" t="s">
        <v>1773</v>
      </c>
      <c r="J4" s="3438"/>
      <c r="K4" s="536" t="s">
        <v>1774</v>
      </c>
      <c r="L4" s="2485"/>
      <c r="M4" s="2486"/>
      <c r="N4" s="2486"/>
      <c r="O4" s="2486"/>
      <c r="P4" s="3441" t="s">
        <v>1775</v>
      </c>
      <c r="Q4" s="3442"/>
      <c r="R4" s="3447" t="s">
        <v>1771</v>
      </c>
      <c r="S4" s="3448"/>
      <c r="T4" s="3447" t="s">
        <v>1772</v>
      </c>
      <c r="U4" s="3448"/>
      <c r="V4" s="3423" t="s">
        <v>1773</v>
      </c>
      <c r="W4" s="3423"/>
      <c r="X4" s="1264"/>
      <c r="Y4" s="3447" t="s">
        <v>1775</v>
      </c>
      <c r="Z4" s="3448"/>
      <c r="AA4" s="3434" t="s">
        <v>1771</v>
      </c>
      <c r="AB4" s="3435" t="s">
        <v>1772</v>
      </c>
      <c r="AC4" s="3434" t="s">
        <v>1773</v>
      </c>
    </row>
    <row r="5" spans="1:29">
      <c r="A5" s="347"/>
      <c r="B5" s="348"/>
      <c r="C5" s="3455" t="s">
        <v>1673</v>
      </c>
      <c r="D5" s="3456"/>
      <c r="E5" s="3462" t="s">
        <v>1674</v>
      </c>
      <c r="F5" s="3463"/>
      <c r="G5" s="3455" t="s">
        <v>1675</v>
      </c>
      <c r="H5" s="3456"/>
      <c r="I5" s="3455" t="s">
        <v>1676</v>
      </c>
      <c r="J5" s="3456"/>
      <c r="K5" s="536"/>
      <c r="L5" s="2485"/>
      <c r="M5" s="2486"/>
      <c r="N5" s="2486"/>
      <c r="O5" s="2486"/>
      <c r="P5" s="3443"/>
      <c r="Q5" s="3444"/>
      <c r="R5" s="3449"/>
      <c r="S5" s="3450"/>
      <c r="T5" s="3449"/>
      <c r="U5" s="3450"/>
      <c r="V5" s="3423"/>
      <c r="W5" s="3423"/>
      <c r="X5" s="1264"/>
      <c r="Y5" s="3449"/>
      <c r="Z5" s="3450"/>
      <c r="AA5" s="3435"/>
      <c r="AB5" s="3435"/>
      <c r="AC5" s="3435"/>
    </row>
    <row r="6" spans="1:29" ht="15" thickBot="1">
      <c r="A6" s="349"/>
      <c r="B6" s="350"/>
      <c r="C6" s="3453" t="s">
        <v>1677</v>
      </c>
      <c r="D6" s="3454"/>
      <c r="E6" s="3460" t="s">
        <v>1677</v>
      </c>
      <c r="F6" s="3461"/>
      <c r="G6" s="3453" t="s">
        <v>1677</v>
      </c>
      <c r="H6" s="3454"/>
      <c r="I6" s="3453" t="s">
        <v>1677</v>
      </c>
      <c r="J6" s="3454"/>
      <c r="K6" s="536" t="s">
        <v>1678</v>
      </c>
      <c r="L6" s="2485"/>
      <c r="M6" s="2486"/>
      <c r="N6" s="2486"/>
      <c r="O6" s="2486"/>
      <c r="P6" s="3445"/>
      <c r="Q6" s="3446"/>
      <c r="R6" s="3449"/>
      <c r="S6" s="3450"/>
      <c r="T6" s="3451"/>
      <c r="U6" s="3452"/>
      <c r="V6" s="3423"/>
      <c r="W6" s="3423"/>
      <c r="X6" s="1264"/>
      <c r="Y6" s="3451"/>
      <c r="Z6" s="3452"/>
      <c r="AA6" s="3436"/>
      <c r="AB6" s="3436"/>
      <c r="AC6" s="3436"/>
    </row>
    <row r="7" spans="1:29" s="102" customFormat="1" ht="15" thickBot="1">
      <c r="A7" s="351" t="s">
        <v>1679</v>
      </c>
      <c r="B7" s="352"/>
      <c r="C7" s="353">
        <f>'数据-取费表'!B2</f>
        <v>45783</v>
      </c>
      <c r="D7" s="354">
        <v>100</v>
      </c>
      <c r="E7" s="355"/>
      <c r="F7" s="356">
        <f>SUMIF(69:69,YEAR(E7)&amp;"-"&amp;INT((MONTH(E7)+2)/3),70:70)</f>
        <v>0</v>
      </c>
      <c r="G7" s="1821"/>
      <c r="H7" s="354">
        <f>SUMIF(69:69,YEAR(G7)&amp;"-"&amp;INT((MONTH(G7)+2)/3),70:70)</f>
        <v>0</v>
      </c>
      <c r="I7" s="1821"/>
      <c r="J7" s="354">
        <f>SUMIF(69:69,YEAR(I7)&amp;"-"&amp;INT((MONTH(I7)+2)/3),70:70)</f>
        <v>0</v>
      </c>
      <c r="K7" s="38"/>
      <c r="L7" s="2487"/>
      <c r="M7" s="2439"/>
      <c r="N7" s="2439"/>
      <c r="O7" s="2439"/>
      <c r="P7" s="3457" t="s">
        <v>1680</v>
      </c>
      <c r="Q7" s="3459"/>
      <c r="R7" s="663" t="s">
        <v>14</v>
      </c>
      <c r="S7" s="664">
        <f t="shared" ref="S7:S15" si="0">F7</f>
        <v>0</v>
      </c>
      <c r="T7" s="663" t="s">
        <v>14</v>
      </c>
      <c r="U7" s="664">
        <f t="shared" ref="U7:U15" si="1">H7</f>
        <v>0</v>
      </c>
      <c r="V7" s="663" t="s">
        <v>14</v>
      </c>
      <c r="W7" s="664">
        <f t="shared" ref="W7:W15" si="2">J7</f>
        <v>0</v>
      </c>
      <c r="X7" s="665"/>
      <c r="Y7" s="3457" t="s">
        <v>1680</v>
      </c>
      <c r="Z7" s="3458"/>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7"/>
      <c r="M8" s="2439"/>
      <c r="N8" s="2439"/>
      <c r="O8" s="2439"/>
      <c r="P8" s="3457" t="s">
        <v>1683</v>
      </c>
      <c r="Q8" s="3458"/>
      <c r="R8" s="663" t="s">
        <v>14</v>
      </c>
      <c r="S8" s="664">
        <f t="shared" si="0"/>
        <v>0</v>
      </c>
      <c r="T8" s="663" t="s">
        <v>14</v>
      </c>
      <c r="U8" s="664">
        <f t="shared" si="1"/>
        <v>0</v>
      </c>
      <c r="V8" s="663" t="s">
        <v>14</v>
      </c>
      <c r="W8" s="664">
        <f t="shared" si="2"/>
        <v>0</v>
      </c>
      <c r="X8" s="665"/>
      <c r="Y8" s="3457" t="s">
        <v>1683</v>
      </c>
      <c r="Z8" s="3458"/>
      <c r="AA8" s="50" t="e">
        <f t="shared" ref="AA8:AA45" si="3">D8/F8</f>
        <v>#DIV/0!</v>
      </c>
      <c r="AB8" s="50" t="e">
        <f t="shared" ref="AB8:AB45" si="4">D8/H8</f>
        <v>#DIV/0!</v>
      </c>
      <c r="AC8" s="50" t="e">
        <f t="shared" ref="AC8:AC45" si="5">D8/J8</f>
        <v>#DIV/0!</v>
      </c>
    </row>
    <row r="9" spans="1:29" s="102"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422" t="s">
        <v>1686</v>
      </c>
      <c r="Q9" s="529" t="str">
        <f t="shared" ref="Q9:Q15" si="6">B9</f>
        <v>用途</v>
      </c>
      <c r="R9" s="663" t="s">
        <v>14</v>
      </c>
      <c r="S9" s="664">
        <f t="shared" si="0"/>
        <v>100</v>
      </c>
      <c r="T9" s="663" t="s">
        <v>14</v>
      </c>
      <c r="U9" s="664">
        <f t="shared" si="1"/>
        <v>100</v>
      </c>
      <c r="V9" s="663" t="s">
        <v>14</v>
      </c>
      <c r="W9" s="664">
        <f t="shared" si="2"/>
        <v>100</v>
      </c>
      <c r="X9" s="665"/>
      <c r="Y9" s="3273"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t="e">
        <f>ROUND(100/'数据-取费表'!G16,0)</f>
        <v>#DIV/0!</v>
      </c>
      <c r="G10" s="401"/>
      <c r="H10" s="118" t="e">
        <f>ROUND(100/'数据-取费表'!G16,0)</f>
        <v>#DIV/0!</v>
      </c>
      <c r="I10" s="401"/>
      <c r="J10" s="118" t="e">
        <f>ROUND(100/'数据-取费表'!G16,0)</f>
        <v>#DIV/0!</v>
      </c>
      <c r="K10" s="591"/>
      <c r="L10" s="2488"/>
      <c r="M10" s="2489"/>
      <c r="N10" s="2489"/>
      <c r="O10" s="2540"/>
      <c r="P10" s="3422"/>
      <c r="Q10" s="529" t="str">
        <f t="shared" si="6"/>
        <v>土地使用年限（年）</v>
      </c>
      <c r="R10" s="663" t="s">
        <v>14</v>
      </c>
      <c r="S10" s="664" t="e">
        <f t="shared" si="0"/>
        <v>#DIV/0!</v>
      </c>
      <c r="T10" s="663" t="s">
        <v>14</v>
      </c>
      <c r="U10" s="664" t="e">
        <f t="shared" si="1"/>
        <v>#DIV/0!</v>
      </c>
      <c r="V10" s="663" t="s">
        <v>14</v>
      </c>
      <c r="W10" s="664" t="e">
        <f t="shared" si="2"/>
        <v>#DIV/0!</v>
      </c>
      <c r="X10" s="665"/>
      <c r="Y10" s="3273"/>
      <c r="Z10" s="50" t="str">
        <f t="shared" si="7"/>
        <v>土地使用年限（年）</v>
      </c>
      <c r="AA10" s="50" t="e">
        <f t="shared" si="3"/>
        <v>#DIV/0!</v>
      </c>
      <c r="AB10" s="50" t="e">
        <f t="shared" si="4"/>
        <v>#DIV/0!</v>
      </c>
      <c r="AC10" s="50" t="e">
        <f t="shared" si="5"/>
        <v>#DIV/0!</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0"/>
      <c r="M11" s="2486"/>
      <c r="N11" s="2486"/>
      <c r="O11" s="2541"/>
      <c r="P11" s="3422"/>
      <c r="Q11" s="529" t="str">
        <f t="shared" si="6"/>
        <v>容积率</v>
      </c>
      <c r="R11" s="663" t="s">
        <v>14</v>
      </c>
      <c r="S11" s="664" t="e">
        <f t="shared" si="0"/>
        <v>#N/A</v>
      </c>
      <c r="T11" s="663" t="s">
        <v>14</v>
      </c>
      <c r="U11" s="664" t="e">
        <f t="shared" si="1"/>
        <v>#N/A</v>
      </c>
      <c r="V11" s="663" t="s">
        <v>14</v>
      </c>
      <c r="W11" s="664" t="e">
        <f t="shared" si="2"/>
        <v>#N/A</v>
      </c>
      <c r="X11" s="665"/>
      <c r="Y11" s="3273"/>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7"/>
      <c r="M12" s="2439"/>
      <c r="N12" s="2439"/>
      <c r="O12" s="2539"/>
      <c r="P12" s="3422"/>
      <c r="Q12" s="529" t="str">
        <f t="shared" si="6"/>
        <v>配建</v>
      </c>
      <c r="R12" s="663" t="s">
        <v>14</v>
      </c>
      <c r="S12" s="664">
        <f t="shared" si="0"/>
        <v>100</v>
      </c>
      <c r="T12" s="663" t="s">
        <v>14</v>
      </c>
      <c r="U12" s="664">
        <f t="shared" si="1"/>
        <v>100</v>
      </c>
      <c r="V12" s="663" t="s">
        <v>14</v>
      </c>
      <c r="W12" s="664">
        <f t="shared" si="2"/>
        <v>100</v>
      </c>
      <c r="X12" s="665"/>
      <c r="Y12" s="327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422"/>
      <c r="Q13" s="529">
        <f t="shared" si="6"/>
        <v>111</v>
      </c>
      <c r="R13" s="663" t="s">
        <v>14</v>
      </c>
      <c r="S13" s="664">
        <f t="shared" si="0"/>
        <v>100</v>
      </c>
      <c r="T13" s="663" t="s">
        <v>14</v>
      </c>
      <c r="U13" s="664">
        <f t="shared" si="1"/>
        <v>100</v>
      </c>
      <c r="V13" s="663" t="s">
        <v>14</v>
      </c>
      <c r="W13" s="664">
        <f t="shared" si="2"/>
        <v>100</v>
      </c>
      <c r="X13" s="665"/>
      <c r="Y13" s="3273"/>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422"/>
      <c r="Q14" s="529">
        <f t="shared" si="6"/>
        <v>111</v>
      </c>
      <c r="R14" s="663" t="s">
        <v>14</v>
      </c>
      <c r="S14" s="664">
        <f t="shared" si="0"/>
        <v>100</v>
      </c>
      <c r="T14" s="663" t="s">
        <v>14</v>
      </c>
      <c r="U14" s="664">
        <f t="shared" si="1"/>
        <v>100</v>
      </c>
      <c r="V14" s="663" t="s">
        <v>14</v>
      </c>
      <c r="W14" s="664">
        <f t="shared" si="2"/>
        <v>100</v>
      </c>
      <c r="X14" s="665"/>
      <c r="Y14" s="3273"/>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424" t="s">
        <v>1691</v>
      </c>
      <c r="Q15" s="1262" t="str">
        <f t="shared" si="6"/>
        <v>居住社区成熟度</v>
      </c>
      <c r="R15" s="666" t="s">
        <v>14</v>
      </c>
      <c r="S15" s="667">
        <f t="shared" si="0"/>
        <v>100</v>
      </c>
      <c r="T15" s="666" t="s">
        <v>14</v>
      </c>
      <c r="U15" s="667">
        <f t="shared" si="1"/>
        <v>100</v>
      </c>
      <c r="V15" s="666" t="s">
        <v>14</v>
      </c>
      <c r="W15" s="667">
        <f t="shared" si="2"/>
        <v>100</v>
      </c>
      <c r="X15" s="1264"/>
      <c r="Y15" s="3424"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1"/>
      <c r="M16" s="2486"/>
      <c r="N16" s="2486"/>
      <c r="O16" s="2541"/>
      <c r="P16" s="3425"/>
      <c r="Q16" s="1262"/>
      <c r="R16" s="666"/>
      <c r="S16" s="667"/>
      <c r="T16" s="666"/>
      <c r="U16" s="667"/>
      <c r="V16" s="666"/>
      <c r="W16" s="667"/>
      <c r="X16" s="1264"/>
      <c r="Y16" s="3425"/>
      <c r="Z16" s="1263"/>
      <c r="AA16" s="1263">
        <v>1</v>
      </c>
      <c r="AB16" s="1263">
        <v>1</v>
      </c>
      <c r="AC16" s="1263">
        <v>1</v>
      </c>
    </row>
    <row r="17" spans="1:29" ht="82.8">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1"/>
      <c r="M17" s="2486"/>
      <c r="N17" s="2486"/>
      <c r="O17" s="2541"/>
      <c r="P17" s="3425"/>
      <c r="Q17" s="1262" t="str">
        <f>B17</f>
        <v>商业繁华度</v>
      </c>
      <c r="R17" s="666" t="s">
        <v>14</v>
      </c>
      <c r="S17" s="667">
        <f>F17</f>
        <v>100</v>
      </c>
      <c r="T17" s="666" t="s">
        <v>14</v>
      </c>
      <c r="U17" s="667">
        <f>H17</f>
        <v>100</v>
      </c>
      <c r="V17" s="666" t="s">
        <v>14</v>
      </c>
      <c r="W17" s="667">
        <f>J17</f>
        <v>100</v>
      </c>
      <c r="X17" s="1264"/>
      <c r="Y17" s="3425"/>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1"/>
      <c r="M18" s="2486"/>
      <c r="N18" s="2486"/>
      <c r="O18" s="2541"/>
      <c r="P18" s="3425"/>
      <c r="Q18" s="1262"/>
      <c r="R18" s="666"/>
      <c r="S18" s="667"/>
      <c r="T18" s="666"/>
      <c r="U18" s="667"/>
      <c r="V18" s="666"/>
      <c r="W18" s="667"/>
      <c r="X18" s="1264"/>
      <c r="Y18" s="3425"/>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1"/>
      <c r="M19" s="2486"/>
      <c r="N19" s="2486"/>
      <c r="O19" s="2541"/>
      <c r="P19" s="3425"/>
      <c r="Q19" s="1262" t="str">
        <f>B19</f>
        <v>办公集聚程度</v>
      </c>
      <c r="R19" s="666" t="s">
        <v>14</v>
      </c>
      <c r="S19" s="667">
        <f>F19</f>
        <v>100</v>
      </c>
      <c r="T19" s="666" t="s">
        <v>14</v>
      </c>
      <c r="U19" s="667">
        <f>H19</f>
        <v>100</v>
      </c>
      <c r="V19" s="666" t="s">
        <v>14</v>
      </c>
      <c r="W19" s="667">
        <f>J19</f>
        <v>100</v>
      </c>
      <c r="X19" s="1264"/>
      <c r="Y19" s="3425"/>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1"/>
      <c r="M20" s="2486"/>
      <c r="N20" s="2486"/>
      <c r="O20" s="2541"/>
      <c r="P20" s="3425"/>
      <c r="Q20" s="1262"/>
      <c r="R20" s="666"/>
      <c r="S20" s="667"/>
      <c r="T20" s="666"/>
      <c r="U20" s="667"/>
      <c r="V20" s="666"/>
      <c r="W20" s="667"/>
      <c r="X20" s="1264"/>
      <c r="Y20" s="3425"/>
      <c r="Z20" s="1263"/>
      <c r="AA20" s="1263">
        <v>1</v>
      </c>
      <c r="AB20" s="1263">
        <v>1</v>
      </c>
      <c r="AC20" s="1263">
        <v>1</v>
      </c>
    </row>
    <row r="21" spans="1:29" ht="96.6">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1"/>
      <c r="M21" s="2486"/>
      <c r="N21" s="2486"/>
      <c r="O21" s="2541"/>
      <c r="P21" s="3425"/>
      <c r="Q21" s="1262" t="str">
        <f>B21</f>
        <v>交通便捷度</v>
      </c>
      <c r="R21" s="666" t="s">
        <v>14</v>
      </c>
      <c r="S21" s="667">
        <f>F21</f>
        <v>100</v>
      </c>
      <c r="T21" s="666" t="s">
        <v>14</v>
      </c>
      <c r="U21" s="667">
        <f>H21</f>
        <v>100</v>
      </c>
      <c r="V21" s="666" t="s">
        <v>14</v>
      </c>
      <c r="W21" s="667">
        <f>J21</f>
        <v>100</v>
      </c>
      <c r="X21" s="1264"/>
      <c r="Y21" s="3425"/>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1"/>
      <c r="M22" s="2486"/>
      <c r="N22" s="2486"/>
      <c r="O22" s="2541"/>
      <c r="P22" s="3425"/>
      <c r="Q22" s="1262"/>
      <c r="R22" s="666"/>
      <c r="S22" s="667"/>
      <c r="T22" s="666"/>
      <c r="U22" s="667"/>
      <c r="V22" s="666"/>
      <c r="W22" s="667"/>
      <c r="X22" s="1264"/>
      <c r="Y22" s="3425"/>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1"/>
      <c r="M23" s="2486"/>
      <c r="N23" s="2486"/>
      <c r="O23" s="2541"/>
      <c r="P23" s="3425"/>
      <c r="Q23" s="1262" t="str">
        <f t="shared" ref="Q23:Q37" si="8">B23</f>
        <v>区域土地利用方向</v>
      </c>
      <c r="R23" s="666" t="s">
        <v>14</v>
      </c>
      <c r="S23" s="667">
        <f>F23</f>
        <v>100</v>
      </c>
      <c r="T23" s="666" t="s">
        <v>14</v>
      </c>
      <c r="U23" s="667">
        <f>H23</f>
        <v>100</v>
      </c>
      <c r="V23" s="666" t="s">
        <v>14</v>
      </c>
      <c r="W23" s="667">
        <f>J23</f>
        <v>100</v>
      </c>
      <c r="X23" s="1264"/>
      <c r="Y23" s="3425"/>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1"/>
      <c r="M24" s="2486"/>
      <c r="N24" s="2486"/>
      <c r="O24" s="2541"/>
      <c r="P24" s="3425"/>
      <c r="Q24" s="1262"/>
      <c r="R24" s="666"/>
      <c r="S24" s="667"/>
      <c r="T24" s="666"/>
      <c r="U24" s="667"/>
      <c r="V24" s="666"/>
      <c r="W24" s="667"/>
      <c r="X24" s="1264"/>
      <c r="Y24" s="3425"/>
      <c r="Z24" s="1263"/>
      <c r="AA24" s="1263"/>
      <c r="AB24" s="1263"/>
      <c r="AC24" s="1263"/>
    </row>
    <row r="25" spans="1:29" ht="55.2">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1"/>
      <c r="M25" s="2486"/>
      <c r="N25" s="2486"/>
      <c r="O25" s="2541"/>
      <c r="P25" s="3425"/>
      <c r="Q25" s="1262" t="str">
        <f t="shared" si="8"/>
        <v>自然及人文环境状况</v>
      </c>
      <c r="R25" s="666" t="s">
        <v>14</v>
      </c>
      <c r="S25" s="667">
        <f>F25</f>
        <v>100</v>
      </c>
      <c r="T25" s="666" t="s">
        <v>14</v>
      </c>
      <c r="U25" s="667">
        <f>H25</f>
        <v>100</v>
      </c>
      <c r="V25" s="666" t="s">
        <v>14</v>
      </c>
      <c r="W25" s="667">
        <f>J25</f>
        <v>100</v>
      </c>
      <c r="X25" s="1264"/>
      <c r="Y25" s="3425"/>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1"/>
      <c r="M26" s="2486"/>
      <c r="N26" s="2486"/>
      <c r="O26" s="2541"/>
      <c r="P26" s="3425"/>
      <c r="Q26" s="1262"/>
      <c r="R26" s="666"/>
      <c r="S26" s="667"/>
      <c r="T26" s="666"/>
      <c r="U26" s="667"/>
      <c r="V26" s="666"/>
      <c r="W26" s="667"/>
      <c r="X26" s="1264"/>
      <c r="Y26" s="3425"/>
      <c r="Z26" s="1263"/>
      <c r="AA26" s="1263">
        <v>1</v>
      </c>
      <c r="AB26" s="1263">
        <v>1</v>
      </c>
      <c r="AC26" s="1263">
        <v>1</v>
      </c>
    </row>
    <row r="27" spans="1:29" s="102" customFormat="1" ht="41.4">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7"/>
      <c r="M27" s="2439"/>
      <c r="N27" s="2439"/>
      <c r="O27" s="2539"/>
      <c r="P27" s="3425"/>
      <c r="Q27" s="529" t="str">
        <f t="shared" si="8"/>
        <v>公共配套设施</v>
      </c>
      <c r="R27" s="663" t="s">
        <v>14</v>
      </c>
      <c r="S27" s="664">
        <f>F27</f>
        <v>100</v>
      </c>
      <c r="T27" s="663" t="s">
        <v>14</v>
      </c>
      <c r="U27" s="664">
        <f>H27</f>
        <v>100</v>
      </c>
      <c r="V27" s="663" t="s">
        <v>14</v>
      </c>
      <c r="W27" s="664">
        <f>J27</f>
        <v>100</v>
      </c>
      <c r="X27" s="665"/>
      <c r="Y27" s="3425"/>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7"/>
      <c r="M28" s="2439"/>
      <c r="N28" s="2439"/>
      <c r="O28" s="2539"/>
      <c r="P28" s="3425"/>
      <c r="Q28" s="529"/>
      <c r="R28" s="663"/>
      <c r="S28" s="664"/>
      <c r="T28" s="663"/>
      <c r="U28" s="664"/>
      <c r="V28" s="663"/>
      <c r="W28" s="664"/>
      <c r="X28" s="665"/>
      <c r="Y28" s="3425"/>
      <c r="Z28" s="50"/>
      <c r="AA28" s="1263">
        <v>1</v>
      </c>
      <c r="AB28" s="1263">
        <v>1</v>
      </c>
      <c r="AC28" s="1263">
        <v>1</v>
      </c>
    </row>
    <row r="29" spans="1:29" s="102"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7"/>
      <c r="M29" s="2439"/>
      <c r="N29" s="2439"/>
      <c r="O29" s="2539"/>
      <c r="P29" s="3425"/>
      <c r="Q29" s="529" t="str">
        <f t="shared" ref="Q29" si="9">B29</f>
        <v>基础设施水平</v>
      </c>
      <c r="R29" s="663" t="s">
        <v>14</v>
      </c>
      <c r="S29" s="664">
        <f>F29</f>
        <v>100</v>
      </c>
      <c r="T29" s="663" t="s">
        <v>14</v>
      </c>
      <c r="U29" s="664">
        <f>H29</f>
        <v>100</v>
      </c>
      <c r="V29" s="663" t="s">
        <v>14</v>
      </c>
      <c r="W29" s="664">
        <f>J29</f>
        <v>100</v>
      </c>
      <c r="X29" s="665"/>
      <c r="Y29" s="3425"/>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7"/>
      <c r="M30" s="2439"/>
      <c r="N30" s="2439"/>
      <c r="O30" s="2539"/>
      <c r="P30" s="3425"/>
      <c r="Q30" s="529"/>
      <c r="R30" s="663"/>
      <c r="S30" s="664"/>
      <c r="T30" s="663"/>
      <c r="U30" s="664"/>
      <c r="V30" s="663"/>
      <c r="W30" s="664"/>
      <c r="X30" s="665"/>
      <c r="Y30" s="3425"/>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425"/>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25"/>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425"/>
      <c r="Q32" s="1262" t="str">
        <f t="shared" si="8"/>
        <v>毗邻道路的类型与等级</v>
      </c>
      <c r="R32" s="666" t="s">
        <v>14</v>
      </c>
      <c r="S32" s="667">
        <f t="shared" si="10"/>
        <v>100</v>
      </c>
      <c r="T32" s="666" t="s">
        <v>14</v>
      </c>
      <c r="U32" s="667">
        <f t="shared" si="11"/>
        <v>100</v>
      </c>
      <c r="V32" s="666" t="s">
        <v>14</v>
      </c>
      <c r="W32" s="667">
        <f t="shared" si="12"/>
        <v>100</v>
      </c>
      <c r="X32" s="1264"/>
      <c r="Y32" s="3425"/>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1"/>
      <c r="M33" s="2486"/>
      <c r="N33" s="2486"/>
      <c r="O33" s="2541"/>
      <c r="P33" s="3425"/>
      <c r="Q33" s="1262"/>
      <c r="R33" s="666"/>
      <c r="S33" s="667"/>
      <c r="T33" s="666"/>
      <c r="U33" s="667"/>
      <c r="V33" s="666"/>
      <c r="W33" s="667"/>
      <c r="X33" s="1264"/>
      <c r="Y33" s="3425"/>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425"/>
      <c r="Q34" s="1262" t="str">
        <f t="shared" si="8"/>
        <v>土地级别</v>
      </c>
      <c r="R34" s="666" t="s">
        <v>14</v>
      </c>
      <c r="S34" s="667">
        <f t="shared" si="10"/>
        <v>100</v>
      </c>
      <c r="T34" s="666" t="s">
        <v>14</v>
      </c>
      <c r="U34" s="667">
        <f t="shared" si="11"/>
        <v>100</v>
      </c>
      <c r="V34" s="666" t="s">
        <v>14</v>
      </c>
      <c r="W34" s="667">
        <f t="shared" si="12"/>
        <v>100</v>
      </c>
      <c r="X34" s="1264"/>
      <c r="Y34" s="3425"/>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425"/>
      <c r="Q35" s="1262">
        <f t="shared" si="8"/>
        <v>111</v>
      </c>
      <c r="R35" s="666" t="s">
        <v>14</v>
      </c>
      <c r="S35" s="667">
        <f t="shared" si="10"/>
        <v>100</v>
      </c>
      <c r="T35" s="666" t="s">
        <v>14</v>
      </c>
      <c r="U35" s="667">
        <f t="shared" si="11"/>
        <v>100</v>
      </c>
      <c r="V35" s="666" t="s">
        <v>14</v>
      </c>
      <c r="W35" s="667">
        <f t="shared" si="12"/>
        <v>100</v>
      </c>
      <c r="X35" s="1264"/>
      <c r="Y35" s="3425"/>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479" t="s">
        <v>1696</v>
      </c>
      <c r="Q36" s="1262">
        <f t="shared" si="8"/>
        <v>111</v>
      </c>
      <c r="R36" s="666" t="s">
        <v>14</v>
      </c>
      <c r="S36" s="667">
        <f t="shared" si="10"/>
        <v>100</v>
      </c>
      <c r="T36" s="666" t="s">
        <v>14</v>
      </c>
      <c r="U36" s="667">
        <f t="shared" si="11"/>
        <v>100</v>
      </c>
      <c r="V36" s="666" t="s">
        <v>14</v>
      </c>
      <c r="W36" s="667">
        <f t="shared" si="12"/>
        <v>100</v>
      </c>
      <c r="X36" s="1264"/>
      <c r="Y36" s="3429"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429"/>
      <c r="Q37" s="1262">
        <f t="shared" si="8"/>
        <v>111</v>
      </c>
      <c r="R37" s="668" t="s">
        <v>14</v>
      </c>
      <c r="S37" s="669">
        <f t="shared" si="10"/>
        <v>100</v>
      </c>
      <c r="T37" s="668" t="s">
        <v>14</v>
      </c>
      <c r="U37" s="669">
        <f t="shared" si="11"/>
        <v>100</v>
      </c>
      <c r="V37" s="668" t="s">
        <v>14</v>
      </c>
      <c r="W37" s="669">
        <f t="shared" si="12"/>
        <v>100</v>
      </c>
      <c r="X37" s="670"/>
      <c r="Y37" s="3429"/>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1"/>
      <c r="M38" s="2486"/>
      <c r="N38" s="2486"/>
      <c r="O38" s="2541"/>
      <c r="P38" s="3429"/>
      <c r="Q38" s="1262" t="str">
        <f>B38</f>
        <v>宗地面积</v>
      </c>
      <c r="R38" s="666" t="s">
        <v>14</v>
      </c>
      <c r="S38" s="667" t="e">
        <f t="shared" si="10"/>
        <v>#N/A</v>
      </c>
      <c r="T38" s="666" t="s">
        <v>14</v>
      </c>
      <c r="U38" s="667" t="e">
        <f t="shared" si="11"/>
        <v>#N/A</v>
      </c>
      <c r="V38" s="666" t="s">
        <v>14</v>
      </c>
      <c r="W38" s="667" t="e">
        <f t="shared" si="12"/>
        <v>#N/A</v>
      </c>
      <c r="X38" s="1264"/>
      <c r="Y38" s="3429"/>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1"/>
      <c r="M39" s="2486"/>
      <c r="N39" s="2486"/>
      <c r="O39" s="2541"/>
      <c r="P39" s="3429"/>
      <c r="Q39" s="1262" t="str">
        <f t="shared" ref="Q39:Q45" si="14">B39</f>
        <v>宗地形状</v>
      </c>
      <c r="R39" s="666" t="s">
        <v>14</v>
      </c>
      <c r="S39" s="667">
        <f t="shared" si="10"/>
        <v>100</v>
      </c>
      <c r="T39" s="666" t="s">
        <v>14</v>
      </c>
      <c r="U39" s="667">
        <f t="shared" si="11"/>
        <v>100</v>
      </c>
      <c r="V39" s="666" t="s">
        <v>14</v>
      </c>
      <c r="W39" s="667">
        <f t="shared" si="12"/>
        <v>100</v>
      </c>
      <c r="X39" s="1264"/>
      <c r="Y39" s="3429"/>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1"/>
      <c r="M40" s="2486"/>
      <c r="N40" s="2486"/>
      <c r="O40" s="2541"/>
      <c r="P40" s="3429"/>
      <c r="Q40" s="1262" t="str">
        <f t="shared" si="14"/>
        <v>临街宽度及深度</v>
      </c>
      <c r="R40" s="666" t="s">
        <v>14</v>
      </c>
      <c r="S40" s="667">
        <f t="shared" si="10"/>
        <v>100</v>
      </c>
      <c r="T40" s="666" t="s">
        <v>14</v>
      </c>
      <c r="U40" s="667">
        <f t="shared" si="11"/>
        <v>100</v>
      </c>
      <c r="V40" s="666" t="s">
        <v>14</v>
      </c>
      <c r="W40" s="667">
        <f t="shared" si="12"/>
        <v>100</v>
      </c>
      <c r="X40" s="1264"/>
      <c r="Y40" s="3429"/>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7"/>
      <c r="M41" s="2439"/>
      <c r="N41" s="2439"/>
      <c r="O41" s="2539"/>
      <c r="P41" s="3429"/>
      <c r="Q41" s="1262" t="str">
        <f t="shared" si="14"/>
        <v>宗地开发程度</v>
      </c>
      <c r="R41" s="663" t="s">
        <v>14</v>
      </c>
      <c r="S41" s="664">
        <f t="shared" si="10"/>
        <v>100</v>
      </c>
      <c r="T41" s="663" t="s">
        <v>14</v>
      </c>
      <c r="U41" s="664">
        <f t="shared" si="11"/>
        <v>100</v>
      </c>
      <c r="V41" s="663" t="s">
        <v>14</v>
      </c>
      <c r="W41" s="664">
        <f t="shared" si="12"/>
        <v>100</v>
      </c>
      <c r="X41" s="665"/>
      <c r="Y41" s="3429"/>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1"/>
      <c r="M42" s="2486"/>
      <c r="N42" s="2486"/>
      <c r="O42" s="2541"/>
      <c r="P42" s="3429" t="s">
        <v>1696</v>
      </c>
      <c r="Q42" s="1262" t="str">
        <f t="shared" si="14"/>
        <v>工程地质条件</v>
      </c>
      <c r="R42" s="666" t="s">
        <v>14</v>
      </c>
      <c r="S42" s="667">
        <f t="shared" si="10"/>
        <v>100</v>
      </c>
      <c r="T42" s="666" t="s">
        <v>14</v>
      </c>
      <c r="U42" s="667">
        <f t="shared" si="11"/>
        <v>100</v>
      </c>
      <c r="V42" s="666" t="s">
        <v>14</v>
      </c>
      <c r="W42" s="667">
        <f t="shared" si="12"/>
        <v>100</v>
      </c>
      <c r="X42" s="1264"/>
      <c r="Y42" s="3429"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429"/>
      <c r="Q43" s="1262">
        <f t="shared" si="14"/>
        <v>111</v>
      </c>
      <c r="R43" s="666" t="s">
        <v>14</v>
      </c>
      <c r="S43" s="667">
        <f t="shared" si="10"/>
        <v>100</v>
      </c>
      <c r="T43" s="666" t="s">
        <v>14</v>
      </c>
      <c r="U43" s="667">
        <f t="shared" si="11"/>
        <v>100</v>
      </c>
      <c r="V43" s="666" t="s">
        <v>14</v>
      </c>
      <c r="W43" s="667">
        <f t="shared" si="12"/>
        <v>100</v>
      </c>
      <c r="X43" s="1264"/>
      <c r="Y43" s="3429"/>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429"/>
      <c r="Q44" s="1262">
        <f t="shared" si="14"/>
        <v>111</v>
      </c>
      <c r="R44" s="666" t="s">
        <v>14</v>
      </c>
      <c r="S44" s="667">
        <f t="shared" si="10"/>
        <v>100</v>
      </c>
      <c r="T44" s="666" t="s">
        <v>14</v>
      </c>
      <c r="U44" s="667">
        <f t="shared" si="11"/>
        <v>100</v>
      </c>
      <c r="V44" s="666" t="s">
        <v>14</v>
      </c>
      <c r="W44" s="667">
        <f t="shared" si="12"/>
        <v>100</v>
      </c>
      <c r="X44" s="1264"/>
      <c r="Y44" s="3429"/>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429"/>
      <c r="Q45" s="1262">
        <f t="shared" si="14"/>
        <v>111</v>
      </c>
      <c r="R45" s="668" t="s">
        <v>14</v>
      </c>
      <c r="S45" s="669">
        <f t="shared" si="10"/>
        <v>100</v>
      </c>
      <c r="T45" s="668" t="s">
        <v>14</v>
      </c>
      <c r="U45" s="669">
        <f t="shared" si="11"/>
        <v>100</v>
      </c>
      <c r="V45" s="668" t="s">
        <v>14</v>
      </c>
      <c r="W45" s="669">
        <f t="shared" si="12"/>
        <v>100</v>
      </c>
      <c r="X45" s="670"/>
      <c r="Y45" s="3429"/>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3"/>
      <c r="M46" s="2486"/>
      <c r="N46" s="2486"/>
      <c r="O46" s="2486"/>
      <c r="P46" s="3422" t="str">
        <f>A46</f>
        <v>成交单价</v>
      </c>
      <c r="Q46" s="3422"/>
      <c r="R46" s="3423">
        <f>E46</f>
        <v>0</v>
      </c>
      <c r="S46" s="3423"/>
      <c r="T46" s="3423">
        <f>G46</f>
        <v>0</v>
      </c>
      <c r="U46" s="3423"/>
      <c r="V46" s="3423">
        <f>I46</f>
        <v>0</v>
      </c>
      <c r="W46" s="3423"/>
      <c r="X46" s="384"/>
      <c r="Y46" s="672"/>
      <c r="Z46" s="384"/>
      <c r="AA46" s="384"/>
      <c r="AB46" s="384"/>
      <c r="AC46" s="384"/>
    </row>
    <row r="47" spans="1:29" ht="15" thickBot="1">
      <c r="A47" s="422" t="s">
        <v>1793</v>
      </c>
      <c r="B47" s="602"/>
      <c r="C47" s="425" t="e">
        <f>R48</f>
        <v>#DIV/0!</v>
      </c>
      <c r="D47" s="2140" t="s">
        <v>2138</v>
      </c>
      <c r="E47" s="425" t="e">
        <f>R47</f>
        <v>#DIV/0!</v>
      </c>
      <c r="F47" s="2141"/>
      <c r="G47" s="424" t="e">
        <f>T47</f>
        <v>#DIV/0!</v>
      </c>
      <c r="H47" s="2141"/>
      <c r="I47" s="425" t="e">
        <f>V47</f>
        <v>#DIV/0!</v>
      </c>
      <c r="J47" s="2141"/>
      <c r="K47" s="2143">
        <f>F47+H47+J47</f>
        <v>0</v>
      </c>
      <c r="L47" s="2493"/>
      <c r="M47" s="2486"/>
      <c r="N47" s="2486"/>
      <c r="O47" s="2486"/>
      <c r="P47" s="3422" t="str">
        <f>A47</f>
        <v>比较价值（元/平方米）</v>
      </c>
      <c r="Q47" s="3422"/>
      <c r="R47" s="3481" t="e">
        <f>ROUND(PRODUCT(R46,AA7:AA45),0)</f>
        <v>#DIV/0!</v>
      </c>
      <c r="S47" s="3481"/>
      <c r="T47" s="3481" t="e">
        <f>ROUND(PRODUCT(T46,AB7:AB45),0)</f>
        <v>#DIV/0!</v>
      </c>
      <c r="U47" s="3481"/>
      <c r="V47" s="3481" t="e">
        <f>ROUND(PRODUCT(V46,AC7:AC45),0)</f>
        <v>#DIV/0!</v>
      </c>
      <c r="W47" s="3481"/>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3"/>
      <c r="M48" s="2486"/>
      <c r="N48" s="2486"/>
      <c r="O48" s="2486"/>
      <c r="P48" s="3419" t="str">
        <f>A48</f>
        <v>估价对象XX用房的比较价值（楼面单价，元/平方米）</v>
      </c>
      <c r="Q48" s="3420"/>
      <c r="R48" s="3482" t="e">
        <f>ROUND(IF(D47="简单平均",AVERAGE(R47:W47),R47*F47+T47*H47+V47*J47),0)</f>
        <v>#DIV/0!</v>
      </c>
      <c r="S48" s="3482"/>
      <c r="T48" s="3482"/>
      <c r="U48" s="3482"/>
      <c r="V48" s="3482"/>
      <c r="W48" s="3482"/>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4.4"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30" t="s">
        <v>1883</v>
      </c>
      <c r="D55" s="1831" t="s">
        <v>1884</v>
      </c>
      <c r="E55" s="605" t="s">
        <v>1885</v>
      </c>
      <c r="F55" s="836" t="s">
        <v>1886</v>
      </c>
      <c r="G55" s="3437" t="s">
        <v>1887</v>
      </c>
      <c r="H55" s="3483"/>
      <c r="I55" s="126"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9">
        <v>1</v>
      </c>
      <c r="E56" s="609">
        <f>'数据-汇总表'!E8+'数据-汇总表'!E9</f>
        <v>2447.34</v>
      </c>
      <c r="F56" s="832" t="e">
        <f t="shared" ref="F56:F64" si="15">ROUND(B56*E56/10000,0)</f>
        <v>#DIV/0!</v>
      </c>
      <c r="G56" s="3433"/>
      <c r="H56" s="3422"/>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09" t="e">
        <f>ROUND($C$48*C57*D57,0)</f>
        <v>#DIV/0!</v>
      </c>
      <c r="C57" s="162">
        <f t="shared" ref="C57:C64" si="16">IF($C$55="北京市系数",I57,J57)</f>
        <v>0</v>
      </c>
      <c r="D57" s="890">
        <v>0.25</v>
      </c>
      <c r="E57" s="613"/>
      <c r="F57" s="832" t="e">
        <f t="shared" si="15"/>
        <v>#DIV/0!</v>
      </c>
      <c r="G57" s="2749" t="s">
        <v>1892</v>
      </c>
      <c r="H57" s="833">
        <f>项目基本情况!B37</f>
        <v>0</v>
      </c>
      <c r="I57" s="837">
        <f>SUMIF(修正!A57:A68,H57,修正!B57:B68)</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09" t="e">
        <f t="shared" ref="B58:B64" si="17">ROUND($C$48*C58*D58,0)</f>
        <v>#DIV/0!</v>
      </c>
      <c r="C58" s="162">
        <f t="shared" si="16"/>
        <v>0</v>
      </c>
      <c r="D58" s="890">
        <v>0.25</v>
      </c>
      <c r="E58" s="613"/>
      <c r="F58" s="832" t="e">
        <f t="shared" si="15"/>
        <v>#DIV/0!</v>
      </c>
      <c r="G58" s="2750"/>
      <c r="H58" s="833">
        <f>项目基本情况!B37</f>
        <v>0</v>
      </c>
      <c r="I58" s="837">
        <f>SUMIF(修正!A57:A68,H58,修正!C57:C68)</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09" t="e">
        <f t="shared" si="17"/>
        <v>#DIV/0!</v>
      </c>
      <c r="C59" s="162">
        <f t="shared" si="16"/>
        <v>0</v>
      </c>
      <c r="D59" s="890">
        <v>0.25</v>
      </c>
      <c r="E59" s="613"/>
      <c r="F59" s="832" t="e">
        <f t="shared" si="15"/>
        <v>#DIV/0!</v>
      </c>
      <c r="G59" s="2750"/>
      <c r="H59" s="833">
        <f>项目基本情况!B37</f>
        <v>0</v>
      </c>
      <c r="I59" s="837">
        <f>SUMIF(修正!A57:A68,H59,修正!D57:D68)</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thickBot="1">
      <c r="A65" s="614" t="s">
        <v>1903</v>
      </c>
      <c r="B65" s="615" t="s">
        <v>22</v>
      </c>
      <c r="C65" s="615" t="s">
        <v>23</v>
      </c>
      <c r="D65" s="615" t="s">
        <v>392</v>
      </c>
      <c r="E65" s="615">
        <f>IF(B46="楼面地价",SUM(E56:E64),'数据-汇总表'!D3)</f>
        <v>2447.34</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6"/>
      <c r="Q67" s="2486"/>
      <c r="R67" s="2486"/>
      <c r="S67" s="2486"/>
      <c r="T67" s="2486"/>
      <c r="U67" s="2486"/>
      <c r="V67" s="2486"/>
      <c r="W67" s="2486"/>
      <c r="X67" s="2486"/>
      <c r="Y67" s="2486"/>
      <c r="Z67" s="2486"/>
      <c r="AA67" s="2486"/>
      <c r="AB67" s="2486"/>
      <c r="AC67" s="2486"/>
    </row>
    <row r="68" spans="1:29" ht="22.2" thickBot="1">
      <c r="A68" s="657" t="s">
        <v>1798</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ht="14.4">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7"/>
      <c r="Q70" s="2439"/>
      <c r="R70" s="2439"/>
      <c r="S70" s="2439"/>
      <c r="T70" s="2439"/>
      <c r="U70" s="2439"/>
      <c r="V70" s="2439"/>
      <c r="W70" s="2439"/>
      <c r="X70" s="2439"/>
      <c r="Y70" s="2439"/>
      <c r="Z70" s="2439"/>
      <c r="AA70" s="2439"/>
      <c r="AB70" s="2439"/>
      <c r="AC70" s="2439"/>
    </row>
    <row r="71" spans="1:29" s="102" customFormat="1" ht="15" thickBot="1">
      <c r="A71" s="448" t="s">
        <v>1716</v>
      </c>
      <c r="B71" s="449"/>
      <c r="C71" s="450"/>
      <c r="D71" s="451"/>
      <c r="E71" s="451"/>
      <c r="F71" s="451"/>
      <c r="G71" s="451"/>
      <c r="H71" s="451"/>
      <c r="I71" s="451"/>
      <c r="J71" s="451"/>
      <c r="K71" s="451"/>
      <c r="L71" s="451"/>
      <c r="M71" s="452"/>
      <c r="N71" s="451"/>
      <c r="O71" s="888"/>
      <c r="P71" s="2507"/>
      <c r="Q71" s="2507"/>
      <c r="R71" s="2439"/>
      <c r="S71" s="2439"/>
      <c r="T71" s="2439"/>
      <c r="U71" s="2439"/>
      <c r="V71" s="2439"/>
      <c r="W71" s="2439"/>
      <c r="X71" s="2439"/>
      <c r="Y71" s="2439"/>
      <c r="Z71" s="2439"/>
      <c r="AA71" s="2439"/>
      <c r="AB71" s="2439"/>
      <c r="AC71" s="2439"/>
    </row>
    <row r="72" spans="1:29" s="102" customFormat="1" ht="14.4">
      <c r="A72" s="454" t="s">
        <v>1681</v>
      </c>
      <c r="B72" s="443"/>
      <c r="C72" s="455" t="s">
        <v>1776</v>
      </c>
      <c r="D72" s="31"/>
      <c r="E72" s="31"/>
      <c r="F72" s="31"/>
      <c r="G72" s="31"/>
      <c r="H72" s="31"/>
      <c r="I72" s="31"/>
      <c r="J72" s="31"/>
      <c r="K72" s="31"/>
      <c r="L72" s="456"/>
      <c r="M72" s="457"/>
      <c r="N72" s="2519"/>
      <c r="O72" s="2519"/>
      <c r="P72" s="2543"/>
      <c r="Q72" s="2507"/>
      <c r="R72" s="2439"/>
      <c r="S72" s="2439"/>
      <c r="T72" s="2439"/>
      <c r="U72" s="2439"/>
      <c r="V72" s="2439"/>
      <c r="W72" s="2439"/>
      <c r="X72" s="2439"/>
      <c r="Y72" s="2439"/>
      <c r="Z72" s="2439"/>
      <c r="AA72" s="2439"/>
      <c r="AB72" s="2439"/>
      <c r="AC72" s="2439"/>
    </row>
    <row r="73" spans="1:29" s="102" customFormat="1" ht="14.4" thickBot="1">
      <c r="A73" s="454"/>
      <c r="B73" s="443"/>
      <c r="C73" s="562">
        <v>100</v>
      </c>
      <c r="D73" s="445"/>
      <c r="E73" s="445"/>
      <c r="F73" s="445"/>
      <c r="G73" s="445"/>
      <c r="H73" s="445"/>
      <c r="I73" s="445"/>
      <c r="J73" s="445"/>
      <c r="K73" s="445"/>
      <c r="L73" s="445"/>
      <c r="M73" s="447"/>
      <c r="N73" s="2519"/>
      <c r="O73" s="2519"/>
      <c r="P73" s="2507"/>
      <c r="Q73" s="2507"/>
      <c r="R73" s="2439"/>
      <c r="S73" s="2439"/>
      <c r="T73" s="2439"/>
      <c r="U73" s="2439"/>
      <c r="V73" s="2439"/>
      <c r="W73" s="2439"/>
      <c r="X73" s="2439"/>
      <c r="Y73" s="2439"/>
      <c r="Z73" s="2439"/>
      <c r="AA73" s="2439"/>
      <c r="AB73" s="2439"/>
      <c r="AC73" s="2439"/>
    </row>
    <row r="74" spans="1:29" ht="14.4">
      <c r="A74" s="378" t="s">
        <v>1719</v>
      </c>
      <c r="B74" s="459" t="s">
        <v>1685</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4.4"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9.4" thickTop="1">
      <c r="A76" s="366"/>
      <c r="B76" s="468" t="s">
        <v>1688</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4.4"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c r="A79" s="366"/>
      <c r="B79" s="478"/>
      <c r="C79" s="479"/>
      <c r="D79" s="479"/>
      <c r="E79" s="479"/>
      <c r="F79" s="479"/>
      <c r="G79" s="479"/>
      <c r="H79" s="479"/>
      <c r="I79" s="479"/>
      <c r="J79" s="479"/>
      <c r="K79" s="480"/>
      <c r="L79" s="481"/>
      <c r="M79" s="482"/>
      <c r="N79" s="2520"/>
      <c r="O79" s="2520"/>
      <c r="P79" s="2519"/>
      <c r="Q79" s="2507"/>
      <c r="R79" s="2486"/>
      <c r="S79" s="2486"/>
      <c r="T79" s="2486"/>
      <c r="U79" s="2486"/>
      <c r="V79" s="2486"/>
      <c r="W79" s="2486"/>
      <c r="X79" s="2486"/>
      <c r="Y79" s="2486"/>
      <c r="Z79" s="2486"/>
      <c r="AA79" s="2486"/>
      <c r="AB79" s="2486"/>
      <c r="AC79" s="2486"/>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1"/>
      <c r="O80" s="2521"/>
      <c r="P80" s="2519"/>
      <c r="Q80" s="2507"/>
      <c r="R80" s="2486"/>
      <c r="S80" s="2486"/>
      <c r="T80" s="2486"/>
      <c r="U80" s="2486"/>
      <c r="V80" s="2486"/>
      <c r="W80" s="2486"/>
      <c r="X80" s="2486"/>
      <c r="Y80" s="2486"/>
      <c r="Z80" s="2486"/>
      <c r="AA80" s="2486"/>
      <c r="AB80" s="2486"/>
      <c r="AC80" s="2486"/>
    </row>
    <row r="81" spans="1:29" s="407" customFormat="1" ht="14.4" thickTop="1">
      <c r="A81" s="483"/>
      <c r="B81" s="468" t="str">
        <f>B12</f>
        <v>配建</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4.4"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4.4" thickTop="1">
      <c r="A83" s="483"/>
      <c r="B83" s="468">
        <f>B13</f>
        <v>111</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4.4"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4.4" thickTop="1">
      <c r="A85" s="483"/>
      <c r="B85" s="476">
        <f>B14</f>
        <v>111</v>
      </c>
      <c r="C85" s="31"/>
      <c r="D85" s="31"/>
      <c r="E85" s="31"/>
      <c r="F85" s="31"/>
      <c r="G85" s="31"/>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4.4"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ht="14.4">
      <c r="A87" s="378" t="s">
        <v>1690</v>
      </c>
      <c r="B87" s="459" t="s">
        <v>1720</v>
      </c>
      <c r="C87" s="503" t="s">
        <v>1721</v>
      </c>
      <c r="D87" s="503" t="s">
        <v>1722</v>
      </c>
      <c r="E87" s="503" t="s">
        <v>1723</v>
      </c>
      <c r="F87" s="503" t="s">
        <v>1724</v>
      </c>
      <c r="G87" s="503" t="s">
        <v>1725</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5" thickTop="1">
      <c r="A89" s="366"/>
      <c r="B89" s="468" t="s">
        <v>1906</v>
      </c>
      <c r="C89" s="508" t="s">
        <v>1721</v>
      </c>
      <c r="D89" s="508" t="s">
        <v>1722</v>
      </c>
      <c r="E89" s="508" t="s">
        <v>1723</v>
      </c>
      <c r="F89" s="508" t="s">
        <v>1724</v>
      </c>
      <c r="G89" s="508" t="s">
        <v>1725</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5" thickTop="1">
      <c r="A91" s="366"/>
      <c r="B91" s="468" t="s">
        <v>1821</v>
      </c>
      <c r="C91" s="508" t="s">
        <v>1721</v>
      </c>
      <c r="D91" s="508" t="s">
        <v>1722</v>
      </c>
      <c r="E91" s="508" t="s">
        <v>1723</v>
      </c>
      <c r="F91" s="508" t="s">
        <v>1724</v>
      </c>
      <c r="G91" s="508" t="s">
        <v>1725</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5" thickTop="1">
      <c r="A93" s="366"/>
      <c r="B93" s="468" t="s">
        <v>1726</v>
      </c>
      <c r="C93" s="508" t="s">
        <v>1721</v>
      </c>
      <c r="D93" s="508" t="s">
        <v>1722</v>
      </c>
      <c r="E93" s="508" t="s">
        <v>1723</v>
      </c>
      <c r="F93" s="508" t="s">
        <v>1724</v>
      </c>
      <c r="G93" s="508" t="s">
        <v>1725</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9"/>
      <c r="O95" s="2519"/>
      <c r="P95" s="2519"/>
      <c r="Q95" s="2507"/>
      <c r="R95" s="2439"/>
      <c r="S95" s="2439"/>
      <c r="T95" s="2439"/>
      <c r="U95" s="2439"/>
      <c r="V95" s="2439"/>
      <c r="W95" s="2439"/>
      <c r="X95" s="2439"/>
      <c r="Y95" s="2439"/>
      <c r="Z95" s="2439"/>
      <c r="AA95" s="2439"/>
      <c r="AB95" s="2439"/>
      <c r="AC95" s="2439"/>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21"/>
      <c r="O96" s="2521"/>
      <c r="P96" s="2519"/>
      <c r="Q96" s="2507"/>
      <c r="R96" s="2439"/>
      <c r="S96" s="2439"/>
      <c r="T96" s="2439"/>
      <c r="U96" s="2439"/>
      <c r="V96" s="2439"/>
      <c r="W96" s="2439"/>
      <c r="X96" s="2439"/>
      <c r="Y96" s="2439"/>
      <c r="Z96" s="2439"/>
      <c r="AA96" s="2439"/>
      <c r="AB96" s="2439"/>
      <c r="AC96" s="2439"/>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9"/>
      <c r="O97" s="2519"/>
      <c r="P97" s="2519"/>
      <c r="Q97" s="2507"/>
      <c r="R97" s="2439"/>
      <c r="S97" s="2439"/>
      <c r="T97" s="2439"/>
      <c r="U97" s="2439"/>
      <c r="V97" s="2439"/>
      <c r="W97" s="2439"/>
      <c r="X97" s="2439"/>
      <c r="Y97" s="2439"/>
      <c r="Z97" s="2439"/>
      <c r="AA97" s="2439"/>
      <c r="AB97" s="2439"/>
      <c r="AC97" s="2439"/>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21"/>
      <c r="O98" s="2521"/>
      <c r="P98" s="2519"/>
      <c r="Q98" s="2507"/>
      <c r="R98" s="2439"/>
      <c r="S98" s="2439"/>
      <c r="T98" s="2439"/>
      <c r="U98" s="2439"/>
      <c r="V98" s="2439"/>
      <c r="W98" s="2439"/>
      <c r="X98" s="2439"/>
      <c r="Y98" s="2439"/>
      <c r="Z98" s="2439"/>
      <c r="AA98" s="2439"/>
      <c r="AB98" s="2439"/>
      <c r="AC98" s="2439"/>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6"/>
      <c r="B105" s="468" t="s">
        <v>1815</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6"/>
      <c r="B107" s="468" t="s">
        <v>1873</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6"/>
      <c r="B109" s="476">
        <f>B35</f>
        <v>111</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4.4"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4.4" thickTop="1">
      <c r="A111" s="594"/>
      <c r="B111" s="468">
        <f>B36</f>
        <v>111</v>
      </c>
      <c r="C111" s="31"/>
      <c r="D111" s="31"/>
      <c r="E111" s="31"/>
      <c r="F111" s="31"/>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4.4"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4.4" thickTop="1">
      <c r="A113" s="405"/>
      <c r="B113" s="522">
        <f>B37</f>
        <v>111</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4.4"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6"/>
      <c r="B116" s="476"/>
      <c r="C116" s="6"/>
      <c r="D116" s="6"/>
      <c r="E116" s="6"/>
      <c r="F116" s="6"/>
      <c r="G116" s="6"/>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4.4" thickBot="1">
      <c r="A117" s="366"/>
      <c r="B117" s="473"/>
      <c r="C117" s="500"/>
      <c r="D117" s="520"/>
      <c r="E117" s="520"/>
      <c r="F117" s="520"/>
      <c r="G117" s="520"/>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5" thickTop="1">
      <c r="A118" s="408"/>
      <c r="B118" s="468" t="s">
        <v>1914</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8"/>
      <c r="B120" s="468" t="s">
        <v>1915</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1"/>
      <c r="O121" s="2521"/>
      <c r="P121" s="2519"/>
      <c r="Q121" s="2507"/>
      <c r="R121" s="2486"/>
      <c r="S121" s="2486"/>
      <c r="T121" s="2486"/>
      <c r="U121" s="2486"/>
      <c r="V121" s="2486"/>
      <c r="W121" s="2486"/>
      <c r="X121" s="2486"/>
      <c r="Y121" s="2486"/>
      <c r="Z121" s="2486"/>
      <c r="AA121" s="2486"/>
      <c r="AB121" s="2486"/>
      <c r="AC121" s="2486"/>
    </row>
    <row r="122" spans="1:29" s="407" customFormat="1" ht="15" thickTop="1">
      <c r="A122" s="405"/>
      <c r="B122" s="468" t="s">
        <v>1916</v>
      </c>
      <c r="C122" s="484"/>
      <c r="D122" s="484"/>
      <c r="E122" s="484"/>
      <c r="F122" s="484"/>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8"/>
      <c r="B124" s="468" t="s">
        <v>1917</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8"/>
      <c r="B126" s="468">
        <f>B43</f>
        <v>111</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4.4"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4.4" thickTop="1">
      <c r="A128" s="408"/>
      <c r="B128" s="468">
        <f>B44</f>
        <v>111</v>
      </c>
      <c r="C128" s="31"/>
      <c r="D128" s="31"/>
      <c r="E128" s="31"/>
      <c r="F128" s="31"/>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4.4"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4.4" thickTop="1">
      <c r="A130" s="405"/>
      <c r="B130" s="468">
        <f>B45</f>
        <v>111</v>
      </c>
      <c r="C130" s="31"/>
      <c r="D130" s="31"/>
      <c r="E130" s="31"/>
      <c r="F130" s="31"/>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4.4"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M22" sqref="M22"/>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37" t="s">
        <v>1770</v>
      </c>
      <c r="D4" s="3438"/>
      <c r="E4" s="3439" t="s">
        <v>1771</v>
      </c>
      <c r="F4" s="3440"/>
      <c r="G4" s="3437" t="s">
        <v>1772</v>
      </c>
      <c r="H4" s="3438"/>
      <c r="I4" s="3437" t="s">
        <v>1773</v>
      </c>
      <c r="J4" s="3438"/>
      <c r="K4" s="536" t="s">
        <v>1774</v>
      </c>
      <c r="L4" s="2485"/>
      <c r="M4" s="2486"/>
      <c r="N4" s="2486"/>
      <c r="O4" s="2486"/>
      <c r="P4" s="3441" t="s">
        <v>1775</v>
      </c>
      <c r="Q4" s="3442"/>
      <c r="R4" s="3447" t="s">
        <v>1771</v>
      </c>
      <c r="S4" s="3448"/>
      <c r="T4" s="3447" t="s">
        <v>1772</v>
      </c>
      <c r="U4" s="3448"/>
      <c r="V4" s="3423" t="s">
        <v>1773</v>
      </c>
      <c r="W4" s="3423"/>
      <c r="X4" s="1264"/>
      <c r="Y4" s="3447" t="s">
        <v>1775</v>
      </c>
      <c r="Z4" s="3448"/>
      <c r="AA4" s="3434" t="s">
        <v>1771</v>
      </c>
      <c r="AB4" s="3435" t="s">
        <v>1772</v>
      </c>
      <c r="AC4" s="3434" t="s">
        <v>1773</v>
      </c>
    </row>
    <row r="5" spans="1:29">
      <c r="A5" s="347"/>
      <c r="B5" s="348"/>
      <c r="C5" s="3455" t="s">
        <v>1673</v>
      </c>
      <c r="D5" s="3456"/>
      <c r="E5" s="3462" t="s">
        <v>1674</v>
      </c>
      <c r="F5" s="3463"/>
      <c r="G5" s="3455" t="s">
        <v>1675</v>
      </c>
      <c r="H5" s="3456"/>
      <c r="I5" s="3455" t="s">
        <v>1676</v>
      </c>
      <c r="J5" s="3456"/>
      <c r="K5" s="536"/>
      <c r="L5" s="2485"/>
      <c r="M5" s="2486"/>
      <c r="N5" s="2486"/>
      <c r="O5" s="2486"/>
      <c r="P5" s="3443"/>
      <c r="Q5" s="3444"/>
      <c r="R5" s="3449"/>
      <c r="S5" s="3450"/>
      <c r="T5" s="3449"/>
      <c r="U5" s="3450"/>
      <c r="V5" s="3423"/>
      <c r="W5" s="3423"/>
      <c r="X5" s="1264"/>
      <c r="Y5" s="3449"/>
      <c r="Z5" s="3450"/>
      <c r="AA5" s="3435"/>
      <c r="AB5" s="3435"/>
      <c r="AC5" s="3435"/>
    </row>
    <row r="6" spans="1:29" ht="15" thickBot="1">
      <c r="A6" s="349"/>
      <c r="B6" s="350"/>
      <c r="C6" s="3484" t="s">
        <v>1919</v>
      </c>
      <c r="D6" s="3485"/>
      <c r="E6" s="3486" t="s">
        <v>1919</v>
      </c>
      <c r="F6" s="3487"/>
      <c r="G6" s="3484" t="s">
        <v>1919</v>
      </c>
      <c r="H6" s="3485"/>
      <c r="I6" s="3484" t="s">
        <v>1919</v>
      </c>
      <c r="J6" s="3485"/>
      <c r="K6" s="536" t="s">
        <v>1678</v>
      </c>
      <c r="L6" s="2485"/>
      <c r="M6" s="2486"/>
      <c r="N6" s="2486"/>
      <c r="O6" s="2486"/>
      <c r="P6" s="3445"/>
      <c r="Q6" s="3446"/>
      <c r="R6" s="3449"/>
      <c r="S6" s="3450"/>
      <c r="T6" s="3451"/>
      <c r="U6" s="3452"/>
      <c r="V6" s="3423"/>
      <c r="W6" s="3423"/>
      <c r="X6" s="1264"/>
      <c r="Y6" s="3451"/>
      <c r="Z6" s="3452"/>
      <c r="AA6" s="3436"/>
      <c r="AB6" s="3436"/>
      <c r="AC6" s="3436"/>
    </row>
    <row r="7" spans="1:29" s="102" customFormat="1" ht="15" thickBot="1">
      <c r="A7" s="351" t="s">
        <v>1679</v>
      </c>
      <c r="B7" s="352"/>
      <c r="C7" s="353">
        <f>'数据-取费表'!B2</f>
        <v>45783</v>
      </c>
      <c r="D7" s="354">
        <v>100</v>
      </c>
      <c r="E7" s="355"/>
      <c r="F7" s="356">
        <f>SUMIF(65:65,YEAR(E7)&amp;"-"&amp;INT((MONTH(E7)+2)/3),66:66)</f>
        <v>0</v>
      </c>
      <c r="G7" s="1821"/>
      <c r="H7" s="354">
        <f>SUMIF(65:65,YEAR(G7)&amp;"-"&amp;INT((MONTH(G7)+2)/3),66:66)</f>
        <v>0</v>
      </c>
      <c r="I7" s="1821"/>
      <c r="J7" s="354">
        <f>SUMIF(65:65,YEAR(I7)&amp;"-"&amp;INT((MONTH(I7)+2)/3),66:66)</f>
        <v>0</v>
      </c>
      <c r="K7" s="38"/>
      <c r="L7" s="2487"/>
      <c r="M7" s="2439"/>
      <c r="N7" s="2439"/>
      <c r="O7" s="2439"/>
      <c r="P7" s="3457" t="s">
        <v>1680</v>
      </c>
      <c r="Q7" s="3459"/>
      <c r="R7" s="663" t="s">
        <v>14</v>
      </c>
      <c r="S7" s="664">
        <f t="shared" ref="S7:S15" si="0">F7</f>
        <v>0</v>
      </c>
      <c r="T7" s="663" t="s">
        <v>14</v>
      </c>
      <c r="U7" s="664">
        <f t="shared" ref="U7:U15" si="1">H7</f>
        <v>0</v>
      </c>
      <c r="V7" s="663" t="s">
        <v>14</v>
      </c>
      <c r="W7" s="664">
        <f t="shared" ref="W7:W15" si="2">J7</f>
        <v>0</v>
      </c>
      <c r="X7" s="665"/>
      <c r="Y7" s="3457" t="s">
        <v>1680</v>
      </c>
      <c r="Z7" s="3458"/>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7"/>
      <c r="M8" s="2439"/>
      <c r="N8" s="2439"/>
      <c r="O8" s="2439"/>
      <c r="P8" s="3457" t="s">
        <v>1683</v>
      </c>
      <c r="Q8" s="3458"/>
      <c r="R8" s="663" t="s">
        <v>14</v>
      </c>
      <c r="S8" s="664">
        <f t="shared" si="0"/>
        <v>0</v>
      </c>
      <c r="T8" s="663" t="s">
        <v>14</v>
      </c>
      <c r="U8" s="664">
        <f t="shared" si="1"/>
        <v>0</v>
      </c>
      <c r="V8" s="663" t="s">
        <v>14</v>
      </c>
      <c r="W8" s="664">
        <f t="shared" si="2"/>
        <v>0</v>
      </c>
      <c r="X8" s="665"/>
      <c r="Y8" s="3457" t="s">
        <v>1683</v>
      </c>
      <c r="Z8" s="3458"/>
      <c r="AA8" s="50" t="e">
        <f t="shared" ref="AA8:AA40" si="3">D8/F8</f>
        <v>#DIV/0!</v>
      </c>
      <c r="AB8" s="50" t="e">
        <f t="shared" ref="AB8:AB40" si="4">D8/H8</f>
        <v>#DIV/0!</v>
      </c>
      <c r="AC8" s="50" t="e">
        <f t="shared" ref="AC8:AC40" si="5">D8/J8</f>
        <v>#DIV/0!</v>
      </c>
    </row>
    <row r="9" spans="1:29" s="102"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422" t="s">
        <v>1686</v>
      </c>
      <c r="Q9" s="529" t="str">
        <f t="shared" ref="Q9:Q15" si="6">B9</f>
        <v>用途</v>
      </c>
      <c r="R9" s="663" t="s">
        <v>14</v>
      </c>
      <c r="S9" s="664">
        <f t="shared" si="0"/>
        <v>100</v>
      </c>
      <c r="T9" s="663" t="s">
        <v>14</v>
      </c>
      <c r="U9" s="664">
        <f t="shared" si="1"/>
        <v>100</v>
      </c>
      <c r="V9" s="663" t="s">
        <v>14</v>
      </c>
      <c r="W9" s="664">
        <f t="shared" si="2"/>
        <v>100</v>
      </c>
      <c r="X9" s="665"/>
      <c r="Y9" s="3273"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t="e">
        <f>ROUND(100/'数据-取费表'!G16,0)</f>
        <v>#DIV/0!</v>
      </c>
      <c r="G10" s="370"/>
      <c r="H10" s="118" t="e">
        <f>ROUND(100/'数据-取费表'!G16,0)</f>
        <v>#DIV/0!</v>
      </c>
      <c r="I10" s="370"/>
      <c r="J10" s="118" t="e">
        <f>ROUND(100/'数据-取费表'!G16,0)</f>
        <v>#DIV/0!</v>
      </c>
      <c r="K10" s="591"/>
      <c r="L10" s="2488"/>
      <c r="M10" s="2489"/>
      <c r="N10" s="2489"/>
      <c r="O10" s="2540"/>
      <c r="P10" s="3422"/>
      <c r="Q10" s="529" t="str">
        <f t="shared" si="6"/>
        <v>土地使用年限（年）</v>
      </c>
      <c r="R10" s="663" t="s">
        <v>14</v>
      </c>
      <c r="S10" s="664" t="e">
        <f t="shared" si="0"/>
        <v>#DIV/0!</v>
      </c>
      <c r="T10" s="663" t="s">
        <v>14</v>
      </c>
      <c r="U10" s="664" t="e">
        <f t="shared" si="1"/>
        <v>#DIV/0!</v>
      </c>
      <c r="V10" s="663" t="s">
        <v>14</v>
      </c>
      <c r="W10" s="664" t="e">
        <f t="shared" si="2"/>
        <v>#DIV/0!</v>
      </c>
      <c r="X10" s="665"/>
      <c r="Y10" s="3273"/>
      <c r="Z10" s="50" t="str">
        <f t="shared" si="7"/>
        <v>土地使用年限（年）</v>
      </c>
      <c r="AA10" s="50" t="e">
        <f t="shared" si="3"/>
        <v>#DIV/0!</v>
      </c>
      <c r="AB10" s="50" t="e">
        <f t="shared" si="4"/>
        <v>#DIV/0!</v>
      </c>
      <c r="AC10" s="50" t="e">
        <f t="shared" si="5"/>
        <v>#DIV/0!</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0"/>
      <c r="M11" s="2486"/>
      <c r="N11" s="2486"/>
      <c r="O11" s="2541"/>
      <c r="P11" s="3422"/>
      <c r="Q11" s="529" t="str">
        <f t="shared" si="6"/>
        <v>容积率</v>
      </c>
      <c r="R11" s="663" t="s">
        <v>14</v>
      </c>
      <c r="S11" s="664" t="e">
        <f t="shared" si="0"/>
        <v>#N/A</v>
      </c>
      <c r="T11" s="663" t="s">
        <v>14</v>
      </c>
      <c r="U11" s="664" t="e">
        <f t="shared" si="1"/>
        <v>#N/A</v>
      </c>
      <c r="V11" s="663" t="s">
        <v>14</v>
      </c>
      <c r="W11" s="664" t="e">
        <f t="shared" si="2"/>
        <v>#N/A</v>
      </c>
      <c r="X11" s="665"/>
      <c r="Y11" s="3273"/>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9"/>
      <c r="N12" s="2439"/>
      <c r="O12" s="2539"/>
      <c r="P12" s="3422"/>
      <c r="Q12" s="529">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422"/>
      <c r="Q13" s="529">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422"/>
      <c r="Q14" s="529">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1"/>
      <c r="M15" s="2486"/>
      <c r="N15" s="2486"/>
      <c r="O15" s="2541"/>
      <c r="P15" s="3424" t="s">
        <v>1691</v>
      </c>
      <c r="Q15" s="1262" t="str">
        <f t="shared" si="6"/>
        <v>产业集聚程度</v>
      </c>
      <c r="R15" s="666" t="s">
        <v>14</v>
      </c>
      <c r="S15" s="667">
        <f t="shared" si="0"/>
        <v>100</v>
      </c>
      <c r="T15" s="666" t="s">
        <v>14</v>
      </c>
      <c r="U15" s="667">
        <f t="shared" si="1"/>
        <v>100</v>
      </c>
      <c r="V15" s="666" t="s">
        <v>14</v>
      </c>
      <c r="W15" s="667">
        <f t="shared" si="2"/>
        <v>100</v>
      </c>
      <c r="X15" s="1264"/>
      <c r="Y15" s="3424"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1"/>
      <c r="M16" s="2486"/>
      <c r="N16" s="2486"/>
      <c r="O16" s="2541"/>
      <c r="P16" s="3425"/>
      <c r="Q16" s="1262"/>
      <c r="R16" s="666"/>
      <c r="S16" s="667"/>
      <c r="T16" s="666"/>
      <c r="U16" s="667"/>
      <c r="V16" s="666"/>
      <c r="W16" s="667"/>
      <c r="X16" s="1264"/>
      <c r="Y16" s="3425"/>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1"/>
      <c r="M17" s="2486"/>
      <c r="N17" s="2486"/>
      <c r="O17" s="2541"/>
      <c r="P17" s="3425"/>
      <c r="Q17" s="1262" t="str">
        <f>B17</f>
        <v>交通便捷度</v>
      </c>
      <c r="R17" s="666" t="s">
        <v>14</v>
      </c>
      <c r="S17" s="667">
        <f>F17</f>
        <v>100</v>
      </c>
      <c r="T17" s="666" t="s">
        <v>14</v>
      </c>
      <c r="U17" s="667">
        <f>H17</f>
        <v>100</v>
      </c>
      <c r="V17" s="666" t="s">
        <v>14</v>
      </c>
      <c r="W17" s="667">
        <f>J17</f>
        <v>100</v>
      </c>
      <c r="X17" s="1264"/>
      <c r="Y17" s="3425"/>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1"/>
      <c r="M18" s="2486"/>
      <c r="N18" s="2486"/>
      <c r="O18" s="2541"/>
      <c r="P18" s="3425"/>
      <c r="Q18" s="1262"/>
      <c r="R18" s="666"/>
      <c r="S18" s="667"/>
      <c r="T18" s="666"/>
      <c r="U18" s="667"/>
      <c r="V18" s="666"/>
      <c r="W18" s="667"/>
      <c r="X18" s="1264"/>
      <c r="Y18" s="3425"/>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1"/>
      <c r="M19" s="2486"/>
      <c r="N19" s="2486"/>
      <c r="O19" s="2541"/>
      <c r="P19" s="3425"/>
      <c r="Q19" s="1262" t="str">
        <f t="shared" ref="Q19:Q33" si="8">B19</f>
        <v>区域土地利用方向</v>
      </c>
      <c r="R19" s="666" t="s">
        <v>14</v>
      </c>
      <c r="S19" s="667">
        <f>F19</f>
        <v>100</v>
      </c>
      <c r="T19" s="666" t="s">
        <v>14</v>
      </c>
      <c r="U19" s="667">
        <f>H19</f>
        <v>100</v>
      </c>
      <c r="V19" s="666" t="s">
        <v>14</v>
      </c>
      <c r="W19" s="667">
        <f>J19</f>
        <v>100</v>
      </c>
      <c r="X19" s="1264"/>
      <c r="Y19" s="3425"/>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1"/>
      <c r="M20" s="2486"/>
      <c r="N20" s="2486"/>
      <c r="O20" s="2541"/>
      <c r="P20" s="3425"/>
      <c r="Q20" s="1262"/>
      <c r="R20" s="666"/>
      <c r="S20" s="667"/>
      <c r="T20" s="666"/>
      <c r="U20" s="667"/>
      <c r="V20" s="666"/>
      <c r="W20" s="667"/>
      <c r="X20" s="1264"/>
      <c r="Y20" s="3425"/>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1"/>
      <c r="M21" s="2486"/>
      <c r="N21" s="2486"/>
      <c r="O21" s="2541"/>
      <c r="P21" s="3425"/>
      <c r="Q21" s="1262" t="str">
        <f t="shared" si="8"/>
        <v>环境状况</v>
      </c>
      <c r="R21" s="666" t="s">
        <v>14</v>
      </c>
      <c r="S21" s="667">
        <f>F21</f>
        <v>100</v>
      </c>
      <c r="T21" s="666" t="s">
        <v>14</v>
      </c>
      <c r="U21" s="667">
        <f>H21</f>
        <v>100</v>
      </c>
      <c r="V21" s="666" t="s">
        <v>14</v>
      </c>
      <c r="W21" s="667">
        <f>J21</f>
        <v>100</v>
      </c>
      <c r="X21" s="1264"/>
      <c r="Y21" s="3425"/>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1"/>
      <c r="M22" s="2486"/>
      <c r="N22" s="2486"/>
      <c r="O22" s="2541"/>
      <c r="P22" s="3425"/>
      <c r="Q22" s="1262"/>
      <c r="R22" s="666"/>
      <c r="S22" s="667"/>
      <c r="T22" s="666"/>
      <c r="U22" s="667"/>
      <c r="V22" s="666"/>
      <c r="W22" s="667"/>
      <c r="X22" s="1264"/>
      <c r="Y22" s="3425"/>
      <c r="Z22" s="1263"/>
      <c r="AA22" s="1263">
        <v>1</v>
      </c>
      <c r="AB22" s="1263">
        <v>1</v>
      </c>
      <c r="AC22" s="1263">
        <v>1</v>
      </c>
    </row>
    <row r="23" spans="1:29" s="102"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7"/>
      <c r="M23" s="2439"/>
      <c r="N23" s="2439"/>
      <c r="O23" s="2539"/>
      <c r="P23" s="3425"/>
      <c r="Q23" s="529" t="str">
        <f t="shared" si="8"/>
        <v>公共配套设施</v>
      </c>
      <c r="R23" s="663" t="s">
        <v>14</v>
      </c>
      <c r="S23" s="664">
        <f>F23</f>
        <v>100</v>
      </c>
      <c r="T23" s="663" t="s">
        <v>14</v>
      </c>
      <c r="U23" s="664">
        <f>H23</f>
        <v>100</v>
      </c>
      <c r="V23" s="663" t="s">
        <v>14</v>
      </c>
      <c r="W23" s="664">
        <f>J23</f>
        <v>100</v>
      </c>
      <c r="X23" s="665"/>
      <c r="Y23" s="3425"/>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7"/>
      <c r="M24" s="2439"/>
      <c r="N24" s="2439"/>
      <c r="O24" s="2539"/>
      <c r="P24" s="3425"/>
      <c r="Q24" s="529"/>
      <c r="R24" s="663"/>
      <c r="S24" s="664"/>
      <c r="T24" s="663"/>
      <c r="U24" s="664"/>
      <c r="V24" s="663"/>
      <c r="W24" s="664"/>
      <c r="X24" s="665"/>
      <c r="Y24" s="3425"/>
      <c r="Z24" s="50"/>
      <c r="AA24" s="50">
        <v>1</v>
      </c>
      <c r="AB24" s="50">
        <v>1</v>
      </c>
      <c r="AC24" s="50">
        <v>1</v>
      </c>
    </row>
    <row r="25" spans="1:29" s="102"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7"/>
      <c r="M25" s="2439"/>
      <c r="N25" s="2439"/>
      <c r="O25" s="2539"/>
      <c r="P25" s="3425"/>
      <c r="Q25" s="529" t="str">
        <f t="shared" ref="Q25" si="9">B25</f>
        <v>基础设施水平</v>
      </c>
      <c r="R25" s="663" t="s">
        <v>14</v>
      </c>
      <c r="S25" s="664">
        <f>F25</f>
        <v>100</v>
      </c>
      <c r="T25" s="663" t="s">
        <v>14</v>
      </c>
      <c r="U25" s="664">
        <f>H25</f>
        <v>100</v>
      </c>
      <c r="V25" s="663" t="s">
        <v>14</v>
      </c>
      <c r="W25" s="664">
        <f>J25</f>
        <v>100</v>
      </c>
      <c r="X25" s="665"/>
      <c r="Y25" s="3425"/>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7"/>
      <c r="M26" s="2439"/>
      <c r="N26" s="2439"/>
      <c r="O26" s="2539"/>
      <c r="P26" s="3425"/>
      <c r="Q26" s="529"/>
      <c r="R26" s="663"/>
      <c r="S26" s="664"/>
      <c r="T26" s="663"/>
      <c r="U26" s="664"/>
      <c r="V26" s="663"/>
      <c r="W26" s="664"/>
      <c r="X26" s="665"/>
      <c r="Y26" s="3425"/>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425"/>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25"/>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425"/>
      <c r="Q28" s="1262" t="str">
        <f t="shared" si="8"/>
        <v>毗邻道路的类型与等级</v>
      </c>
      <c r="R28" s="666" t="s">
        <v>14</v>
      </c>
      <c r="S28" s="667">
        <f t="shared" si="10"/>
        <v>100</v>
      </c>
      <c r="T28" s="666" t="s">
        <v>14</v>
      </c>
      <c r="U28" s="667">
        <f t="shared" si="11"/>
        <v>100</v>
      </c>
      <c r="V28" s="666" t="s">
        <v>14</v>
      </c>
      <c r="W28" s="667">
        <f t="shared" si="12"/>
        <v>100</v>
      </c>
      <c r="X28" s="1264"/>
      <c r="Y28" s="3425"/>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1"/>
      <c r="M29" s="2486"/>
      <c r="N29" s="2486"/>
      <c r="O29" s="2541"/>
      <c r="P29" s="3425"/>
      <c r="Q29" s="1262"/>
      <c r="R29" s="666"/>
      <c r="S29" s="667"/>
      <c r="T29" s="666"/>
      <c r="U29" s="667"/>
      <c r="V29" s="666"/>
      <c r="W29" s="667"/>
      <c r="X29" s="1264"/>
      <c r="Y29" s="3425"/>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425"/>
      <c r="Q30" s="1262" t="str">
        <f t="shared" si="8"/>
        <v>土地级别</v>
      </c>
      <c r="R30" s="666" t="s">
        <v>14</v>
      </c>
      <c r="S30" s="667">
        <f t="shared" si="10"/>
        <v>100</v>
      </c>
      <c r="T30" s="666" t="s">
        <v>14</v>
      </c>
      <c r="U30" s="667">
        <f t="shared" si="11"/>
        <v>100</v>
      </c>
      <c r="V30" s="666" t="s">
        <v>14</v>
      </c>
      <c r="W30" s="667">
        <f t="shared" si="12"/>
        <v>100</v>
      </c>
      <c r="X30" s="1264"/>
      <c r="Y30" s="3425"/>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425"/>
      <c r="Q31" s="1262">
        <f t="shared" si="8"/>
        <v>111</v>
      </c>
      <c r="R31" s="666" t="s">
        <v>14</v>
      </c>
      <c r="S31" s="667">
        <f t="shared" si="10"/>
        <v>100</v>
      </c>
      <c r="T31" s="666" t="s">
        <v>14</v>
      </c>
      <c r="U31" s="667">
        <f t="shared" si="11"/>
        <v>100</v>
      </c>
      <c r="V31" s="666" t="s">
        <v>14</v>
      </c>
      <c r="W31" s="667">
        <f t="shared" si="12"/>
        <v>100</v>
      </c>
      <c r="X31" s="1264"/>
      <c r="Y31" s="3425"/>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479" t="s">
        <v>1696</v>
      </c>
      <c r="Q32" s="1262">
        <f t="shared" si="8"/>
        <v>111</v>
      </c>
      <c r="R32" s="666" t="s">
        <v>14</v>
      </c>
      <c r="S32" s="667">
        <f t="shared" si="10"/>
        <v>100</v>
      </c>
      <c r="T32" s="666" t="s">
        <v>14</v>
      </c>
      <c r="U32" s="667">
        <f t="shared" si="11"/>
        <v>100</v>
      </c>
      <c r="V32" s="666" t="s">
        <v>14</v>
      </c>
      <c r="W32" s="667">
        <f t="shared" si="12"/>
        <v>100</v>
      </c>
      <c r="X32" s="1264"/>
      <c r="Y32" s="3429"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429"/>
      <c r="Q33" s="1262">
        <f t="shared" si="8"/>
        <v>111</v>
      </c>
      <c r="R33" s="668" t="s">
        <v>14</v>
      </c>
      <c r="S33" s="669">
        <f t="shared" si="10"/>
        <v>100</v>
      </c>
      <c r="T33" s="668" t="s">
        <v>14</v>
      </c>
      <c r="U33" s="669">
        <f t="shared" si="11"/>
        <v>100</v>
      </c>
      <c r="V33" s="668" t="s">
        <v>14</v>
      </c>
      <c r="W33" s="669">
        <f t="shared" si="12"/>
        <v>100</v>
      </c>
      <c r="X33" s="670"/>
      <c r="Y33" s="3429"/>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1"/>
      <c r="M34" s="2486"/>
      <c r="N34" s="2486"/>
      <c r="O34" s="2541"/>
      <c r="P34" s="3429"/>
      <c r="Q34" s="1262" t="str">
        <f>B34</f>
        <v>宗地面积</v>
      </c>
      <c r="R34" s="666" t="s">
        <v>14</v>
      </c>
      <c r="S34" s="667" t="e">
        <f t="shared" si="10"/>
        <v>#N/A</v>
      </c>
      <c r="T34" s="666" t="s">
        <v>14</v>
      </c>
      <c r="U34" s="667" t="e">
        <f t="shared" si="11"/>
        <v>#N/A</v>
      </c>
      <c r="V34" s="666" t="s">
        <v>14</v>
      </c>
      <c r="W34" s="667" t="e">
        <f t="shared" si="12"/>
        <v>#N/A</v>
      </c>
      <c r="X34" s="1264"/>
      <c r="Y34" s="3429"/>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1"/>
      <c r="M35" s="2486"/>
      <c r="N35" s="2486"/>
      <c r="O35" s="2541"/>
      <c r="P35" s="3429"/>
      <c r="Q35" s="1262" t="str">
        <f t="shared" ref="Q35:Q40" si="14">B35</f>
        <v>宗地形状</v>
      </c>
      <c r="R35" s="666" t="s">
        <v>14</v>
      </c>
      <c r="S35" s="667">
        <f t="shared" si="10"/>
        <v>100</v>
      </c>
      <c r="T35" s="666" t="s">
        <v>14</v>
      </c>
      <c r="U35" s="667">
        <f t="shared" si="11"/>
        <v>100</v>
      </c>
      <c r="V35" s="666" t="s">
        <v>14</v>
      </c>
      <c r="W35" s="667">
        <f t="shared" si="12"/>
        <v>100</v>
      </c>
      <c r="X35" s="1264"/>
      <c r="Y35" s="3429"/>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7"/>
      <c r="M36" s="2439"/>
      <c r="N36" s="2439"/>
      <c r="O36" s="2539"/>
      <c r="P36" s="3429"/>
      <c r="Q36" s="1262" t="str">
        <f t="shared" si="14"/>
        <v>宗地开发程度</v>
      </c>
      <c r="R36" s="663" t="s">
        <v>14</v>
      </c>
      <c r="S36" s="664">
        <f t="shared" si="10"/>
        <v>100</v>
      </c>
      <c r="T36" s="663" t="s">
        <v>14</v>
      </c>
      <c r="U36" s="664">
        <f t="shared" si="11"/>
        <v>100</v>
      </c>
      <c r="V36" s="663" t="s">
        <v>14</v>
      </c>
      <c r="W36" s="664">
        <f t="shared" si="12"/>
        <v>100</v>
      </c>
      <c r="X36" s="665"/>
      <c r="Y36" s="3429"/>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1"/>
      <c r="M37" s="2486"/>
      <c r="N37" s="2486"/>
      <c r="O37" s="2541"/>
      <c r="P37" s="3429" t="s">
        <v>1696</v>
      </c>
      <c r="Q37" s="1262" t="str">
        <f t="shared" si="14"/>
        <v>工程地质条件</v>
      </c>
      <c r="R37" s="666" t="s">
        <v>14</v>
      </c>
      <c r="S37" s="667">
        <f t="shared" si="10"/>
        <v>100</v>
      </c>
      <c r="T37" s="666" t="s">
        <v>14</v>
      </c>
      <c r="U37" s="667">
        <f t="shared" si="11"/>
        <v>100</v>
      </c>
      <c r="V37" s="666" t="s">
        <v>14</v>
      </c>
      <c r="W37" s="667">
        <f t="shared" si="12"/>
        <v>100</v>
      </c>
      <c r="X37" s="1264"/>
      <c r="Y37" s="3429"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429"/>
      <c r="Q38" s="1262">
        <f t="shared" si="14"/>
        <v>111</v>
      </c>
      <c r="R38" s="666" t="s">
        <v>14</v>
      </c>
      <c r="S38" s="667">
        <f t="shared" si="10"/>
        <v>100</v>
      </c>
      <c r="T38" s="666" t="s">
        <v>14</v>
      </c>
      <c r="U38" s="667">
        <f t="shared" si="11"/>
        <v>100</v>
      </c>
      <c r="V38" s="666" t="s">
        <v>14</v>
      </c>
      <c r="W38" s="667">
        <f t="shared" si="12"/>
        <v>100</v>
      </c>
      <c r="X38" s="1264"/>
      <c r="Y38" s="3429"/>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429"/>
      <c r="Q39" s="1262">
        <f t="shared" si="14"/>
        <v>111</v>
      </c>
      <c r="R39" s="666" t="s">
        <v>14</v>
      </c>
      <c r="S39" s="667">
        <f t="shared" si="10"/>
        <v>100</v>
      </c>
      <c r="T39" s="666" t="s">
        <v>14</v>
      </c>
      <c r="U39" s="667">
        <f t="shared" si="11"/>
        <v>100</v>
      </c>
      <c r="V39" s="666" t="s">
        <v>14</v>
      </c>
      <c r="W39" s="667">
        <f t="shared" si="12"/>
        <v>100</v>
      </c>
      <c r="X39" s="1264"/>
      <c r="Y39" s="3429"/>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429"/>
      <c r="Q40" s="1262">
        <f t="shared" si="14"/>
        <v>111</v>
      </c>
      <c r="R40" s="668" t="s">
        <v>14</v>
      </c>
      <c r="S40" s="669">
        <f t="shared" si="10"/>
        <v>100</v>
      </c>
      <c r="T40" s="668" t="s">
        <v>14</v>
      </c>
      <c r="U40" s="669">
        <f t="shared" si="11"/>
        <v>100</v>
      </c>
      <c r="V40" s="668" t="s">
        <v>14</v>
      </c>
      <c r="W40" s="669">
        <f t="shared" si="12"/>
        <v>100</v>
      </c>
      <c r="X40" s="670"/>
      <c r="Y40" s="3429"/>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3"/>
      <c r="M41" s="2486"/>
      <c r="N41" s="2486"/>
      <c r="O41" s="2486"/>
      <c r="P41" s="3422" t="str">
        <f>A41</f>
        <v>成交单价</v>
      </c>
      <c r="Q41" s="3422"/>
      <c r="R41" s="3423">
        <f>E41</f>
        <v>0</v>
      </c>
      <c r="S41" s="3423"/>
      <c r="T41" s="3423">
        <f>G41</f>
        <v>0</v>
      </c>
      <c r="U41" s="3423"/>
      <c r="V41" s="3423">
        <f>I41</f>
        <v>0</v>
      </c>
      <c r="W41" s="3423"/>
      <c r="X41" s="384"/>
      <c r="Y41" s="672"/>
      <c r="Z41" s="384"/>
      <c r="AA41" s="384"/>
      <c r="AB41" s="384"/>
      <c r="AC41" s="384"/>
    </row>
    <row r="42" spans="1:31" ht="15" thickBot="1">
      <c r="A42" s="422" t="s">
        <v>1793</v>
      </c>
      <c r="B42" s="602"/>
      <c r="C42" s="425" t="e">
        <f>R43</f>
        <v>#DIV/0!</v>
      </c>
      <c r="D42" s="2140" t="s">
        <v>2138</v>
      </c>
      <c r="E42" s="425" t="e">
        <f>R42</f>
        <v>#DIV/0!</v>
      </c>
      <c r="F42" s="2141"/>
      <c r="G42" s="424" t="e">
        <f>T42</f>
        <v>#DIV/0!</v>
      </c>
      <c r="H42" s="2141"/>
      <c r="I42" s="425" t="e">
        <f>V42</f>
        <v>#DIV/0!</v>
      </c>
      <c r="J42" s="2141"/>
      <c r="K42" s="2143">
        <f>F42+H42+J42</f>
        <v>0</v>
      </c>
      <c r="L42" s="2493"/>
      <c r="M42" s="2486"/>
      <c r="N42" s="2486"/>
      <c r="O42" s="2486"/>
      <c r="P42" s="3422" t="str">
        <f>A42</f>
        <v>比较价值（元/平方米）</v>
      </c>
      <c r="Q42" s="3422"/>
      <c r="R42" s="3481" t="e">
        <f>ROUND(PRODUCT(R41,AA7:AA40),0)</f>
        <v>#DIV/0!</v>
      </c>
      <c r="S42" s="3481"/>
      <c r="T42" s="3481" t="e">
        <f>ROUND(PRODUCT(T41,AB7:AB40),0)</f>
        <v>#DIV/0!</v>
      </c>
      <c r="U42" s="3481"/>
      <c r="V42" s="3481" t="e">
        <f>ROUND(PRODUCT(V41,AC7:AC40),0)</f>
        <v>#DIV/0!</v>
      </c>
      <c r="W42" s="3481"/>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3"/>
      <c r="M43" s="2486"/>
      <c r="N43" s="2486"/>
      <c r="O43" s="2486"/>
      <c r="P43" s="3419" t="str">
        <f>A43</f>
        <v>估价对象XX用房的比较价值（楼面单价，元/平方米）</v>
      </c>
      <c r="Q43" s="3420"/>
      <c r="R43" s="3482" t="e">
        <f>ROUND(IF(D42="简单平均",AVERAGE(R42:W42),R42*F42+T42*H42+V42*J42),0)</f>
        <v>#DIV/0!</v>
      </c>
      <c r="S43" s="3482"/>
      <c r="T43" s="3482"/>
      <c r="U43" s="3482"/>
      <c r="V43" s="3482"/>
      <c r="W43" s="3482"/>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4.4"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3" t="s">
        <v>1881</v>
      </c>
      <c r="B50" s="604" t="s">
        <v>1882</v>
      </c>
      <c r="C50" s="1830" t="s">
        <v>1883</v>
      </c>
      <c r="D50" s="1831" t="s">
        <v>1884</v>
      </c>
      <c r="E50" s="605" t="s">
        <v>1885</v>
      </c>
      <c r="F50" s="606" t="s">
        <v>1886</v>
      </c>
      <c r="G50" s="3437" t="s">
        <v>1887</v>
      </c>
      <c r="H50" s="3483"/>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9">
        <v>1</v>
      </c>
      <c r="E51" s="609">
        <f>'数据-汇总表'!E8+'数据-汇总表'!E9</f>
        <v>2447.34</v>
      </c>
      <c r="F51" s="610" t="e">
        <f t="shared" ref="F51:F60" si="15">ROUND(B51*E51/10000,0)</f>
        <v>#DIV/0!</v>
      </c>
      <c r="G51" s="3433"/>
      <c r="H51" s="3422"/>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09" t="e">
        <f>ROUND($C$43*C52*D52,0)</f>
        <v>#DIV/0!</v>
      </c>
      <c r="C52" s="162">
        <f t="shared" ref="C52:C60" si="16">IF($C$50="北京市系数",I52,J52)</f>
        <v>0</v>
      </c>
      <c r="D52" s="890">
        <v>0.25</v>
      </c>
      <c r="E52" s="613"/>
      <c r="F52" s="610" t="e">
        <f t="shared" si="15"/>
        <v>#DIV/0!</v>
      </c>
      <c r="G52" s="2749" t="s">
        <v>1892</v>
      </c>
      <c r="H52" s="833">
        <f>项目基本情况!B37</f>
        <v>0</v>
      </c>
      <c r="I52" s="726">
        <f>SUMIF(修正!A57:A68,H52,修正!B57:B68)</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09" t="e">
        <f t="shared" ref="B53:B60" si="17">ROUND($C$43*C53*D53,0)</f>
        <v>#DIV/0!</v>
      </c>
      <c r="C53" s="162">
        <f t="shared" si="16"/>
        <v>0</v>
      </c>
      <c r="D53" s="890">
        <v>0.25</v>
      </c>
      <c r="E53" s="613"/>
      <c r="F53" s="610" t="e">
        <f t="shared" si="15"/>
        <v>#DIV/0!</v>
      </c>
      <c r="G53" s="2750"/>
      <c r="H53" s="833">
        <f>项目基本情况!B37</f>
        <v>0</v>
      </c>
      <c r="I53" s="726">
        <f>SUMIF(修正!A57:A68,H53,修正!C57:C68)</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09" t="e">
        <f t="shared" si="17"/>
        <v>#DIV/0!</v>
      </c>
      <c r="C54" s="162">
        <f t="shared" si="16"/>
        <v>0</v>
      </c>
      <c r="D54" s="890">
        <v>0.25</v>
      </c>
      <c r="E54" s="613"/>
      <c r="F54" s="610" t="e">
        <f t="shared" si="15"/>
        <v>#DIV/0!</v>
      </c>
      <c r="G54" s="2750"/>
      <c r="H54" s="833">
        <f>项目基本情况!B37</f>
        <v>0</v>
      </c>
      <c r="I54" s="726">
        <f>SUMIF(修正!A57:A68,H54,修正!D57:D68)</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4.4" thickBot="1">
      <c r="A61" s="614" t="s">
        <v>1903</v>
      </c>
      <c r="B61" s="615" t="s">
        <v>22</v>
      </c>
      <c r="C61" s="615" t="s">
        <v>23</v>
      </c>
      <c r="D61" s="615" t="s">
        <v>392</v>
      </c>
      <c r="E61" s="615">
        <f>IF(B41="楼面地价",SUM(E51:E60),'数据-汇总表'!D3)</f>
        <v>5389.47</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7" t="s">
        <v>1798</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ht="14.4">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2" customFormat="1" ht="15" thickBot="1">
      <c r="A67" s="448" t="s">
        <v>1716</v>
      </c>
      <c r="B67" s="449"/>
      <c r="C67" s="450"/>
      <c r="D67" s="451"/>
      <c r="E67" s="451"/>
      <c r="F67" s="451"/>
      <c r="G67" s="451"/>
      <c r="H67" s="451"/>
      <c r="I67" s="451"/>
      <c r="J67" s="451"/>
      <c r="K67" s="451"/>
      <c r="L67" s="451"/>
      <c r="M67" s="452"/>
      <c r="N67" s="452"/>
      <c r="O67" s="453"/>
      <c r="P67" s="2507"/>
      <c r="Q67" s="2507"/>
      <c r="R67" s="2439"/>
      <c r="S67" s="2439"/>
      <c r="T67" s="2439"/>
      <c r="U67" s="2439"/>
      <c r="V67" s="2439"/>
      <c r="W67" s="2439"/>
      <c r="X67" s="2439"/>
      <c r="Y67" s="2439"/>
      <c r="Z67" s="2439"/>
      <c r="AA67" s="2439"/>
      <c r="AB67" s="2439"/>
      <c r="AC67" s="2439"/>
      <c r="AD67" s="2439"/>
      <c r="AE67" s="2439"/>
    </row>
    <row r="68" spans="1:31" s="102" customFormat="1" ht="14.4">
      <c r="A68" s="454" t="s">
        <v>1681</v>
      </c>
      <c r="B68" s="443"/>
      <c r="C68" s="455" t="s">
        <v>1776</v>
      </c>
      <c r="D68" s="31"/>
      <c r="E68" s="31"/>
      <c r="F68" s="31"/>
      <c r="G68" s="31"/>
      <c r="H68" s="31"/>
      <c r="I68" s="31"/>
      <c r="J68" s="31"/>
      <c r="K68" s="31"/>
      <c r="L68" s="456"/>
      <c r="M68" s="457"/>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4"/>
      <c r="B69" s="443"/>
      <c r="C69" s="562">
        <v>100</v>
      </c>
      <c r="D69" s="445"/>
      <c r="E69" s="445"/>
      <c r="F69" s="445"/>
      <c r="G69" s="445"/>
      <c r="H69" s="445"/>
      <c r="I69" s="445"/>
      <c r="J69" s="445"/>
      <c r="K69" s="445"/>
      <c r="L69" s="445"/>
      <c r="M69" s="447"/>
      <c r="N69" s="2519"/>
      <c r="O69" s="2519"/>
      <c r="P69" s="2507"/>
      <c r="Q69" s="2507"/>
      <c r="R69" s="2439"/>
      <c r="S69" s="2439"/>
      <c r="T69" s="2439"/>
      <c r="U69" s="2439"/>
      <c r="V69" s="2439"/>
      <c r="W69" s="2439"/>
      <c r="X69" s="2439"/>
      <c r="Y69" s="2439"/>
      <c r="Z69" s="2439"/>
      <c r="AA69" s="2439"/>
      <c r="AB69" s="2439"/>
      <c r="AC69" s="2439"/>
      <c r="AD69" s="2439"/>
      <c r="AE69" s="2439"/>
    </row>
    <row r="70" spans="1:31" ht="14.4">
      <c r="A70" s="378" t="s">
        <v>1719</v>
      </c>
      <c r="B70" s="459" t="s">
        <v>1685</v>
      </c>
      <c r="C70" s="461"/>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6"/>
      <c r="B71" s="465"/>
      <c r="C71" s="466"/>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6"/>
      <c r="B72" s="468" t="s">
        <v>1688</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6"/>
      <c r="B75" s="478"/>
      <c r="C75" s="479"/>
      <c r="D75" s="479"/>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4.4"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4.4"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4.4"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4.4"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4.4" thickTop="1">
      <c r="A81" s="483"/>
      <c r="B81" s="476">
        <f>B14</f>
        <v>111</v>
      </c>
      <c r="C81" s="31"/>
      <c r="D81" s="31"/>
      <c r="E81" s="31"/>
      <c r="F81" s="31"/>
      <c r="G81" s="31"/>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4.4"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ht="14.4">
      <c r="A83" s="378" t="s">
        <v>1690</v>
      </c>
      <c r="B83" s="459" t="s">
        <v>1829</v>
      </c>
      <c r="C83" s="503" t="s">
        <v>1721</v>
      </c>
      <c r="D83" s="503" t="s">
        <v>1722</v>
      </c>
      <c r="E83" s="503" t="s">
        <v>1723</v>
      </c>
      <c r="F83" s="503" t="s">
        <v>1724</v>
      </c>
      <c r="G83" s="503" t="s">
        <v>1725</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6"/>
      <c r="B85" s="468" t="s">
        <v>1726</v>
      </c>
      <c r="C85" s="508" t="s">
        <v>1721</v>
      </c>
      <c r="D85" s="508" t="s">
        <v>1722</v>
      </c>
      <c r="E85" s="508" t="s">
        <v>1723</v>
      </c>
      <c r="F85" s="508" t="s">
        <v>1724</v>
      </c>
      <c r="G85" s="508" t="s">
        <v>1725</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21"/>
      <c r="O90" s="2521"/>
      <c r="P90" s="2519"/>
      <c r="Q90" s="2507"/>
      <c r="R90" s="2439"/>
      <c r="S90" s="2439"/>
      <c r="T90" s="2439"/>
      <c r="U90" s="2439"/>
      <c r="V90" s="2439"/>
      <c r="W90" s="2439"/>
      <c r="X90" s="2439"/>
      <c r="Y90" s="2439"/>
      <c r="Z90" s="2439"/>
      <c r="AA90" s="2439"/>
      <c r="AB90" s="2439"/>
      <c r="AC90" s="2439"/>
      <c r="AD90" s="2439"/>
      <c r="AE90" s="2439"/>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6"/>
      <c r="B95" s="468" t="str">
        <f>B27</f>
        <v>临街状况</v>
      </c>
      <c r="C95" s="469" t="s">
        <v>1909</v>
      </c>
      <c r="D95" s="469" t="s">
        <v>1910</v>
      </c>
      <c r="E95" s="469" t="s">
        <v>1911</v>
      </c>
      <c r="F95" s="469" t="s">
        <v>1912</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6"/>
      <c r="B97" s="468" t="s">
        <v>1815</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6"/>
      <c r="B99" s="468" t="s">
        <v>1873</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4.4" thickTop="1">
      <c r="A105" s="405"/>
      <c r="B105" s="522">
        <f>B33</f>
        <v>111</v>
      </c>
      <c r="C105" s="31"/>
      <c r="D105" s="31"/>
      <c r="E105" s="31"/>
      <c r="F105" s="31"/>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4.4"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6"/>
      <c r="B108" s="476"/>
      <c r="C108" s="6"/>
      <c r="D108" s="6"/>
      <c r="E108" s="6"/>
      <c r="F108" s="6"/>
      <c r="G108" s="6"/>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6"/>
      <c r="B109" s="473"/>
      <c r="C109" s="500"/>
      <c r="D109" s="520"/>
      <c r="E109" s="520"/>
      <c r="F109" s="520"/>
      <c r="G109" s="520"/>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8"/>
      <c r="B110" s="468" t="s">
        <v>1914</v>
      </c>
      <c r="C110" s="512"/>
      <c r="D110" s="512"/>
      <c r="E110" s="512"/>
      <c r="F110" s="512"/>
      <c r="G110" s="51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5" thickTop="1">
      <c r="A112" s="405"/>
      <c r="B112" s="468" t="s">
        <v>1916</v>
      </c>
      <c r="C112" s="484"/>
      <c r="D112" s="484"/>
      <c r="E112" s="484"/>
      <c r="F112" s="484"/>
      <c r="G112" s="484"/>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8"/>
      <c r="B114" s="468" t="s">
        <v>1917</v>
      </c>
      <c r="C114" s="484"/>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4.4" thickTop="1">
      <c r="A120" s="405"/>
      <c r="B120" s="468">
        <f>B40</f>
        <v>111</v>
      </c>
      <c r="C120" s="31"/>
      <c r="D120" s="31"/>
      <c r="E120" s="31"/>
      <c r="F120" s="31"/>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4.4"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91" t="s">
        <v>2084</v>
      </c>
      <c r="D1" s="3492"/>
      <c r="E1" s="3492"/>
      <c r="F1" s="3492"/>
      <c r="G1" s="3492"/>
      <c r="H1" s="3492"/>
      <c r="I1" s="3492"/>
      <c r="J1" s="3492"/>
      <c r="K1" s="3492"/>
      <c r="L1" s="3492"/>
      <c r="M1" s="3492"/>
      <c r="N1" s="3492"/>
      <c r="O1" s="3492"/>
      <c r="P1" s="3492"/>
      <c r="Q1" s="3492"/>
      <c r="R1" s="3492"/>
      <c r="S1" s="3493"/>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88" t="s">
        <v>27</v>
      </c>
      <c r="D22" s="3489"/>
      <c r="E22" s="3489"/>
      <c r="F22" s="3489"/>
      <c r="G22" s="3489"/>
      <c r="H22" s="3489"/>
      <c r="I22" s="3489"/>
      <c r="J22" s="3489"/>
      <c r="K22" s="3489"/>
      <c r="L22" s="3489"/>
      <c r="M22" s="3489"/>
      <c r="N22" s="3489"/>
      <c r="O22" s="3489"/>
      <c r="P22" s="3489"/>
      <c r="Q22" s="349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7.399999999999999">
      <c r="A3" s="3190" t="str">
        <f>IF(项目基本情况!B9="房地产市场价值","估价结果一览表（市场价值不需“结果表-1”）","估价结果一览表")</f>
        <v>估价结果一览表</v>
      </c>
      <c r="B3" s="3190"/>
      <c r="C3" s="3190"/>
      <c r="D3" s="3190"/>
      <c r="E3" s="3190"/>
    </row>
    <row r="4" spans="1:5" ht="18" thickBot="1">
      <c r="A4" s="1390"/>
      <c r="B4" s="3188" t="s">
        <v>917</v>
      </c>
      <c r="C4" s="3188"/>
      <c r="D4" s="3188"/>
      <c r="E4" s="1390"/>
    </row>
    <row r="5" spans="1:5" ht="16.2" thickTop="1">
      <c r="B5" s="3186" t="s">
        <v>909</v>
      </c>
      <c r="C5" s="1391" t="s">
        <v>910</v>
      </c>
      <c r="D5" s="796">
        <f ca="1">结果表!H101</f>
        <v>1374</v>
      </c>
    </row>
    <row r="6" spans="1:5" ht="15.6">
      <c r="B6" s="3186"/>
      <c r="C6" s="1391" t="s">
        <v>911</v>
      </c>
      <c r="D6" s="796" t="str">
        <f ca="1">NUMBERSTRING(INT(D5*10000),2)&amp;"元整"</f>
        <v>壹仟叁佰柒拾肆万元整</v>
      </c>
    </row>
    <row r="7" spans="1:5" ht="15.6">
      <c r="B7" s="3191"/>
      <c r="C7" s="1392" t="s">
        <v>912</v>
      </c>
      <c r="D7" s="797">
        <f ca="1">结果表!H102</f>
        <v>5614</v>
      </c>
    </row>
    <row r="8" spans="1:5" ht="15.6">
      <c r="B8" s="3192" t="str">
        <f>结果表!E103</f>
        <v>2.估价师知悉的法定优先受偿款</v>
      </c>
      <c r="C8" s="1393" t="s">
        <v>913</v>
      </c>
      <c r="D8" s="797">
        <f>结果表!H103</f>
        <v>0</v>
      </c>
    </row>
    <row r="9" spans="1:5" ht="15.6">
      <c r="B9" s="3194"/>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5" t="str">
        <f>结果表!E107</f>
        <v>3.房地产抵押价值</v>
      </c>
      <c r="C13" s="1396" t="s">
        <v>910</v>
      </c>
      <c r="D13" s="799">
        <f ca="1">结果表!H107</f>
        <v>1374</v>
      </c>
    </row>
    <row r="14" spans="1:5" ht="15.6">
      <c r="B14" s="3186"/>
      <c r="C14" s="1391" t="s">
        <v>911</v>
      </c>
      <c r="D14" s="796" t="str">
        <f ca="1">NUMBERSTRING(INT(D13*10000),2)&amp;"元整"</f>
        <v>壹仟叁佰柒拾肆万元整</v>
      </c>
    </row>
    <row r="15" spans="1:5" ht="15.6">
      <c r="B15" s="3191"/>
      <c r="C15" s="1392" t="s">
        <v>921</v>
      </c>
      <c r="D15" s="805">
        <f ca="1">结果表!H108</f>
        <v>5614</v>
      </c>
    </row>
    <row r="16" spans="1:5" ht="15.6">
      <c r="B16" s="3192" t="str">
        <f>结果表!E109</f>
        <v>——</v>
      </c>
      <c r="C16" s="1396" t="s">
        <v>922</v>
      </c>
      <c r="D16" s="1397" t="str">
        <f>结果表!H109</f>
        <v>——</v>
      </c>
    </row>
    <row r="17" spans="1:5" ht="15.6">
      <c r="B17" s="3193"/>
      <c r="C17" s="1391" t="s">
        <v>923</v>
      </c>
      <c r="D17" s="796" t="e">
        <f>NUMBERSTRING(INT(D16*10000),2)&amp;"元整"</f>
        <v>#VALUE!</v>
      </c>
    </row>
    <row r="18" spans="1:5" ht="15.6">
      <c r="B18" s="3194"/>
      <c r="C18" s="1392" t="s">
        <v>912</v>
      </c>
      <c r="D18" s="805" t="str">
        <f>结果表!H110</f>
        <v>——</v>
      </c>
    </row>
    <row r="19" spans="1:5" ht="15.6">
      <c r="B19" s="3185" t="str">
        <f>结果表!E111</f>
        <v>——</v>
      </c>
      <c r="C19" s="1396" t="s">
        <v>910</v>
      </c>
      <c r="D19" s="797" t="str">
        <f>结果表!H111</f>
        <v>——</v>
      </c>
    </row>
    <row r="20" spans="1:5" ht="15.6">
      <c r="B20" s="3186"/>
      <c r="C20" s="1391" t="s">
        <v>923</v>
      </c>
      <c r="D20" s="796" t="e">
        <f>NUMBERSTRING(INT(D19*10000),2)&amp;"元整"</f>
        <v>#VALUE!</v>
      </c>
    </row>
    <row r="21" spans="1:5" ht="16.2" thickBot="1">
      <c r="B21" s="3187"/>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3"/>
      <c r="G1" s="2543"/>
      <c r="H1" s="2543"/>
      <c r="I1" s="2543"/>
      <c r="J1" s="2543"/>
      <c r="K1" s="2543"/>
      <c r="L1" s="2543"/>
      <c r="M1" s="2543"/>
      <c r="N1" s="2543"/>
      <c r="O1" s="2543"/>
      <c r="P1" s="2543"/>
    </row>
    <row r="2" spans="1:16" ht="15.6">
      <c r="A2" s="1983" t="s">
        <v>2073</v>
      </c>
      <c r="B2" s="2387">
        <f ca="1">SUMIF(B6:B13,"&lt;&gt;#ref!",B6:B13)</f>
        <v>591</v>
      </c>
      <c r="C2" s="1983" t="s">
        <v>2074</v>
      </c>
      <c r="D2" s="1983" t="s">
        <v>2075</v>
      </c>
      <c r="E2" s="2397">
        <f ca="1">SUMIF(E6:E13,"&lt;&gt;#ref!",E6:E13)</f>
        <v>5389.47</v>
      </c>
      <c r="F2" s="2543"/>
      <c r="G2" s="2543"/>
      <c r="H2" s="2543"/>
      <c r="I2" s="2543"/>
      <c r="J2" s="2543"/>
      <c r="K2" s="2543"/>
      <c r="L2" s="2543"/>
      <c r="M2" s="2543"/>
      <c r="N2" s="2543"/>
      <c r="O2" s="2543"/>
      <c r="P2" s="2543"/>
    </row>
    <row r="3" spans="1:16" ht="15.6">
      <c r="A3" s="1983" t="s">
        <v>2076</v>
      </c>
      <c r="B3" s="2387">
        <f ca="1">ROUND(B2*10000/E2,0)</f>
        <v>1097</v>
      </c>
      <c r="C3" s="1983"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4"/>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591</v>
      </c>
      <c r="C6" s="1983" t="s">
        <v>2074</v>
      </c>
      <c r="D6" s="2543"/>
      <c r="E6" s="2397">
        <f ca="1">SUMIF(INDIRECT("'"&amp;A6&amp;"'"&amp;"!C:C"),"建筑面积",INDIRECT("'"&amp;A6&amp;"'"&amp;"!D:D"))</f>
        <v>5389.47</v>
      </c>
      <c r="F6" s="2543"/>
      <c r="G6" s="2543"/>
      <c r="H6" s="2543"/>
      <c r="I6" s="2543"/>
      <c r="J6" s="2543"/>
      <c r="K6" s="2543"/>
      <c r="L6" s="2543"/>
      <c r="M6" s="2543"/>
      <c r="N6" s="2543"/>
      <c r="O6" s="2543"/>
      <c r="P6" s="2543"/>
    </row>
    <row r="7" spans="1:16" ht="15.6">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03" t="s">
        <v>2607</v>
      </c>
      <c r="B20" s="3498" t="s">
        <v>2628</v>
      </c>
      <c r="C20" s="2841" t="s">
        <v>2439</v>
      </c>
      <c r="D20" s="2842"/>
      <c r="E20" s="2843">
        <v>1</v>
      </c>
      <c r="F20" s="2844" t="s">
        <v>2440</v>
      </c>
      <c r="G20" s="2844"/>
    </row>
    <row r="21" spans="1:13" ht="19.5" customHeight="1">
      <c r="A21" s="3504"/>
      <c r="B21" s="3497"/>
      <c r="C21" s="2845" t="s">
        <v>2441</v>
      </c>
      <c r="D21" s="2846"/>
      <c r="E21" s="2847">
        <v>1</v>
      </c>
      <c r="F21" s="2844" t="s">
        <v>2442</v>
      </c>
      <c r="G21" s="2844"/>
    </row>
    <row r="22" spans="1:13" ht="19.5" customHeight="1">
      <c r="A22" s="3504"/>
      <c r="B22" s="3497"/>
      <c r="C22" s="2845" t="s">
        <v>2443</v>
      </c>
      <c r="D22" s="2846"/>
      <c r="E22" s="2847">
        <v>0.9</v>
      </c>
      <c r="F22" s="2844" t="s">
        <v>2444</v>
      </c>
      <c r="G22" s="2844"/>
    </row>
    <row r="23" spans="1:13" ht="19.5" customHeight="1">
      <c r="A23" s="3504"/>
      <c r="B23" s="3497"/>
      <c r="C23" s="2845" t="s">
        <v>2445</v>
      </c>
      <c r="D23" s="2846"/>
      <c r="E23" s="2847">
        <v>0.9</v>
      </c>
      <c r="F23" s="2844" t="s">
        <v>2446</v>
      </c>
      <c r="G23" s="2844"/>
    </row>
    <row r="24" spans="1:13" ht="19.5" customHeight="1">
      <c r="A24" s="3504"/>
      <c r="B24" s="3497"/>
      <c r="C24" s="2845" t="s">
        <v>2447</v>
      </c>
      <c r="D24" s="2846"/>
      <c r="E24" s="2847">
        <v>0.8</v>
      </c>
      <c r="F24" s="2844" t="s">
        <v>2448</v>
      </c>
      <c r="G24" s="2844"/>
    </row>
    <row r="25" spans="1:13" ht="19.5" customHeight="1" thickBot="1">
      <c r="A25" s="3505"/>
      <c r="B25" s="3499"/>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500" t="s">
        <v>2631</v>
      </c>
      <c r="B27" s="3498" t="s">
        <v>2612</v>
      </c>
      <c r="C27" s="2841" t="s">
        <v>2452</v>
      </c>
      <c r="D27" s="2842"/>
      <c r="E27" s="2843">
        <v>1</v>
      </c>
      <c r="F27" s="2844" t="s">
        <v>2453</v>
      </c>
      <c r="G27" s="2844"/>
    </row>
    <row r="28" spans="1:13" ht="19.5" customHeight="1">
      <c r="A28" s="3501"/>
      <c r="B28" s="3497"/>
      <c r="C28" s="2845" t="s">
        <v>2454</v>
      </c>
      <c r="D28" s="2846"/>
      <c r="E28" s="2847">
        <v>1</v>
      </c>
      <c r="F28" s="2844" t="s">
        <v>2455</v>
      </c>
      <c r="G28" s="2844"/>
    </row>
    <row r="29" spans="1:13" ht="19.5" customHeight="1">
      <c r="A29" s="3501"/>
      <c r="B29" s="3497"/>
      <c r="C29" s="2845" t="s">
        <v>2456</v>
      </c>
      <c r="D29" s="2846"/>
      <c r="E29" s="2847">
        <v>0.8</v>
      </c>
      <c r="F29" s="2844" t="s">
        <v>2457</v>
      </c>
      <c r="G29" s="2844"/>
    </row>
    <row r="30" spans="1:13" ht="19.5" customHeight="1">
      <c r="A30" s="3501"/>
      <c r="B30" s="3497"/>
      <c r="C30" s="2845" t="s">
        <v>2458</v>
      </c>
      <c r="D30" s="2846"/>
      <c r="E30" s="2847">
        <v>0.8</v>
      </c>
      <c r="F30" s="2844" t="s">
        <v>2459</v>
      </c>
      <c r="G30" s="2844"/>
    </row>
    <row r="31" spans="1:13" ht="19.5" customHeight="1">
      <c r="A31" s="3501"/>
      <c r="B31" s="3497"/>
      <c r="C31" s="2845" t="s">
        <v>2460</v>
      </c>
      <c r="D31" s="2846"/>
      <c r="E31" s="2847">
        <v>0.8</v>
      </c>
      <c r="F31" s="2844" t="s">
        <v>2461</v>
      </c>
      <c r="G31" s="2844"/>
    </row>
    <row r="32" spans="1:13" ht="19.5" customHeight="1">
      <c r="A32" s="3501"/>
      <c r="B32" s="3497"/>
      <c r="C32" s="2845" t="s">
        <v>2462</v>
      </c>
      <c r="D32" s="2846"/>
      <c r="E32" s="2847">
        <v>0.7</v>
      </c>
      <c r="F32" s="2844" t="s">
        <v>2463</v>
      </c>
      <c r="G32" s="2844"/>
    </row>
    <row r="33" spans="1:7" ht="19.5" customHeight="1">
      <c r="A33" s="3501"/>
      <c r="B33" s="3497"/>
      <c r="C33" s="2845" t="s">
        <v>2464</v>
      </c>
      <c r="D33" s="2846"/>
      <c r="E33" s="2847">
        <v>0.8</v>
      </c>
      <c r="F33" s="2844" t="s">
        <v>2465</v>
      </c>
      <c r="G33" s="2844"/>
    </row>
    <row r="34" spans="1:7" ht="19.5" customHeight="1">
      <c r="A34" s="3501"/>
      <c r="B34" s="3497"/>
      <c r="C34" s="2845" t="s">
        <v>2466</v>
      </c>
      <c r="D34" s="2846"/>
      <c r="E34" s="2847">
        <v>0.6</v>
      </c>
      <c r="F34" s="2844" t="s">
        <v>2467</v>
      </c>
      <c r="G34" s="2844"/>
    </row>
    <row r="35" spans="1:7" ht="19.5" customHeight="1">
      <c r="A35" s="3501"/>
      <c r="B35" s="3497"/>
      <c r="C35" s="2845" t="s">
        <v>2468</v>
      </c>
      <c r="D35" s="2846"/>
      <c r="E35" s="2847">
        <v>0.2</v>
      </c>
      <c r="F35" s="2844" t="s">
        <v>2469</v>
      </c>
      <c r="G35" s="2844"/>
    </row>
    <row r="36" spans="1:7" ht="19.5" customHeight="1">
      <c r="A36" s="3501"/>
      <c r="B36" s="3497"/>
      <c r="C36" s="2845" t="s">
        <v>2470</v>
      </c>
      <c r="D36" s="2846"/>
      <c r="E36" s="2847">
        <v>0.2</v>
      </c>
      <c r="F36" s="2844" t="s">
        <v>2471</v>
      </c>
      <c r="G36" s="2844"/>
    </row>
    <row r="37" spans="1:7" ht="19.5" customHeight="1">
      <c r="A37" s="3501"/>
      <c r="B37" s="3495" t="s">
        <v>2632</v>
      </c>
      <c r="C37" s="2845" t="s">
        <v>2472</v>
      </c>
      <c r="D37" s="2846"/>
      <c r="E37" s="2847">
        <v>0.6</v>
      </c>
      <c r="F37" s="2844" t="s">
        <v>2473</v>
      </c>
      <c r="G37" s="2844"/>
    </row>
    <row r="38" spans="1:7" ht="19.5" customHeight="1">
      <c r="A38" s="3501"/>
      <c r="B38" s="3497"/>
      <c r="C38" s="2845" t="s">
        <v>2474</v>
      </c>
      <c r="D38" s="2846"/>
      <c r="E38" s="2847">
        <v>0.6</v>
      </c>
      <c r="F38" s="2844" t="s">
        <v>2475</v>
      </c>
      <c r="G38" s="2844"/>
    </row>
    <row r="39" spans="1:7" ht="19.5" customHeight="1" thickBot="1">
      <c r="A39" s="3502"/>
      <c r="B39" s="3499"/>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503" t="s">
        <v>2610</v>
      </c>
      <c r="B41" s="3498" t="s">
        <v>2634</v>
      </c>
      <c r="C41" s="2841" t="s">
        <v>2479</v>
      </c>
      <c r="D41" s="2842"/>
      <c r="E41" s="2843">
        <v>1</v>
      </c>
      <c r="F41" s="2844" t="s">
        <v>2480</v>
      </c>
      <c r="G41" s="2844"/>
    </row>
    <row r="42" spans="1:7" ht="19.5" customHeight="1">
      <c r="A42" s="3504"/>
      <c r="B42" s="3497"/>
      <c r="C42" s="2845" t="s">
        <v>2481</v>
      </c>
      <c r="D42" s="2846"/>
      <c r="E42" s="2847">
        <v>1</v>
      </c>
      <c r="F42" s="2844" t="s">
        <v>2482</v>
      </c>
      <c r="G42" s="2844"/>
    </row>
    <row r="43" spans="1:7" ht="19.5" customHeight="1">
      <c r="A43" s="3504"/>
      <c r="B43" s="3496"/>
      <c r="C43" s="2845" t="s">
        <v>2483</v>
      </c>
      <c r="D43" s="2846"/>
      <c r="E43" s="2847">
        <v>1.5</v>
      </c>
      <c r="F43" s="2844" t="s">
        <v>2484</v>
      </c>
      <c r="G43" s="2844"/>
    </row>
    <row r="44" spans="1:7" ht="19.5" customHeight="1">
      <c r="A44" s="3504"/>
      <c r="B44" s="2856" t="s">
        <v>2635</v>
      </c>
      <c r="C44" s="2845" t="s">
        <v>2636</v>
      </c>
      <c r="D44" s="2846"/>
      <c r="E44" s="2847">
        <v>2</v>
      </c>
      <c r="F44" s="2844" t="s">
        <v>2485</v>
      </c>
      <c r="G44" s="2844"/>
    </row>
    <row r="45" spans="1:7" ht="19.5" customHeight="1">
      <c r="A45" s="3504"/>
      <c r="B45" s="3495" t="s">
        <v>2637</v>
      </c>
      <c r="C45" s="2845" t="s">
        <v>2486</v>
      </c>
      <c r="D45" s="2846"/>
      <c r="E45" s="2847">
        <v>1</v>
      </c>
      <c r="F45" s="2844" t="s">
        <v>2487</v>
      </c>
      <c r="G45" s="2844"/>
    </row>
    <row r="46" spans="1:7" ht="19.5" customHeight="1">
      <c r="A46" s="3504"/>
      <c r="B46" s="3497"/>
      <c r="C46" s="2845" t="s">
        <v>2488</v>
      </c>
      <c r="D46" s="2846"/>
      <c r="E46" s="2847">
        <v>1</v>
      </c>
      <c r="F46" s="2844" t="s">
        <v>2489</v>
      </c>
      <c r="G46" s="2844"/>
    </row>
    <row r="47" spans="1:7" ht="19.5" customHeight="1">
      <c r="A47" s="3504"/>
      <c r="B47" s="3497"/>
      <c r="C47" s="2845" t="s">
        <v>2490</v>
      </c>
      <c r="D47" s="2846"/>
      <c r="E47" s="2847">
        <v>1</v>
      </c>
      <c r="F47" s="2844" t="s">
        <v>2491</v>
      </c>
      <c r="G47" s="2844"/>
    </row>
    <row r="48" spans="1:7" ht="19.5" customHeight="1">
      <c r="A48" s="3504"/>
      <c r="B48" s="3497"/>
      <c r="C48" s="2845" t="s">
        <v>2492</v>
      </c>
      <c r="D48" s="2846"/>
      <c r="E48" s="2847">
        <v>1</v>
      </c>
      <c r="F48" s="2844" t="s">
        <v>2493</v>
      </c>
      <c r="G48" s="2844"/>
    </row>
    <row r="49" spans="1:7" ht="19.5" customHeight="1">
      <c r="A49" s="3504"/>
      <c r="B49" s="3497"/>
      <c r="C49" s="2845" t="s">
        <v>2494</v>
      </c>
      <c r="D49" s="2846"/>
      <c r="E49" s="2847">
        <v>1</v>
      </c>
      <c r="F49" s="2844" t="s">
        <v>2495</v>
      </c>
      <c r="G49" s="2844"/>
    </row>
    <row r="50" spans="1:7" ht="19.5" customHeight="1">
      <c r="A50" s="3504"/>
      <c r="B50" s="3497"/>
      <c r="C50" s="2845" t="s">
        <v>2496</v>
      </c>
      <c r="D50" s="2846"/>
      <c r="E50" s="2847">
        <v>1</v>
      </c>
      <c r="F50" s="2844" t="s">
        <v>2497</v>
      </c>
      <c r="G50" s="2844"/>
    </row>
    <row r="51" spans="1:7" ht="19.5" customHeight="1" thickBot="1">
      <c r="A51" s="3505"/>
      <c r="B51" s="3499"/>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95" t="s">
        <v>2651</v>
      </c>
      <c r="C73" s="2830" t="s">
        <v>2652</v>
      </c>
      <c r="D73" s="2830" t="s">
        <v>2653</v>
      </c>
      <c r="E73" s="2856">
        <v>0.2</v>
      </c>
      <c r="F73" s="2856">
        <v>25</v>
      </c>
    </row>
    <row r="74" spans="1:7" ht="24">
      <c r="A74" s="2856">
        <v>2</v>
      </c>
      <c r="B74" s="3497"/>
      <c r="C74" s="2830" t="s">
        <v>2654</v>
      </c>
      <c r="D74" s="2830" t="s">
        <v>2655</v>
      </c>
      <c r="E74" s="2856">
        <v>0.2</v>
      </c>
      <c r="F74" s="2856">
        <v>25</v>
      </c>
    </row>
    <row r="75" spans="1:7" ht="24">
      <c r="A75" s="2856">
        <v>3</v>
      </c>
      <c r="B75" s="3497"/>
      <c r="C75" s="2830" t="s">
        <v>2656</v>
      </c>
      <c r="D75" s="2830" t="s">
        <v>2657</v>
      </c>
      <c r="E75" s="2856">
        <v>0.2</v>
      </c>
      <c r="F75" s="2856">
        <v>25</v>
      </c>
    </row>
    <row r="76" spans="1:7" ht="14.4">
      <c r="A76" s="2856">
        <v>4</v>
      </c>
      <c r="B76" s="3497"/>
      <c r="C76" s="2830" t="s">
        <v>2658</v>
      </c>
      <c r="D76" s="2830" t="s">
        <v>2659</v>
      </c>
      <c r="E76" s="2856">
        <v>0.15</v>
      </c>
      <c r="F76" s="2856">
        <v>20</v>
      </c>
    </row>
    <row r="77" spans="1:7" ht="24">
      <c r="A77" s="2856">
        <v>5</v>
      </c>
      <c r="B77" s="3497"/>
      <c r="C77" s="2830" t="s">
        <v>2660</v>
      </c>
      <c r="D77" s="2830" t="s">
        <v>2661</v>
      </c>
      <c r="E77" s="2856">
        <v>0.15</v>
      </c>
      <c r="F77" s="2856">
        <v>20</v>
      </c>
    </row>
    <row r="78" spans="1:7" ht="24">
      <c r="A78" s="2856">
        <v>6</v>
      </c>
      <c r="B78" s="3497"/>
      <c r="C78" s="2830" t="s">
        <v>2662</v>
      </c>
      <c r="D78" s="2830" t="s">
        <v>2663</v>
      </c>
      <c r="E78" s="2856">
        <v>0.15</v>
      </c>
      <c r="F78" s="2856">
        <v>20</v>
      </c>
    </row>
    <row r="79" spans="1:7" ht="24">
      <c r="A79" s="2856">
        <v>7</v>
      </c>
      <c r="B79" s="3497"/>
      <c r="C79" s="2830" t="s">
        <v>2664</v>
      </c>
      <c r="D79" s="2830" t="s">
        <v>2665</v>
      </c>
      <c r="E79" s="2856">
        <v>0.15</v>
      </c>
      <c r="F79" s="2856">
        <v>20</v>
      </c>
    </row>
    <row r="80" spans="1:7" ht="24">
      <c r="A80" s="2856">
        <v>8</v>
      </c>
      <c r="B80" s="3497"/>
      <c r="C80" s="2830" t="s">
        <v>2666</v>
      </c>
      <c r="D80" s="2830" t="s">
        <v>2667</v>
      </c>
      <c r="E80" s="2856">
        <v>0.1</v>
      </c>
      <c r="F80" s="2856">
        <v>15</v>
      </c>
    </row>
    <row r="81" spans="1:6" ht="24">
      <c r="A81" s="2856">
        <v>9</v>
      </c>
      <c r="B81" s="3497"/>
      <c r="C81" s="2830" t="s">
        <v>2668</v>
      </c>
      <c r="D81" s="2830" t="s">
        <v>2669</v>
      </c>
      <c r="E81" s="2856">
        <v>0.1</v>
      </c>
      <c r="F81" s="2856">
        <v>15</v>
      </c>
    </row>
    <row r="82" spans="1:6" ht="24">
      <c r="A82" s="2856">
        <v>10</v>
      </c>
      <c r="B82" s="3497"/>
      <c r="C82" s="2830" t="s">
        <v>2670</v>
      </c>
      <c r="D82" s="2830" t="s">
        <v>2671</v>
      </c>
      <c r="E82" s="2856">
        <v>0.1</v>
      </c>
      <c r="F82" s="2856">
        <v>15</v>
      </c>
    </row>
    <row r="83" spans="1:6" ht="24">
      <c r="A83" s="2856">
        <v>11</v>
      </c>
      <c r="B83" s="3497"/>
      <c r="C83" s="2830" t="s">
        <v>2672</v>
      </c>
      <c r="D83" s="2830" t="s">
        <v>2673</v>
      </c>
      <c r="E83" s="2856">
        <v>0.1</v>
      </c>
      <c r="F83" s="2856">
        <v>15</v>
      </c>
    </row>
    <row r="84" spans="1:6" ht="24">
      <c r="A84" s="2856">
        <v>12</v>
      </c>
      <c r="B84" s="3497"/>
      <c r="C84" s="2830" t="s">
        <v>2674</v>
      </c>
      <c r="D84" s="2830" t="s">
        <v>2675</v>
      </c>
      <c r="E84" s="2856">
        <v>0.1</v>
      </c>
      <c r="F84" s="2856">
        <v>15</v>
      </c>
    </row>
    <row r="85" spans="1:6" ht="24">
      <c r="A85" s="2856">
        <v>13</v>
      </c>
      <c r="B85" s="3497"/>
      <c r="C85" s="2830" t="s">
        <v>2676</v>
      </c>
      <c r="D85" s="2830" t="s">
        <v>2677</v>
      </c>
      <c r="E85" s="2856">
        <v>0.1</v>
      </c>
      <c r="F85" s="2856">
        <v>15</v>
      </c>
    </row>
    <row r="86" spans="1:6" ht="24">
      <c r="A86" s="2856">
        <v>14</v>
      </c>
      <c r="B86" s="3497"/>
      <c r="C86" s="2830" t="s">
        <v>2678</v>
      </c>
      <c r="D86" s="2830" t="s">
        <v>2679</v>
      </c>
      <c r="E86" s="2856">
        <v>0.1</v>
      </c>
      <c r="F86" s="2856">
        <v>15</v>
      </c>
    </row>
    <row r="87" spans="1:6" ht="24">
      <c r="A87" s="2856">
        <v>15</v>
      </c>
      <c r="B87" s="3497"/>
      <c r="C87" s="2830" t="s">
        <v>2680</v>
      </c>
      <c r="D87" s="2830" t="s">
        <v>2681</v>
      </c>
      <c r="E87" s="2856">
        <v>0.1</v>
      </c>
      <c r="F87" s="2856">
        <v>15</v>
      </c>
    </row>
    <row r="88" spans="1:6" ht="24">
      <c r="A88" s="2856">
        <v>16</v>
      </c>
      <c r="B88" s="3497"/>
      <c r="C88" s="2830" t="s">
        <v>2682</v>
      </c>
      <c r="D88" s="2830" t="s">
        <v>2683</v>
      </c>
      <c r="E88" s="2856">
        <v>0.1</v>
      </c>
      <c r="F88" s="2856">
        <v>15</v>
      </c>
    </row>
    <row r="89" spans="1:6" ht="24">
      <c r="A89" s="2856">
        <v>17</v>
      </c>
      <c r="B89" s="3496"/>
      <c r="C89" s="2830" t="s">
        <v>2684</v>
      </c>
      <c r="D89" s="2830" t="s">
        <v>2685</v>
      </c>
      <c r="E89" s="2856">
        <v>0.1</v>
      </c>
      <c r="F89" s="2856">
        <v>15</v>
      </c>
    </row>
    <row r="90" spans="1:6" ht="14.4">
      <c r="A90" s="2856">
        <v>18</v>
      </c>
      <c r="B90" s="3495" t="s">
        <v>2686</v>
      </c>
      <c r="C90" s="2830" t="s">
        <v>2687</v>
      </c>
      <c r="D90" s="2830" t="s">
        <v>2688</v>
      </c>
      <c r="E90" s="2856">
        <v>0.2</v>
      </c>
      <c r="F90" s="2856">
        <v>25</v>
      </c>
    </row>
    <row r="91" spans="1:6" ht="24">
      <c r="A91" s="2856">
        <v>19</v>
      </c>
      <c r="B91" s="3497"/>
      <c r="C91" s="2830" t="s">
        <v>2689</v>
      </c>
      <c r="D91" s="2830" t="s">
        <v>2690</v>
      </c>
      <c r="E91" s="2856">
        <v>0.2</v>
      </c>
      <c r="F91" s="2856">
        <v>25</v>
      </c>
    </row>
    <row r="92" spans="1:6" ht="14.4">
      <c r="A92" s="2856">
        <v>20</v>
      </c>
      <c r="B92" s="3497"/>
      <c r="C92" s="2830" t="s">
        <v>2691</v>
      </c>
      <c r="D92" s="2830" t="s">
        <v>2692</v>
      </c>
      <c r="E92" s="2856">
        <v>0.15</v>
      </c>
      <c r="F92" s="2856">
        <v>20</v>
      </c>
    </row>
    <row r="93" spans="1:6" ht="24">
      <c r="A93" s="2856">
        <v>21</v>
      </c>
      <c r="B93" s="3497"/>
      <c r="C93" s="2830" t="s">
        <v>2693</v>
      </c>
      <c r="D93" s="2830" t="s">
        <v>2694</v>
      </c>
      <c r="E93" s="2856">
        <v>0.15</v>
      </c>
      <c r="F93" s="2856">
        <v>20</v>
      </c>
    </row>
    <row r="94" spans="1:6" ht="24">
      <c r="A94" s="2856">
        <v>22</v>
      </c>
      <c r="B94" s="3497"/>
      <c r="C94" s="2830" t="s">
        <v>2695</v>
      </c>
      <c r="D94" s="2830" t="s">
        <v>2696</v>
      </c>
      <c r="E94" s="2856">
        <v>0.15</v>
      </c>
      <c r="F94" s="2856">
        <v>20</v>
      </c>
    </row>
    <row r="95" spans="1:6" ht="36">
      <c r="A95" s="2856">
        <v>23</v>
      </c>
      <c r="B95" s="3497"/>
      <c r="C95" s="2830" t="s">
        <v>2697</v>
      </c>
      <c r="D95" s="2830" t="s">
        <v>2698</v>
      </c>
      <c r="E95" s="2856">
        <v>0.15</v>
      </c>
      <c r="F95" s="2856">
        <v>20</v>
      </c>
    </row>
    <row r="96" spans="1:6" ht="24">
      <c r="A96" s="2856">
        <v>24</v>
      </c>
      <c r="B96" s="3497"/>
      <c r="C96" s="2830" t="s">
        <v>2699</v>
      </c>
      <c r="D96" s="2830" t="s">
        <v>2700</v>
      </c>
      <c r="E96" s="2856">
        <v>0.1</v>
      </c>
      <c r="F96" s="2856">
        <v>15</v>
      </c>
    </row>
    <row r="97" spans="1:6" ht="24">
      <c r="A97" s="2856">
        <v>25</v>
      </c>
      <c r="B97" s="3497"/>
      <c r="C97" s="2830" t="s">
        <v>2701</v>
      </c>
      <c r="D97" s="2830" t="s">
        <v>2702</v>
      </c>
      <c r="E97" s="2856">
        <v>0.1</v>
      </c>
      <c r="F97" s="2856">
        <v>15</v>
      </c>
    </row>
    <row r="98" spans="1:6" ht="24">
      <c r="A98" s="2856">
        <v>26</v>
      </c>
      <c r="B98" s="3497"/>
      <c r="C98" s="2830" t="s">
        <v>2703</v>
      </c>
      <c r="D98" s="2830" t="s">
        <v>2704</v>
      </c>
      <c r="E98" s="2856">
        <v>0.1</v>
      </c>
      <c r="F98" s="2856">
        <v>15</v>
      </c>
    </row>
    <row r="99" spans="1:6" ht="24">
      <c r="A99" s="2856">
        <v>27</v>
      </c>
      <c r="B99" s="3497"/>
      <c r="C99" s="2830" t="s">
        <v>2705</v>
      </c>
      <c r="D99" s="2830" t="s">
        <v>2706</v>
      </c>
      <c r="E99" s="2856">
        <v>0.1</v>
      </c>
      <c r="F99" s="2856">
        <v>15</v>
      </c>
    </row>
    <row r="100" spans="1:6" ht="24">
      <c r="A100" s="2856">
        <v>28</v>
      </c>
      <c r="B100" s="3497"/>
      <c r="C100" s="2830" t="s">
        <v>2707</v>
      </c>
      <c r="D100" s="2830" t="s">
        <v>2708</v>
      </c>
      <c r="E100" s="2856">
        <v>0.1</v>
      </c>
      <c r="F100" s="2856">
        <v>15</v>
      </c>
    </row>
    <row r="101" spans="1:6" ht="24">
      <c r="A101" s="2856">
        <v>29</v>
      </c>
      <c r="B101" s="3497"/>
      <c r="C101" s="2830" t="s">
        <v>2709</v>
      </c>
      <c r="D101" s="2830" t="s">
        <v>2710</v>
      </c>
      <c r="E101" s="2856">
        <v>0.1</v>
      </c>
      <c r="F101" s="2856">
        <v>15</v>
      </c>
    </row>
    <row r="102" spans="1:6" ht="24">
      <c r="A102" s="2856">
        <v>30</v>
      </c>
      <c r="B102" s="3497"/>
      <c r="C102" s="2830" t="s">
        <v>2711</v>
      </c>
      <c r="D102" s="2830" t="s">
        <v>2712</v>
      </c>
      <c r="E102" s="2856">
        <v>0.1</v>
      </c>
      <c r="F102" s="2856">
        <v>15</v>
      </c>
    </row>
    <row r="103" spans="1:6" ht="24">
      <c r="A103" s="2856">
        <v>31</v>
      </c>
      <c r="B103" s="3497"/>
      <c r="C103" s="2830" t="s">
        <v>2713</v>
      </c>
      <c r="D103" s="2830" t="s">
        <v>2714</v>
      </c>
      <c r="E103" s="2856">
        <v>0.1</v>
      </c>
      <c r="F103" s="2856">
        <v>15</v>
      </c>
    </row>
    <row r="104" spans="1:6" ht="24">
      <c r="A104" s="2856">
        <v>32</v>
      </c>
      <c r="B104" s="3497"/>
      <c r="C104" s="2830" t="s">
        <v>2715</v>
      </c>
      <c r="D104" s="2830" t="s">
        <v>2716</v>
      </c>
      <c r="E104" s="2856">
        <v>0.1</v>
      </c>
      <c r="F104" s="2856">
        <v>15</v>
      </c>
    </row>
    <row r="105" spans="1:6" ht="24">
      <c r="A105" s="2856">
        <v>33</v>
      </c>
      <c r="B105" s="3497"/>
      <c r="C105" s="2830" t="s">
        <v>2717</v>
      </c>
      <c r="D105" s="2830" t="s">
        <v>2718</v>
      </c>
      <c r="E105" s="2856">
        <v>0.1</v>
      </c>
      <c r="F105" s="2856">
        <v>15</v>
      </c>
    </row>
    <row r="106" spans="1:6" ht="24">
      <c r="A106" s="2856">
        <v>34</v>
      </c>
      <c r="B106" s="3496"/>
      <c r="C106" s="2830" t="s">
        <v>2719</v>
      </c>
      <c r="D106" s="2830" t="s">
        <v>2720</v>
      </c>
      <c r="E106" s="2856">
        <v>0.1</v>
      </c>
      <c r="F106" s="2856">
        <v>15</v>
      </c>
    </row>
    <row r="107" spans="1:6" ht="36">
      <c r="A107" s="2856">
        <v>35</v>
      </c>
      <c r="B107" s="3495" t="s">
        <v>2721</v>
      </c>
      <c r="C107" s="2856" t="s">
        <v>2722</v>
      </c>
      <c r="D107" s="2830" t="s">
        <v>2723</v>
      </c>
      <c r="E107" s="2856">
        <v>0.15</v>
      </c>
      <c r="F107" s="2856">
        <v>20</v>
      </c>
    </row>
    <row r="108" spans="1:6" ht="24">
      <c r="A108" s="2856">
        <v>36</v>
      </c>
      <c r="B108" s="3497"/>
      <c r="C108" s="2856" t="s">
        <v>2724</v>
      </c>
      <c r="D108" s="2830" t="s">
        <v>2725</v>
      </c>
      <c r="E108" s="2856">
        <v>0.15</v>
      </c>
      <c r="F108" s="2856">
        <v>20</v>
      </c>
    </row>
    <row r="109" spans="1:6" ht="24">
      <c r="A109" s="2856">
        <v>37</v>
      </c>
      <c r="B109" s="3497"/>
      <c r="C109" s="2856" t="s">
        <v>2726</v>
      </c>
      <c r="D109" s="2830" t="s">
        <v>2727</v>
      </c>
      <c r="E109" s="2856">
        <v>0.15</v>
      </c>
      <c r="F109" s="2856">
        <v>20</v>
      </c>
    </row>
    <row r="110" spans="1:6" ht="24">
      <c r="A110" s="2856">
        <v>38</v>
      </c>
      <c r="B110" s="3497"/>
      <c r="C110" s="2856" t="s">
        <v>2728</v>
      </c>
      <c r="D110" s="2830" t="s">
        <v>2729</v>
      </c>
      <c r="E110" s="2856">
        <v>0.1</v>
      </c>
      <c r="F110" s="2856">
        <v>15</v>
      </c>
    </row>
    <row r="111" spans="1:6" ht="24">
      <c r="A111" s="2856">
        <v>39</v>
      </c>
      <c r="B111" s="3497"/>
      <c r="C111" s="2856" t="s">
        <v>2730</v>
      </c>
      <c r="D111" s="2830" t="s">
        <v>2731</v>
      </c>
      <c r="E111" s="2856">
        <v>0.1</v>
      </c>
      <c r="F111" s="2856">
        <v>15</v>
      </c>
    </row>
    <row r="112" spans="1:6" ht="24">
      <c r="A112" s="2856">
        <v>40</v>
      </c>
      <c r="B112" s="3496"/>
      <c r="C112" s="2856" t="s">
        <v>2732</v>
      </c>
      <c r="D112" s="2830" t="s">
        <v>2733</v>
      </c>
      <c r="E112" s="2856">
        <v>0.1</v>
      </c>
      <c r="F112" s="2856">
        <v>15</v>
      </c>
    </row>
    <row r="113" spans="1:6" ht="24">
      <c r="A113" s="2856">
        <v>41</v>
      </c>
      <c r="B113" s="3494" t="s">
        <v>2734</v>
      </c>
      <c r="C113" s="2856" t="s">
        <v>2735</v>
      </c>
      <c r="D113" s="2830" t="s">
        <v>2736</v>
      </c>
      <c r="E113" s="2856">
        <v>0.1</v>
      </c>
      <c r="F113" s="2856">
        <v>15</v>
      </c>
    </row>
    <row r="114" spans="1:6" ht="24">
      <c r="A114" s="2856">
        <v>42</v>
      </c>
      <c r="B114" s="3494"/>
      <c r="C114" s="2856" t="s">
        <v>2737</v>
      </c>
      <c r="D114" s="2830" t="s">
        <v>2738</v>
      </c>
      <c r="E114" s="2856">
        <v>0.1</v>
      </c>
      <c r="F114" s="2856">
        <v>15</v>
      </c>
    </row>
    <row r="115" spans="1:6" ht="24">
      <c r="A115" s="2856">
        <v>43</v>
      </c>
      <c r="B115" s="3494"/>
      <c r="C115" s="2856" t="s">
        <v>2739</v>
      </c>
      <c r="D115" s="2830" t="s">
        <v>2740</v>
      </c>
      <c r="E115" s="2856">
        <v>0.1</v>
      </c>
      <c r="F115" s="2856">
        <v>15</v>
      </c>
    </row>
    <row r="116" spans="1:6" ht="24">
      <c r="A116" s="2856">
        <v>44</v>
      </c>
      <c r="B116" s="3495" t="s">
        <v>2741</v>
      </c>
      <c r="C116" s="2856" t="s">
        <v>2742</v>
      </c>
      <c r="D116" s="2830" t="s">
        <v>2743</v>
      </c>
      <c r="E116" s="2856">
        <v>0.1</v>
      </c>
      <c r="F116" s="2856">
        <v>15</v>
      </c>
    </row>
    <row r="117" spans="1:6" ht="24">
      <c r="A117" s="2856">
        <v>45</v>
      </c>
      <c r="B117" s="3496"/>
      <c r="C117" s="2830" t="s">
        <v>2744</v>
      </c>
      <c r="D117" s="2830" t="s">
        <v>2745</v>
      </c>
      <c r="E117" s="2856">
        <v>0.1</v>
      </c>
      <c r="F117" s="2856">
        <v>15</v>
      </c>
    </row>
    <row r="118" spans="1:6" ht="24">
      <c r="A118" s="2856">
        <v>46</v>
      </c>
      <c r="B118" s="3495" t="s">
        <v>2746</v>
      </c>
      <c r="C118" s="2856" t="s">
        <v>2747</v>
      </c>
      <c r="D118" s="2830" t="s">
        <v>2748</v>
      </c>
      <c r="E118" s="2856">
        <v>0.1</v>
      </c>
      <c r="F118" s="2856">
        <v>15</v>
      </c>
    </row>
    <row r="119" spans="1:6" ht="24">
      <c r="A119" s="2856">
        <v>47</v>
      </c>
      <c r="B119" s="3496"/>
      <c r="C119" s="2856" t="s">
        <v>2749</v>
      </c>
      <c r="D119" s="2830" t="s">
        <v>2750</v>
      </c>
      <c r="E119" s="2856">
        <v>0.1</v>
      </c>
      <c r="F119" s="2856">
        <v>15</v>
      </c>
    </row>
    <row r="120" spans="1:6" ht="24">
      <c r="A120" s="2856">
        <v>48</v>
      </c>
      <c r="B120" s="3495" t="s">
        <v>2751</v>
      </c>
      <c r="C120" s="2856" t="s">
        <v>2752</v>
      </c>
      <c r="D120" s="2830" t="s">
        <v>2753</v>
      </c>
      <c r="E120" s="2856">
        <v>0.1</v>
      </c>
      <c r="F120" s="2856">
        <v>15</v>
      </c>
    </row>
    <row r="121" spans="1:6" ht="24">
      <c r="A121" s="2856">
        <v>49</v>
      </c>
      <c r="B121" s="3496"/>
      <c r="C121" s="2856" t="s">
        <v>2754</v>
      </c>
      <c r="D121" s="2830" t="s">
        <v>2755</v>
      </c>
      <c r="E121" s="2856">
        <v>0.1</v>
      </c>
      <c r="F121" s="2856">
        <v>15</v>
      </c>
    </row>
    <row r="122" spans="1:6" ht="24">
      <c r="A122" s="2856">
        <v>50</v>
      </c>
      <c r="B122" s="3494" t="s">
        <v>2756</v>
      </c>
      <c r="C122" s="2856" t="s">
        <v>2757</v>
      </c>
      <c r="D122" s="2830" t="s">
        <v>2758</v>
      </c>
      <c r="E122" s="2856">
        <v>0.1</v>
      </c>
      <c r="F122" s="2856">
        <v>15</v>
      </c>
    </row>
    <row r="123" spans="1:6" ht="24">
      <c r="A123" s="2856">
        <v>51</v>
      </c>
      <c r="B123" s="3494"/>
      <c r="C123" s="2856" t="s">
        <v>2759</v>
      </c>
      <c r="D123" s="2830" t="s">
        <v>2760</v>
      </c>
      <c r="E123" s="2856">
        <v>0.1</v>
      </c>
      <c r="F123" s="2856">
        <v>15</v>
      </c>
    </row>
    <row r="124" spans="1:6" ht="24">
      <c r="A124" s="2856">
        <v>52</v>
      </c>
      <c r="B124" s="3494" t="s">
        <v>2761</v>
      </c>
      <c r="C124" s="2856" t="s">
        <v>2762</v>
      </c>
      <c r="D124" s="2830" t="s">
        <v>2763</v>
      </c>
      <c r="E124" s="2856">
        <v>0.1</v>
      </c>
      <c r="F124" s="2856">
        <v>15</v>
      </c>
    </row>
    <row r="125" spans="1:6" ht="24">
      <c r="A125" s="2856">
        <v>53</v>
      </c>
      <c r="B125" s="3494"/>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94" t="s">
        <v>2769</v>
      </c>
      <c r="C127" s="2856" t="s">
        <v>2770</v>
      </c>
      <c r="D127" s="2830" t="s">
        <v>2771</v>
      </c>
      <c r="E127" s="2856">
        <v>0.1</v>
      </c>
      <c r="F127" s="2856">
        <v>15</v>
      </c>
    </row>
    <row r="128" spans="1:6" ht="24">
      <c r="A128" s="2856">
        <v>56</v>
      </c>
      <c r="B128" s="3494"/>
      <c r="C128" s="2856" t="s">
        <v>2772</v>
      </c>
      <c r="D128" s="2830" t="s">
        <v>2773</v>
      </c>
      <c r="E128" s="2856">
        <v>0.1</v>
      </c>
      <c r="F128" s="2856">
        <v>15</v>
      </c>
    </row>
    <row r="129" spans="1:6" ht="24">
      <c r="A129" s="2856">
        <v>57</v>
      </c>
      <c r="B129" s="3494"/>
      <c r="C129" s="2856" t="s">
        <v>2774</v>
      </c>
      <c r="D129" s="2830" t="s">
        <v>2775</v>
      </c>
      <c r="E129" s="2856">
        <v>0.1</v>
      </c>
      <c r="F129" s="2856">
        <v>15</v>
      </c>
    </row>
    <row r="130" spans="1:6" ht="24">
      <c r="A130" s="2856">
        <v>58</v>
      </c>
      <c r="B130" s="3494" t="s">
        <v>2776</v>
      </c>
      <c r="C130" s="2856" t="s">
        <v>2777</v>
      </c>
      <c r="D130" s="2830" t="s">
        <v>2778</v>
      </c>
      <c r="E130" s="2856">
        <v>0.1</v>
      </c>
      <c r="F130" s="2856">
        <v>15</v>
      </c>
    </row>
    <row r="131" spans="1:6" ht="24">
      <c r="A131" s="2856">
        <v>59</v>
      </c>
      <c r="B131" s="3494"/>
      <c r="C131" s="2856" t="s">
        <v>2779</v>
      </c>
      <c r="D131" s="2830" t="s">
        <v>2780</v>
      </c>
      <c r="E131" s="2856">
        <v>0.1</v>
      </c>
      <c r="F131" s="2856">
        <v>15</v>
      </c>
    </row>
    <row r="132" spans="1:6" ht="24">
      <c r="A132" s="2856">
        <v>60</v>
      </c>
      <c r="B132" s="3495" t="s">
        <v>2781</v>
      </c>
      <c r="C132" s="2856" t="s">
        <v>2782</v>
      </c>
      <c r="D132" s="2830" t="s">
        <v>2783</v>
      </c>
      <c r="E132" s="2856">
        <v>0.1</v>
      </c>
      <c r="F132" s="2856">
        <v>15</v>
      </c>
    </row>
    <row r="133" spans="1:6" ht="24">
      <c r="A133" s="2856">
        <v>61</v>
      </c>
      <c r="B133" s="3496"/>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94" t="s">
        <v>2789</v>
      </c>
      <c r="C135" s="2856" t="s">
        <v>2790</v>
      </c>
      <c r="D135" s="2830" t="s">
        <v>2791</v>
      </c>
      <c r="E135" s="2856">
        <v>0.1</v>
      </c>
      <c r="F135" s="2856">
        <v>15</v>
      </c>
    </row>
    <row r="136" spans="1:6" ht="24">
      <c r="A136" s="2856">
        <v>64</v>
      </c>
      <c r="B136" s="3494"/>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6"/>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1.2302</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1.1198999999999999</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25952</v>
      </c>
      <c r="C2" s="2" t="s">
        <v>106</v>
      </c>
      <c r="D2" s="190"/>
      <c r="E2" s="190"/>
      <c r="F2" s="190"/>
      <c r="G2" s="190"/>
    </row>
    <row r="3" spans="1:7" s="191" customFormat="1" ht="18" customHeight="1" thickBot="1">
      <c r="A3" s="194" t="s">
        <v>58</v>
      </c>
      <c r="B3" s="195">
        <f ca="1">ROUND(B2*10000/'数据-汇总表'!E3,0)</f>
        <v>106042</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120</v>
      </c>
      <c r="F9" s="212"/>
      <c r="G9" s="217"/>
    </row>
    <row r="10" spans="1:7" s="205" customFormat="1" ht="13.5" customHeight="1">
      <c r="A10" s="732" t="s">
        <v>356</v>
      </c>
      <c r="B10" s="215" t="s">
        <v>67</v>
      </c>
      <c r="C10" s="216">
        <f>ROUND(D10*E10/10000,0)</f>
        <v>39</v>
      </c>
      <c r="D10" s="794">
        <f>'数据-汇总表'!E6</f>
        <v>2447.34</v>
      </c>
      <c r="E10" s="216">
        <f>'数据-取费表'!B28</f>
        <v>160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49</v>
      </c>
      <c r="D19" s="203">
        <f>'数据-汇总表'!E3</f>
        <v>2447.34</v>
      </c>
      <c r="E19" s="202">
        <f>'数据-取费表'!B31</f>
        <v>200</v>
      </c>
      <c r="F19" s="222"/>
      <c r="G19" s="1" t="s">
        <v>436</v>
      </c>
    </row>
    <row r="20" spans="1:7" s="205" customFormat="1" ht="13.5" customHeight="1">
      <c r="A20" s="730" t="s">
        <v>419</v>
      </c>
      <c r="B20" s="201" t="s">
        <v>77</v>
      </c>
      <c r="C20" s="223">
        <f>ROUND((C5+C19)*F20,0)</f>
        <v>413</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647</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639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v>
      </c>
      <c r="D24" s="229"/>
      <c r="E24" s="229"/>
      <c r="F24" s="230"/>
      <c r="G24" s="231" t="s">
        <v>82</v>
      </c>
    </row>
    <row r="25" spans="1:7" s="205" customFormat="1" ht="24">
      <c r="A25" s="733" t="s">
        <v>348</v>
      </c>
      <c r="B25" s="206" t="s">
        <v>420</v>
      </c>
      <c r="C25" s="1041">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1686</v>
      </c>
      <c r="D27" s="226">
        <f>C29</f>
        <v>1.6000000000000001E-3</v>
      </c>
      <c r="E27" s="227" t="s">
        <v>99</v>
      </c>
      <c r="F27" s="237">
        <f>'数据-取费表'!Q16</f>
        <v>0.08</v>
      </c>
      <c r="G27" s="238" t="s">
        <v>431</v>
      </c>
    </row>
    <row r="28" spans="1:7" s="205" customFormat="1" ht="13.5" customHeight="1">
      <c r="A28" s="733" t="s">
        <v>349</v>
      </c>
      <c r="B28" s="239" t="s">
        <v>424</v>
      </c>
      <c r="C28" s="240">
        <f>ROUND((C5+C19+C20)*F27*'数据-取费表'!B21/'数据-取费表'!B20,0)</f>
        <v>1686</v>
      </c>
      <c r="D28" s="226"/>
      <c r="E28" s="227"/>
      <c r="F28" s="237"/>
      <c r="G28" s="238"/>
    </row>
    <row r="29" spans="1:7" s="205" customFormat="1" ht="13.5" customHeight="1">
      <c r="A29" s="733" t="s">
        <v>347</v>
      </c>
      <c r="B29" s="239" t="s">
        <v>425</v>
      </c>
      <c r="C29" s="229">
        <f>ROUND(C21*F27*'数据-取费表'!B21/'数据-取费表'!B20,4)</f>
        <v>1.6000000000000001E-3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25309</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761</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666</v>
      </c>
      <c r="D34" s="208"/>
      <c r="E34" s="211"/>
      <c r="F34" s="248">
        <f>IF('数据-取费表'!B24=0,1,'数据-取费表'!N16)</f>
        <v>1</v>
      </c>
      <c r="G34" s="210" t="s">
        <v>89</v>
      </c>
    </row>
    <row r="35" spans="1:7" ht="13.5" customHeight="1">
      <c r="A35" s="733" t="s">
        <v>351</v>
      </c>
      <c r="B35" s="206" t="s">
        <v>33</v>
      </c>
      <c r="C35" s="211">
        <f>ROUND(C34*F35,0)</f>
        <v>33</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49</v>
      </c>
      <c r="D37" s="208">
        <f>'数据-汇总表'!E3</f>
        <v>2447.34</v>
      </c>
      <c r="E37" s="240">
        <f>'数据-取费表'!B35</f>
        <v>200</v>
      </c>
      <c r="F37" s="250"/>
      <c r="G37" s="252" t="s">
        <v>92</v>
      </c>
    </row>
    <row r="38" spans="1:7" ht="13.5" customHeight="1">
      <c r="A38" s="733" t="s">
        <v>354</v>
      </c>
      <c r="B38" s="206" t="s">
        <v>36</v>
      </c>
      <c r="C38" s="211">
        <f>ROUND(C34*F38,0)</f>
        <v>13</v>
      </c>
      <c r="D38" s="211"/>
      <c r="E38" s="211"/>
      <c r="F38" s="250">
        <f>'数据-取费表'!B36</f>
        <v>0.02</v>
      </c>
      <c r="G38" s="210" t="s">
        <v>90</v>
      </c>
    </row>
    <row r="39" spans="1:7" s="205" customFormat="1" ht="13.5" customHeight="1">
      <c r="A39" s="730" t="s">
        <v>338</v>
      </c>
      <c r="B39" s="201" t="s">
        <v>77</v>
      </c>
      <c r="C39" s="223">
        <f>ROUND(C33*F20,0)</f>
        <v>15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12</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12</v>
      </c>
      <c r="D42" s="229"/>
      <c r="E42" s="229"/>
      <c r="F42" s="230"/>
      <c r="G42" s="3366" t="s">
        <v>94</v>
      </c>
    </row>
    <row r="43" spans="1:7" ht="13.5" customHeight="1">
      <c r="A43" s="733" t="s">
        <v>347</v>
      </c>
      <c r="B43" s="206" t="s">
        <v>426</v>
      </c>
      <c r="C43" s="229">
        <f ca="1">ROUND(IF('数据-取费表'!B22&lt;=1,C39*F22*'数据-取费表'!B21/2,C39*(POWER((1+F22),'数据-取费表'!B21/2)-1)),0)</f>
        <v>0</v>
      </c>
      <c r="D43" s="229"/>
      <c r="E43" s="229"/>
      <c r="F43" s="230"/>
      <c r="G43" s="3367"/>
    </row>
    <row r="44" spans="1:7" ht="13.5" customHeight="1">
      <c r="A44" s="733" t="s">
        <v>348</v>
      </c>
      <c r="B44" s="206" t="s">
        <v>428</v>
      </c>
      <c r="C44" s="229">
        <f ca="1">ROUND(IF('数据-取费表'!B22&lt;=1,C40*F22*'数据-取费表'!B21/2,C40*(POWER((1+F22),'数据-取费表'!B21/2)-1)),4)</f>
        <v>2.9999999999999997E-4</v>
      </c>
      <c r="D44" s="229"/>
      <c r="E44" s="229"/>
      <c r="F44" s="230"/>
      <c r="G44" s="3368"/>
    </row>
    <row r="45" spans="1:7" s="205" customFormat="1" ht="13.5" customHeight="1">
      <c r="A45" s="730" t="s">
        <v>341</v>
      </c>
      <c r="B45" s="235" t="s">
        <v>85</v>
      </c>
      <c r="C45" s="236">
        <f>C46</f>
        <v>62</v>
      </c>
      <c r="D45" s="226">
        <f>C47</f>
        <v>1.6000000000000001E-3</v>
      </c>
      <c r="E45" s="227" t="s">
        <v>102</v>
      </c>
      <c r="F45" s="237"/>
      <c r="G45" s="238" t="s">
        <v>434</v>
      </c>
    </row>
    <row r="46" spans="1:7" s="205" customFormat="1" ht="13.5" customHeight="1">
      <c r="A46" s="733" t="s">
        <v>349</v>
      </c>
      <c r="B46" s="239" t="s">
        <v>427</v>
      </c>
      <c r="C46" s="240">
        <f>ROUND((C33+C39)*F27,0)</f>
        <v>62</v>
      </c>
      <c r="D46" s="254"/>
      <c r="E46" s="227"/>
      <c r="F46" s="237"/>
      <c r="G46" s="238"/>
    </row>
    <row r="47" spans="1:7" s="205" customFormat="1" ht="13.5" customHeight="1">
      <c r="A47" s="733" t="s">
        <v>347</v>
      </c>
      <c r="B47" s="239" t="s">
        <v>429</v>
      </c>
      <c r="C47" s="229">
        <f>ROUND(C40*F27,4)</f>
        <v>1.6000000000000001E-3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919</v>
      </c>
      <c r="D49" s="223"/>
      <c r="E49" s="223"/>
      <c r="F49" s="255"/>
      <c r="G49" s="225" t="s">
        <v>435</v>
      </c>
    </row>
    <row r="50" spans="1:7" s="249" customFormat="1" ht="24">
      <c r="A50" s="730" t="s">
        <v>344</v>
      </c>
      <c r="B50" s="201" t="s">
        <v>97</v>
      </c>
      <c r="C50" s="223"/>
      <c r="D50" s="223"/>
      <c r="E50" s="223"/>
      <c r="F50" s="255">
        <f>IF('数据-取费表'!B24=0,'数据-取费表'!N16,1)</f>
        <v>0.7</v>
      </c>
      <c r="G50" s="238" t="s">
        <v>98</v>
      </c>
    </row>
    <row r="51" spans="1:7" ht="16.5" customHeight="1">
      <c r="A51" s="730" t="s">
        <v>345</v>
      </c>
      <c r="B51" s="201" t="s">
        <v>105</v>
      </c>
      <c r="C51" s="223">
        <f ca="1">ROUND(C49*F50,0)</f>
        <v>643</v>
      </c>
      <c r="D51" s="223"/>
      <c r="E51" s="223"/>
      <c r="F51" s="255"/>
      <c r="G51" s="225" t="s">
        <v>37</v>
      </c>
    </row>
    <row r="52" spans="1:7" s="199" customFormat="1" ht="16.8" thickBot="1">
      <c r="A52" s="256" t="s">
        <v>38</v>
      </c>
      <c r="B52" s="257"/>
      <c r="C52" s="258">
        <f ca="1">C31+C51</f>
        <v>25952</v>
      </c>
      <c r="D52" s="257"/>
      <c r="E52" s="257"/>
      <c r="F52" s="257"/>
      <c r="G52" s="259"/>
    </row>
    <row r="55" spans="1:7" ht="15">
      <c r="B55" s="261" t="s">
        <v>39</v>
      </c>
      <c r="C55" s="262"/>
    </row>
    <row r="56" spans="1:7">
      <c r="B56" s="264" t="s">
        <v>40</v>
      </c>
      <c r="C56" s="265">
        <f ca="1">ROUND(C51/C52,3)</f>
        <v>2.5000000000000001E-2</v>
      </c>
    </row>
    <row r="57" spans="1:7">
      <c r="B57" s="264" t="s">
        <v>41</v>
      </c>
      <c r="C57" s="266">
        <f ca="1">1-C56</f>
        <v>0.97499999999999998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06" t="s">
        <v>3181</v>
      </c>
      <c r="B1" s="3506"/>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507" t="s">
        <v>3232</v>
      </c>
      <c r="B1" s="3507"/>
      <c r="C1" s="3507"/>
      <c r="D1" s="3507"/>
      <c r="E1" s="3507"/>
      <c r="F1" s="3508"/>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45783</v>
      </c>
      <c r="B1" s="2928" t="s">
        <v>3378</v>
      </c>
      <c r="C1" s="2929"/>
      <c r="D1" s="2929"/>
      <c r="E1" s="2929"/>
      <c r="F1" s="2929"/>
      <c r="G1" s="2929"/>
      <c r="H1" s="2929"/>
      <c r="I1" s="2929"/>
      <c r="J1" s="2895"/>
      <c r="K1" s="2929" t="s">
        <v>454</v>
      </c>
      <c r="L1" s="2929"/>
      <c r="M1" s="2929"/>
      <c r="N1" s="2929"/>
      <c r="O1" s="2929"/>
      <c r="P1" s="2929"/>
      <c r="Q1" s="2895"/>
      <c r="R1" s="3509" t="s">
        <v>456</v>
      </c>
      <c r="S1" s="3510"/>
      <c r="T1" s="3510"/>
      <c r="U1" s="3510"/>
      <c r="V1" s="3510"/>
      <c r="W1" s="3510"/>
      <c r="X1" s="2895"/>
      <c r="Y1" s="3509" t="s">
        <v>457</v>
      </c>
      <c r="Z1" s="3510"/>
      <c r="AA1" s="3510"/>
      <c r="AB1" s="3510"/>
      <c r="AC1" s="3510"/>
      <c r="AD1" s="3510"/>
    </row>
    <row r="2" spans="1:44" s="2009" customFormat="1" ht="1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3.2">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3404</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4" customFormat="1" ht="13.2">
      <c r="A6" s="2039" t="s">
        <v>3403</v>
      </c>
      <c r="B6" s="2030">
        <v>2025</v>
      </c>
      <c r="C6" s="2041">
        <v>3</v>
      </c>
      <c r="D6" s="2006">
        <v>0</v>
      </c>
      <c r="E6" s="2006">
        <v>0</v>
      </c>
      <c r="F6" s="2006">
        <v>0</v>
      </c>
      <c r="G6" s="2006">
        <v>0</v>
      </c>
      <c r="H6" s="2006">
        <v>0</v>
      </c>
      <c r="I6" s="2007">
        <f t="shared" ref="I6" si="19">F6</f>
        <v>0</v>
      </c>
      <c r="J6" s="2905"/>
      <c r="K6" s="2042">
        <f t="shared" ref="K6" si="20">D6/100</f>
        <v>0</v>
      </c>
      <c r="L6" s="2027">
        <f t="shared" ref="L6" si="21">E6/100</f>
        <v>0</v>
      </c>
      <c r="M6" s="2027">
        <f t="shared" ref="M6" si="22">F6/100</f>
        <v>0</v>
      </c>
      <c r="N6" s="2027">
        <f t="shared" ref="N6" si="23">G6/100</f>
        <v>0</v>
      </c>
      <c r="O6" s="2027">
        <f t="shared" ref="O6" si="24">H6/100</f>
        <v>0</v>
      </c>
      <c r="P6" s="2027">
        <f t="shared" si="10"/>
        <v>0</v>
      </c>
      <c r="Q6" s="2905"/>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5"/>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4" customFormat="1" ht="13.2">
      <c r="A8" s="2039" t="s">
        <v>3410</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4" customFormat="1" ht="13.2">
      <c r="A9" s="2039" t="s">
        <v>3409</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4" customFormat="1" ht="13.2">
      <c r="A10" s="2039" t="s">
        <v>3382</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4" customFormat="1" ht="13.2">
      <c r="A11" s="2904" t="s">
        <v>3376</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4" customFormat="1" ht="13.2">
      <c r="A12" s="2904" t="s">
        <v>3375</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4" customFormat="1" ht="13.2">
      <c r="A13" s="2904" t="s">
        <v>3371</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4" customFormat="1" ht="13.2">
      <c r="A14" s="2904" t="s">
        <v>3370</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4" customFormat="1" ht="13.2">
      <c r="A15" s="2904" t="s">
        <v>3368</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4" customFormat="1" ht="13.2">
      <c r="A16" s="2904" t="s">
        <v>3367</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4" customFormat="1" ht="13.2">
      <c r="A17" s="2904" t="s">
        <v>3366</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4" customFormat="1" ht="13.2">
      <c r="A18" s="2904" t="s">
        <v>3364</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4" customFormat="1" ht="13.2">
      <c r="A19" s="2904" t="s">
        <v>3355</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4" customFormat="1" ht="13.2">
      <c r="A20" s="2904" t="s">
        <v>2820</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4" customFormat="1" ht="13.2">
      <c r="A21" s="2904" t="s">
        <v>2821</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4" customFormat="1" ht="13.2">
      <c r="A22" s="2904" t="s">
        <v>2822</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4" customFormat="1" ht="13.2">
      <c r="A23" s="2904" t="s">
        <v>2823</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4" t="s">
        <v>2825</v>
      </c>
    </row>
    <row r="29" spans="1:44" s="2008" customFormat="1" ht="13.2">
      <c r="B29" s="2928" t="s">
        <v>3379</v>
      </c>
      <c r="C29" s="2929"/>
      <c r="D29" s="2929"/>
      <c r="E29" s="2929"/>
      <c r="F29" s="2929"/>
      <c r="G29" s="2929"/>
      <c r="H29" s="2929"/>
      <c r="I29" s="2929"/>
      <c r="J29" s="2895"/>
      <c r="K29" s="2929" t="s">
        <v>2826</v>
      </c>
      <c r="L29" s="2929"/>
      <c r="M29" s="2929"/>
      <c r="N29" s="2929"/>
      <c r="O29" s="2929"/>
      <c r="P29" s="2929"/>
      <c r="Q29" s="2895"/>
      <c r="R29" s="3509" t="s">
        <v>2827</v>
      </c>
      <c r="S29" s="3510"/>
      <c r="T29" s="3510"/>
      <c r="U29" s="3510"/>
      <c r="V29" s="3510"/>
      <c r="W29" s="3510"/>
      <c r="X29" s="2895"/>
      <c r="Y29" s="3509" t="s">
        <v>2828</v>
      </c>
      <c r="Z29" s="3510"/>
      <c r="AA29" s="3510"/>
      <c r="AB29" s="3510"/>
      <c r="AC29" s="3510"/>
      <c r="AD29" s="3510"/>
    </row>
    <row r="30" spans="1:44" s="2009" customFormat="1" ht="15" thickBot="1">
      <c r="B30" s="2880"/>
      <c r="C30" s="2881"/>
      <c r="D30" s="2010" t="s">
        <v>2829</v>
      </c>
      <c r="E30" s="2011" t="s">
        <v>2830</v>
      </c>
      <c r="F30" s="2011" t="s">
        <v>2831</v>
      </c>
      <c r="G30" s="2011" t="s">
        <v>2832</v>
      </c>
      <c r="H30" s="2011"/>
      <c r="I30" s="2011" t="s">
        <v>2833</v>
      </c>
      <c r="J30" s="2882"/>
      <c r="K30" s="2010" t="s">
        <v>2829</v>
      </c>
      <c r="L30" s="2011" t="s">
        <v>2830</v>
      </c>
      <c r="M30" s="2011" t="s">
        <v>2831</v>
      </c>
      <c r="N30" s="2011" t="s">
        <v>2832</v>
      </c>
      <c r="O30" s="2011"/>
      <c r="P30" s="2011" t="s">
        <v>2833</v>
      </c>
      <c r="Q30" s="2882"/>
      <c r="R30" s="2010" t="s">
        <v>2829</v>
      </c>
      <c r="S30" s="2011" t="s">
        <v>2830</v>
      </c>
      <c r="T30" s="2011" t="s">
        <v>2831</v>
      </c>
      <c r="U30" s="2011" t="s">
        <v>2832</v>
      </c>
      <c r="V30" s="2011"/>
      <c r="W30" s="2011" t="s">
        <v>2833</v>
      </c>
      <c r="X30" s="2882"/>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8" customFormat="1" ht="13.2">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3404</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4" customFormat="1" ht="13.2">
      <c r="A34" s="2039" t="s">
        <v>3403</v>
      </c>
      <c r="B34" s="2030">
        <v>2025</v>
      </c>
      <c r="C34" s="2041">
        <v>3</v>
      </c>
      <c r="D34" s="2006"/>
      <c r="E34" s="2006">
        <v>0</v>
      </c>
      <c r="F34" s="2006">
        <v>0</v>
      </c>
      <c r="G34" s="2006">
        <v>0</v>
      </c>
      <c r="H34" s="2006"/>
      <c r="I34" s="2007">
        <f t="shared" ref="I34" si="133">F34</f>
        <v>0</v>
      </c>
      <c r="J34" s="2905"/>
      <c r="K34" s="2042"/>
      <c r="L34" s="2027">
        <f t="shared" ref="L34" si="134">E34/100</f>
        <v>0</v>
      </c>
      <c r="M34" s="2027">
        <f t="shared" ref="M34" si="135">F34/100</f>
        <v>0</v>
      </c>
      <c r="N34" s="2027">
        <f t="shared" ref="N34" si="136">G34/100</f>
        <v>0</v>
      </c>
      <c r="O34" s="2027"/>
      <c r="P34" s="2027">
        <f t="shared" si="123"/>
        <v>0</v>
      </c>
      <c r="Q34" s="2905"/>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5"/>
      <c r="Y34" s="2027"/>
      <c r="Z34" s="2901">
        <f t="shared" ref="Z34" si="137">IF(E34=0,0,ROUND(AVERAGE(E34:E47)/100,4))</f>
        <v>0</v>
      </c>
      <c r="AA34" s="2901">
        <f t="shared" ref="AA34" si="138">IF(F34=0,0,ROUND(AVERAGE(F34:F47)/100,4))</f>
        <v>0</v>
      </c>
      <c r="AB34" s="2901">
        <f t="shared" ref="AB34" si="139">IF(G34=0,0,ROUND(AVERAGE(G34:G47)/100,4))</f>
        <v>0</v>
      </c>
      <c r="AC34" s="2903"/>
      <c r="AD34" s="2027">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4" customFormat="1" ht="13.2">
      <c r="A36" s="2039" t="s">
        <v>3408</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4" customFormat="1" ht="13.2">
      <c r="A37" s="2039" t="s">
        <v>3409</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4" customFormat="1" ht="13.2">
      <c r="A38" s="2039" t="s">
        <v>3373</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4" customFormat="1" ht="13.2">
      <c r="A39" s="2904" t="s">
        <v>3377</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4" customFormat="1" ht="13.2">
      <c r="A40" s="2904" t="s">
        <v>3374</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4" customFormat="1" ht="13.2">
      <c r="A41" s="2904" t="s">
        <v>3372</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4" customFormat="1" ht="13.2">
      <c r="A42" s="2904" t="s">
        <v>3370</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4" customFormat="1" ht="13.2">
      <c r="A43" s="2904" t="s">
        <v>3369</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4" customFormat="1" ht="13.2">
      <c r="A44" s="2904" t="s">
        <v>3367</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4" customFormat="1" ht="13.2">
      <c r="A45" s="2904" t="s">
        <v>3366</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4" customFormat="1" ht="13.2">
      <c r="A46" s="2904" t="s">
        <v>3365</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4" customFormat="1" ht="13.2">
      <c r="A47" s="2904" t="s">
        <v>3355</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4" customFormat="1" ht="13.2">
      <c r="A48" s="2904" t="s">
        <v>2835</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4" customFormat="1" ht="13.2">
      <c r="A49" s="2904" t="s">
        <v>2836</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4" customFormat="1" ht="13.2">
      <c r="A50" s="2904" t="s">
        <v>2837</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4" customFormat="1" ht="13.2">
      <c r="A51" s="2904" t="s">
        <v>2838</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2">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3">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2">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3">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22" t="s">
        <v>2839</v>
      </c>
      <c r="B1" s="3522"/>
      <c r="C1" s="3522"/>
      <c r="D1" s="3522"/>
      <c r="E1" s="3522"/>
      <c r="F1" s="3522"/>
      <c r="G1" s="3523"/>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20"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21"/>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45783</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2309</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6">
      <c r="A3" s="3198"/>
      <c r="B3" s="3198"/>
      <c r="C3" s="3198"/>
      <c r="D3" s="800" t="s">
        <v>925</v>
      </c>
      <c r="E3" s="800" t="s">
        <v>931</v>
      </c>
      <c r="F3" s="800" t="s">
        <v>925</v>
      </c>
      <c r="G3" s="800" t="s">
        <v>926</v>
      </c>
      <c r="H3" s="800" t="s">
        <v>925</v>
      </c>
      <c r="I3" s="800" t="s">
        <v>926</v>
      </c>
    </row>
    <row r="4" spans="1:9" ht="30">
      <c r="A4" s="1402" t="str">
        <f>项目基本情况!S2</f>
        <v>北京市怀柔区开放东路21号房地产</v>
      </c>
      <c r="B4" s="800">
        <f>项目基本情况!C17</f>
        <v>2447.34</v>
      </c>
      <c r="C4" s="800">
        <f>项目基本情况!C18</f>
        <v>5389.47</v>
      </c>
      <c r="D4" s="800">
        <f ca="1">结果表!D118</f>
        <v>760</v>
      </c>
      <c r="E4" s="800">
        <f ca="1">结果表!E118</f>
        <v>3105</v>
      </c>
      <c r="F4" s="800">
        <f ca="1">结果表!F118</f>
        <v>614</v>
      </c>
      <c r="G4" s="800">
        <f ca="1">结果表!G118</f>
        <v>2509</v>
      </c>
      <c r="H4" s="800">
        <f ca="1">结果表!H118</f>
        <v>1374</v>
      </c>
      <c r="I4" s="800">
        <f ca="1">结果表!I118</f>
        <v>5614</v>
      </c>
    </row>
    <row r="5" spans="1:9" ht="30" customHeight="1">
      <c r="A5" s="3198" t="s">
        <v>927</v>
      </c>
      <c r="B5" s="3198"/>
      <c r="C5" s="3198"/>
      <c r="D5" s="3198" t="str">
        <f ca="1">结果表!D119</f>
        <v>柒佰陆拾万元整</v>
      </c>
      <c r="E5" s="3198"/>
      <c r="F5" s="3198" t="str">
        <f ca="1">结果表!F119</f>
        <v>陆佰壹拾肆万元整</v>
      </c>
      <c r="G5" s="3198"/>
      <c r="H5" s="3198" t="str">
        <f ca="1">结果表!H119</f>
        <v>壹仟叁佰柒拾肆万元整</v>
      </c>
      <c r="I5" s="3198"/>
    </row>
    <row r="6" spans="1:9" ht="15.6">
      <c r="A6" s="3197" t="str">
        <f>结果表!A120</f>
        <v>估价师知悉的法定优先受偿款</v>
      </c>
      <c r="B6" s="3197"/>
      <c r="C6" s="3197"/>
      <c r="D6" s="3197">
        <f>结果表!D120</f>
        <v>0</v>
      </c>
      <c r="E6" s="3197"/>
      <c r="F6" s="3197"/>
      <c r="G6" s="3197"/>
      <c r="H6" s="3197"/>
      <c r="I6" s="3197"/>
    </row>
    <row r="7" spans="1:9" ht="15">
      <c r="A7" s="3198" t="s">
        <v>927</v>
      </c>
      <c r="B7" s="3198"/>
      <c r="C7" s="3198"/>
      <c r="D7" s="3199" t="str">
        <f>结果表!D121</f>
        <v>零元整</v>
      </c>
      <c r="E7" s="3200"/>
      <c r="F7" s="3200"/>
      <c r="G7" s="3200"/>
      <c r="H7" s="3200"/>
      <c r="I7" s="3201"/>
    </row>
    <row r="8" spans="1:9" ht="15.6">
      <c r="A8" s="3197" t="str">
        <f>结果表!A122</f>
        <v>房地产抵押价值</v>
      </c>
      <c r="B8" s="3197"/>
      <c r="C8" s="3197"/>
      <c r="D8" s="3197">
        <f ca="1">结果表!D122</f>
        <v>1374</v>
      </c>
      <c r="E8" s="3197"/>
      <c r="F8" s="3197"/>
      <c r="G8" s="3197"/>
      <c r="H8" s="3197"/>
      <c r="I8" s="3197"/>
    </row>
    <row r="9" spans="1:9" ht="15">
      <c r="A9" s="3198" t="s">
        <v>927</v>
      </c>
      <c r="B9" s="3198"/>
      <c r="C9" s="3198"/>
      <c r="D9" s="3198" t="str">
        <f ca="1">结果表!D123</f>
        <v>壹仟叁佰柒拾肆万元整</v>
      </c>
      <c r="E9" s="3198"/>
      <c r="F9" s="3198"/>
      <c r="G9" s="3198"/>
      <c r="H9" s="3198"/>
      <c r="I9" s="3198"/>
    </row>
    <row r="10" spans="1:9" ht="15.6">
      <c r="A10" s="3197" t="str">
        <f>结果表!A124</f>
        <v/>
      </c>
      <c r="B10" s="3197"/>
      <c r="C10" s="3197"/>
      <c r="D10" s="3197" t="str">
        <f>结果表!D124</f>
        <v>——</v>
      </c>
      <c r="E10" s="3197"/>
      <c r="F10" s="3197"/>
      <c r="G10" s="3197"/>
      <c r="H10" s="3197"/>
      <c r="I10" s="3197"/>
    </row>
    <row r="11" spans="1:9" ht="15">
      <c r="A11" s="3198" t="s">
        <v>927</v>
      </c>
      <c r="B11" s="3198"/>
      <c r="C11" s="3198"/>
      <c r="D11" s="3198" t="e">
        <f>结果表!D125</f>
        <v>#VALUE!</v>
      </c>
      <c r="E11" s="3198"/>
      <c r="F11" s="3198"/>
      <c r="G11" s="3198"/>
      <c r="H11" s="3198"/>
      <c r="I11" s="3198"/>
    </row>
    <row r="12" spans="1:9" ht="15.6">
      <c r="A12" s="3197" t="str">
        <f>结果表!A126</f>
        <v/>
      </c>
      <c r="B12" s="3197"/>
      <c r="C12" s="3197"/>
      <c r="D12" s="3197" t="str">
        <f>结果表!D126</f>
        <v>——</v>
      </c>
      <c r="E12" s="3197"/>
      <c r="F12" s="3197"/>
      <c r="G12" s="3197"/>
      <c r="H12" s="3197"/>
      <c r="I12" s="3197"/>
    </row>
    <row r="13" spans="1:9" ht="15.6" thickBot="1">
      <c r="A13" s="3195" t="s">
        <v>927</v>
      </c>
      <c r="B13" s="3195"/>
      <c r="C13" s="3195"/>
      <c r="D13" s="3195" t="e">
        <f>结果表!D127</f>
        <v>#VALUE!</v>
      </c>
      <c r="E13" s="3195"/>
      <c r="F13" s="3195"/>
      <c r="G13" s="3195"/>
      <c r="H13" s="3195"/>
      <c r="I13" s="3195"/>
    </row>
    <row r="14" spans="1:9" ht="14.4" thickTop="1">
      <c r="A14" s="3196" t="s">
        <v>932</v>
      </c>
      <c r="B14" s="3196"/>
      <c r="C14" s="3196"/>
      <c r="D14" s="3196"/>
      <c r="E14" s="3196"/>
      <c r="F14" s="3196"/>
      <c r="G14" s="3196"/>
      <c r="H14" s="3196"/>
      <c r="I14" s="3196"/>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0" t="s">
        <v>949</v>
      </c>
      <c r="B1" s="3210"/>
      <c r="C1" s="3210"/>
      <c r="D1" s="3210"/>
    </row>
    <row r="2" spans="1:4" ht="17.399999999999999">
      <c r="A2" s="3211" t="s">
        <v>933</v>
      </c>
      <c r="B2" s="3211"/>
      <c r="C2" s="3211"/>
      <c r="D2" s="3211"/>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f>项目基本情况!D4</f>
        <v>0</v>
      </c>
      <c r="B5" s="1408">
        <f>项目基本情况!E4</f>
        <v>0</v>
      </c>
      <c r="C5" s="1411"/>
      <c r="D5" s="1410" t="s">
        <v>938</v>
      </c>
    </row>
    <row r="6" spans="1:4" ht="17.399999999999999">
      <c r="A6" s="3211" t="s">
        <v>939</v>
      </c>
      <c r="B6" s="3211"/>
      <c r="C6" s="3211"/>
      <c r="D6" s="3211"/>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12" t="s">
        <v>942</v>
      </c>
      <c r="B11" s="3204"/>
      <c r="C11" s="3204"/>
      <c r="D11" s="3204"/>
    </row>
    <row r="12" spans="1:4" ht="15.6">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4" t="str">
        <f>IF(项目基本情况!B8="抵押","4.本次评估估价师所知悉的法定优先受偿款情况说明如下：","——")</f>
        <v>4.本次评估估价师所知悉的法定优先受偿款情况说明如下：</v>
      </c>
      <c r="B14" s="3209"/>
      <c r="C14" s="3209"/>
      <c r="D14" s="3209"/>
    </row>
    <row r="15" spans="1:4" ht="42" customHeight="1">
      <c r="A15" s="32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943</v>
      </c>
      <c r="B16" s="3206"/>
      <c r="C16" s="3206"/>
      <c r="D16" s="3206"/>
    </row>
    <row r="17" spans="1:4" ht="144" customHeight="1">
      <c r="A17" s="3206" t="s">
        <v>944</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945</v>
      </c>
      <c r="B22" s="3208"/>
      <c r="C22" s="3208"/>
      <c r="D22" s="3208"/>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8" t="s">
        <v>956</v>
      </c>
      <c r="B15" s="3213" t="s">
        <v>109</v>
      </c>
      <c r="C15" s="3214"/>
    </row>
    <row r="16" spans="1:7" ht="14.4">
      <c r="A16" s="3219"/>
      <c r="B16" s="3213" t="s">
        <v>42</v>
      </c>
      <c r="C16" s="3214"/>
    </row>
    <row r="17" spans="1:3" ht="14.4">
      <c r="A17" s="3219"/>
      <c r="B17" s="3216" t="s">
        <v>957</v>
      </c>
      <c r="C17" s="1428" t="s">
        <v>956</v>
      </c>
    </row>
    <row r="18" spans="1:3" ht="14.4">
      <c r="A18" s="3219"/>
      <c r="B18" s="3216"/>
      <c r="C18" s="1428" t="s">
        <v>958</v>
      </c>
    </row>
    <row r="19" spans="1:3" ht="14.4">
      <c r="A19" s="3219"/>
      <c r="B19" s="3216"/>
      <c r="C19" s="1428" t="s">
        <v>959</v>
      </c>
    </row>
    <row r="20" spans="1:3" ht="14.4">
      <c r="A20" s="3220"/>
      <c r="B20" s="3215" t="s">
        <v>960</v>
      </c>
      <c r="C20" s="3214"/>
    </row>
    <row r="21" spans="1:3" ht="14.4">
      <c r="A21" s="1429" t="s">
        <v>961</v>
      </c>
      <c r="B21" s="1430"/>
      <c r="C21" s="1431"/>
    </row>
    <row r="22" spans="1:3" ht="14.4">
      <c r="A22" s="3217" t="s">
        <v>962</v>
      </c>
      <c r="B22" s="3215" t="s">
        <v>963</v>
      </c>
      <c r="C22" s="3214"/>
    </row>
    <row r="23" spans="1:3" ht="14.4">
      <c r="A23" s="3217"/>
      <c r="B23" s="3215" t="s">
        <v>964</v>
      </c>
      <c r="C23" s="3214"/>
    </row>
    <row r="24" spans="1:3" ht="14.4">
      <c r="A24" s="3217"/>
      <c r="B24" s="3215" t="s">
        <v>965</v>
      </c>
      <c r="C24" s="3214"/>
    </row>
    <row r="25" spans="1:3" ht="14.4">
      <c r="A25" s="3217"/>
      <c r="B25" s="3216" t="s">
        <v>966</v>
      </c>
      <c r="C25" s="1428" t="s">
        <v>967</v>
      </c>
    </row>
    <row r="26" spans="1:3" ht="14.4">
      <c r="A26" s="3217"/>
      <c r="B26" s="3216"/>
      <c r="C26" s="1428" t="s">
        <v>968</v>
      </c>
    </row>
    <row r="27" spans="1:3" ht="14.4">
      <c r="A27" s="3217"/>
      <c r="B27" s="3216"/>
      <c r="C27" s="1428" t="s">
        <v>969</v>
      </c>
    </row>
    <row r="28" spans="1:3" ht="14.4">
      <c r="A28" s="3217"/>
      <c r="B28" s="3216"/>
      <c r="C28" s="1428" t="s">
        <v>970</v>
      </c>
    </row>
    <row r="29" spans="1:3" ht="14.4">
      <c r="A29" s="3217"/>
      <c r="B29" s="3216"/>
      <c r="C29" s="1428" t="s">
        <v>971</v>
      </c>
    </row>
    <row r="30" spans="1:3" ht="14.4">
      <c r="A30" s="3217"/>
      <c r="B30" s="3216"/>
      <c r="C30" s="1428" t="s">
        <v>972</v>
      </c>
    </row>
    <row r="31" spans="1:3" ht="14.4">
      <c r="A31" s="3217"/>
      <c r="B31" s="3216"/>
      <c r="C31" s="1428" t="s">
        <v>973</v>
      </c>
    </row>
    <row r="32" spans="1:3" ht="14.4">
      <c r="A32" s="3217"/>
      <c r="B32" s="3216"/>
      <c r="C32" s="1428" t="s">
        <v>974</v>
      </c>
    </row>
    <row r="33" spans="1:3" ht="14.4">
      <c r="A33" s="3217"/>
      <c r="B33" s="3216"/>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45785</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59"/>
      <c r="E18" s="3223" t="s">
        <v>2162</v>
      </c>
      <c r="F18" s="3222"/>
      <c r="G18" s="3222"/>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收益法</vt:lpstr>
      <vt:lpstr>信息</vt:lpstr>
      <vt:lpstr>租赁合同</vt:lpstr>
      <vt:lpstr>厂房案例</vt:lpstr>
      <vt:lpstr>办公案例</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2025-05-08T05:10:27Z</dcterms:modified>
</cp:coreProperties>
</file>