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6" yWindow="96" windowWidth="11388" windowHeight="9408" tabRatio="899" firstSheet="11"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结果表 (典型)" sheetId="79" r:id="rId20"/>
    <sheet name="成本法 (元)" sheetId="69" r:id="rId21"/>
    <sheet name="假设开发法" sheetId="12" state="hidden" r:id="rId22"/>
    <sheet name="基准地价修正" sheetId="43" r:id="rId23"/>
    <sheet name="比较法-住宅" sheetId="21" r:id="rId24"/>
    <sheet name="收益法" sheetId="15" state="hidden" r:id="rId25"/>
    <sheet name="收益法 (元)" sheetId="67"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案例" sheetId="78"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3"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0" i="6" l="1"/>
  <c r="A120" i="79"/>
  <c r="A118" i="79"/>
  <c r="H112" i="79"/>
  <c r="E111" i="79"/>
  <c r="A126" i="79" s="1"/>
  <c r="H110" i="79"/>
  <c r="H109" i="79"/>
  <c r="D124" i="79" s="1"/>
  <c r="D125" i="79" s="1"/>
  <c r="E109" i="79"/>
  <c r="A124" i="79" s="1"/>
  <c r="E107" i="79"/>
  <c r="A122" i="79" s="1"/>
  <c r="H106" i="79"/>
  <c r="H103" i="79" s="1"/>
  <c r="D120" i="79" s="1"/>
  <c r="H105" i="79"/>
  <c r="H104" i="79"/>
  <c r="D101" i="79"/>
  <c r="C101" i="79"/>
  <c r="D93" i="79"/>
  <c r="C91" i="79"/>
  <c r="E90" i="79"/>
  <c r="D89" i="79"/>
  <c r="C89" i="79"/>
  <c r="C87" i="79" s="1"/>
  <c r="D78" i="79"/>
  <c r="H77" i="79"/>
  <c r="D77" i="79"/>
  <c r="C77" i="79" s="1"/>
  <c r="C74" i="79" s="1"/>
  <c r="C76" i="79"/>
  <c r="D68" i="79"/>
  <c r="F59" i="79"/>
  <c r="E59" i="79"/>
  <c r="D59" i="79"/>
  <c r="M55" i="79" s="1"/>
  <c r="N56" i="79"/>
  <c r="M56" i="79"/>
  <c r="K56" i="79"/>
  <c r="J56" i="79"/>
  <c r="F56" i="79"/>
  <c r="O55" i="79"/>
  <c r="N55" i="79"/>
  <c r="K55" i="79"/>
  <c r="J55" i="79"/>
  <c r="J57" i="79" s="1"/>
  <c r="J59" i="79" s="1"/>
  <c r="J61" i="79" s="1"/>
  <c r="I55" i="79"/>
  <c r="F55" i="79" s="1"/>
  <c r="O53" i="79" s="1"/>
  <c r="O54" i="79"/>
  <c r="N54" i="79"/>
  <c r="F54" i="79"/>
  <c r="N53" i="79"/>
  <c r="F53" i="79"/>
  <c r="F52" i="79"/>
  <c r="K49" i="79"/>
  <c r="F48" i="79"/>
  <c r="O52" i="79" s="1"/>
  <c r="E48" i="79"/>
  <c r="N52" i="79" s="1"/>
  <c r="M47" i="79"/>
  <c r="F33" i="79"/>
  <c r="D27" i="79"/>
  <c r="C25" i="79"/>
  <c r="C24" i="79"/>
  <c r="D17" i="79"/>
  <c r="C17" i="79"/>
  <c r="L4" i="79"/>
  <c r="K4" i="79"/>
  <c r="A2" i="79"/>
  <c r="H1" i="79"/>
  <c r="C18" i="79" l="1"/>
  <c r="D18" i="79" s="1"/>
  <c r="C92" i="79"/>
  <c r="C94" i="79"/>
  <c r="D121" i="79"/>
  <c r="K120" i="79"/>
  <c r="H111" i="79"/>
  <c r="D126" i="79" s="1"/>
  <c r="D127" i="79" s="1"/>
  <c r="I14" i="3"/>
  <c r="I13" i="3"/>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B24" i="31"/>
  <c r="A24" i="31"/>
  <c r="C70" i="77"/>
  <c r="I37" i="21" l="1"/>
  <c r="G37" i="21"/>
  <c r="E37" i="21"/>
  <c r="C37" i="21"/>
  <c r="Y6" i="1"/>
  <c r="N6" i="1"/>
  <c r="N21" i="1"/>
  <c r="N19" i="1"/>
  <c r="G71" i="43"/>
  <c r="G72" i="43"/>
  <c r="G73" i="43"/>
  <c r="G74" i="43"/>
  <c r="G75" i="43"/>
  <c r="G76" i="43"/>
  <c r="G77" i="43"/>
  <c r="G78" i="43"/>
  <c r="G70" i="43"/>
  <c r="D29" i="43"/>
  <c r="F19" i="6"/>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BB13" i="3"/>
  <c r="BA13" i="3" s="1"/>
  <c r="AZ13" i="3" s="1"/>
  <c r="BC13" i="3"/>
  <c r="BD13" i="3"/>
  <c r="BE13" i="3"/>
  <c r="BF13" i="3"/>
  <c r="BG13" i="3"/>
  <c r="BH13" i="3"/>
  <c r="BI13" i="3"/>
  <c r="BJ13" i="3"/>
  <c r="BK13" i="3"/>
  <c r="BM13" i="3"/>
  <c r="BN13" i="3"/>
  <c r="BO13" i="3"/>
  <c r="BP13" i="3"/>
  <c r="BQ13" i="3"/>
  <c r="BR13" i="3"/>
  <c r="BS13" i="3"/>
  <c r="BT13" i="3"/>
  <c r="BL13" i="3"/>
  <c r="BB14" i="3"/>
  <c r="BC14" i="3"/>
  <c r="BD14" i="3"/>
  <c r="BE14" i="3"/>
  <c r="BE5" i="3" s="1"/>
  <c r="BF14" i="3"/>
  <c r="BF5" i="3" s="1"/>
  <c r="BG14" i="3"/>
  <c r="BH14" i="3"/>
  <c r="BI14" i="3"/>
  <c r="BI5" i="3" s="1"/>
  <c r="BJ14" i="3"/>
  <c r="BJ5" i="3" s="1"/>
  <c r="BK14" i="3"/>
  <c r="BM14" i="3"/>
  <c r="BN14" i="3"/>
  <c r="BO14" i="3"/>
  <c r="BP14" i="3"/>
  <c r="BQ14" i="3"/>
  <c r="BQ5" i="3" s="1"/>
  <c r="BR14" i="3"/>
  <c r="BR5" i="3" s="1"/>
  <c r="BS14" i="3"/>
  <c r="BT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G13" i="3" s="1"/>
  <c r="AC13" i="3"/>
  <c r="H14" i="3"/>
  <c r="AC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13" i="71"/>
  <c r="AG13" i="71"/>
  <c r="AH13" i="71"/>
  <c r="AE13" i="71"/>
  <c r="AF13" i="71"/>
  <c r="X11" i="71"/>
  <c r="AB12" i="71"/>
  <c r="AA12" i="71"/>
  <c r="Y11" i="71"/>
  <c r="Z11" i="71"/>
  <c r="Y12" i="71"/>
  <c r="Z12" i="71"/>
  <c r="V13" i="71"/>
  <c r="AB13" i="71"/>
  <c r="Y13" i="71"/>
  <c r="Z13" i="71"/>
  <c r="X13" i="71"/>
  <c r="AA13" i="71"/>
  <c r="A2" i="53"/>
  <c r="K59" i="67"/>
  <c r="P61" i="67" s="1"/>
  <c r="K59" i="15"/>
  <c r="P74" i="15"/>
  <c r="P61" i="15"/>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J51" i="67" s="1"/>
  <c r="M47" i="67"/>
  <c r="D46" i="67"/>
  <c r="F33" i="67"/>
  <c r="F61" i="67" s="1"/>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70" i="43"/>
  <c r="D70" i="43"/>
  <c r="K71" i="43"/>
  <c r="D71" i="43"/>
  <c r="K72" i="43"/>
  <c r="D72" i="43"/>
  <c r="M73" i="43"/>
  <c r="N73" i="43"/>
  <c r="D73" i="43"/>
  <c r="K74" i="43"/>
  <c r="D74" i="43"/>
  <c r="K75" i="43"/>
  <c r="J75" i="43"/>
  <c r="D75" i="43"/>
  <c r="K76" i="43"/>
  <c r="D76" i="43"/>
  <c r="K77" i="43"/>
  <c r="D77" i="43"/>
  <c r="K78" i="43"/>
  <c r="D78" i="43"/>
  <c r="E70" i="43"/>
  <c r="B68"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J78" i="43"/>
  <c r="M77" i="43"/>
  <c r="N77" i="43"/>
  <c r="J77" i="43"/>
  <c r="M76" i="43"/>
  <c r="N76" i="43"/>
  <c r="J76" i="43"/>
  <c r="M75" i="43"/>
  <c r="N75" i="43"/>
  <c r="M74" i="43"/>
  <c r="N74" i="43"/>
  <c r="J74" i="43"/>
  <c r="K73" i="43"/>
  <c r="J73" i="43"/>
  <c r="M72" i="43"/>
  <c r="N72" i="43"/>
  <c r="J72" i="43"/>
  <c r="M71" i="43"/>
  <c r="N71" i="43"/>
  <c r="J71" i="43"/>
  <c r="M70" i="43"/>
  <c r="N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M10" i="1" s="1"/>
  <c r="B13" i="1"/>
  <c r="E13" i="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O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B22" i="1"/>
  <c r="B23" i="1"/>
  <c r="B24" i="1"/>
  <c r="B43" i="1"/>
  <c r="D78" i="9"/>
  <c r="E19" i="6"/>
  <c r="E20" i="6"/>
  <c r="E21" i="6"/>
  <c r="K8" i="1"/>
  <c r="M8" i="1" s="1"/>
  <c r="F23" i="15"/>
  <c r="D24" i="15"/>
  <c r="O8" i="1"/>
  <c r="P8"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H26" i="21" s="1"/>
  <c r="AB26" i="21" s="1"/>
  <c r="E89" i="2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F27" i="21" s="1"/>
  <c r="AA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AB19" i="21"/>
  <c r="J19" i="21"/>
  <c r="W19" i="21"/>
  <c r="J12" i="21"/>
  <c r="AC12" i="21"/>
  <c r="H12" i="21"/>
  <c r="AB12"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F59" i="43"/>
  <c r="H62" i="43"/>
  <c r="BO5" i="3"/>
  <c r="BM5" i="3"/>
  <c r="BH5" i="3"/>
  <c r="BD5" i="3"/>
  <c r="AC5" i="3"/>
  <c r="BS5" i="3"/>
  <c r="BP5" i="3"/>
  <c r="BK5" i="3"/>
  <c r="BG5" i="3"/>
  <c r="BC5" i="3"/>
  <c r="BT5" i="3"/>
  <c r="U36" i="40"/>
  <c r="F36" i="43"/>
  <c r="F81" i="43"/>
  <c r="H83" i="43"/>
  <c r="F48" i="43"/>
  <c r="H52" i="43"/>
  <c r="N5" i="43"/>
  <c r="F70" i="43"/>
  <c r="H73" i="43"/>
  <c r="M11" i="43"/>
  <c r="D17" i="43"/>
  <c r="F39" i="43"/>
  <c r="I17" i="43"/>
  <c r="F35" i="43"/>
  <c r="J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F34" i="68"/>
  <c r="H86" i="43"/>
  <c r="H82" i="43"/>
  <c r="H87" i="43"/>
  <c r="K9" i="1"/>
  <c r="M9" i="1" s="1"/>
  <c r="O9" i="1"/>
  <c r="P9" i="1"/>
  <c r="AE9" i="1"/>
  <c r="D93" i="9"/>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R12" i="1"/>
  <c r="B12" i="1"/>
  <c r="E12" i="1"/>
  <c r="S10" i="1"/>
  <c r="R10" i="1"/>
  <c r="B10" i="1"/>
  <c r="E10" i="1"/>
  <c r="D1" i="66"/>
  <c r="E10" i="66"/>
  <c r="K12" i="1"/>
  <c r="M12" i="1" s="1"/>
  <c r="O12" i="1"/>
  <c r="P12" i="1"/>
  <c r="S13" i="1"/>
  <c r="R13" i="1"/>
  <c r="S11" i="1"/>
  <c r="T11" i="1" s="1"/>
  <c r="R11" i="1"/>
  <c r="S9" i="1"/>
  <c r="AR9" i="1" s="1"/>
  <c r="R9" i="1"/>
  <c r="C42" i="1"/>
  <c r="C4" i="12"/>
  <c r="B41" i="1"/>
  <c r="F31" i="12"/>
  <c r="C31" i="12"/>
  <c r="H100" i="43"/>
  <c r="C30" i="66"/>
  <c r="E26" i="66"/>
  <c r="AC34" i="3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J56" i="9"/>
  <c r="J57" i="9"/>
  <c r="U29" i="34"/>
  <c r="E5" i="6"/>
  <c r="D19" i="12" s="1"/>
  <c r="C19" i="12" s="1"/>
  <c r="P10" i="1"/>
  <c r="G1" i="68"/>
  <c r="K1" i="12"/>
  <c r="E19" i="69"/>
  <c r="E19" i="68"/>
  <c r="E19" i="11"/>
  <c r="E1" i="73"/>
  <c r="G41" i="69"/>
  <c r="G22" i="69"/>
  <c r="G41" i="68"/>
  <c r="G22" i="68"/>
  <c r="G27" i="12"/>
  <c r="G26" i="12"/>
  <c r="G41" i="11"/>
  <c r="G22" i="11"/>
  <c r="G25" i="12"/>
  <c r="C100" i="43"/>
  <c r="E11" i="43"/>
  <c r="E10" i="43"/>
  <c r="E9" i="43"/>
  <c r="E8" i="43"/>
  <c r="C7" i="43"/>
  <c r="E81" i="43"/>
  <c r="B79" i="43"/>
  <c r="E48" i="43"/>
  <c r="B46" i="43"/>
  <c r="F100" i="43"/>
  <c r="H17" i="43"/>
  <c r="G17" i="43" s="1"/>
  <c r="D9" i="53"/>
  <c r="B25" i="72"/>
  <c r="B24" i="72"/>
  <c r="G6" i="1"/>
  <c r="H85" i="43"/>
  <c r="H81" i="43"/>
  <c r="H84" i="43"/>
  <c r="H88" i="43"/>
  <c r="H53" i="43"/>
  <c r="H78" i="43"/>
  <c r="H71" i="43"/>
  <c r="C17" i="43"/>
  <c r="F33" i="43"/>
  <c r="K17" i="43"/>
  <c r="F34" i="43"/>
  <c r="N6" i="43"/>
  <c r="M5" i="43"/>
  <c r="C6" i="43"/>
  <c r="N3" i="43"/>
  <c r="F38" i="43"/>
  <c r="F37" i="43"/>
  <c r="M9"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B6" i="1"/>
  <c r="E6" i="1"/>
  <c r="S8" i="1"/>
  <c r="AQ8" i="1" s="1"/>
  <c r="K11" i="1"/>
  <c r="M11" i="1" s="1"/>
  <c r="O11" i="1"/>
  <c r="P11"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S33" i="21" s="1"/>
  <c r="J33" i="21"/>
  <c r="AC33" i="21" s="1"/>
  <c r="H33" i="21"/>
  <c r="AB33" i="21" s="1"/>
  <c r="F37" i="21"/>
  <c r="AA37"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AB44" i="21"/>
  <c r="AA30" i="21"/>
  <c r="W13" i="21"/>
  <c r="W42" i="21"/>
  <c r="AC45" i="21"/>
  <c r="F10" i="21"/>
  <c r="K145" i="21"/>
  <c r="W17" i="21"/>
  <c r="AA29" i="21"/>
  <c r="W31" i="21"/>
  <c r="S17" i="21"/>
  <c r="AA15"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B4" i="62" s="1"/>
  <c r="B71" i="72" s="1"/>
  <c r="O6" i="1"/>
  <c r="P6" i="1"/>
  <c r="F30" i="68"/>
  <c r="F30" i="11"/>
  <c r="C48" i="11"/>
  <c r="F28" i="67"/>
  <c r="F52" i="9"/>
  <c r="M18" i="67"/>
  <c r="F32" i="67"/>
  <c r="F60" i="67"/>
  <c r="F30" i="69"/>
  <c r="C48" i="69"/>
  <c r="F32" i="15"/>
  <c r="F60" i="15"/>
  <c r="M18" i="15"/>
  <c r="F28" i="15"/>
  <c r="C28" i="15"/>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S37" i="21"/>
  <c r="AA23" i="21"/>
  <c r="AB15" i="21"/>
  <c r="J23" i="21"/>
  <c r="F85" i="21"/>
  <c r="G85" i="21"/>
  <c r="H23" i="21"/>
  <c r="S13" i="21"/>
  <c r="D6" i="52"/>
  <c r="D121" i="9"/>
  <c r="D7" i="52"/>
  <c r="K120" i="9"/>
  <c r="O14" i="1"/>
  <c r="P14" i="1"/>
  <c r="J59" i="9"/>
  <c r="J61" i="9"/>
  <c r="AP7" i="1"/>
  <c r="O7" i="1"/>
  <c r="AB45" i="21"/>
  <c r="W32" i="21"/>
  <c r="AC32" i="21"/>
  <c r="AB9" i="21"/>
  <c r="U9" i="21"/>
  <c r="AA32" i="21"/>
  <c r="S32" i="21"/>
  <c r="W9" i="21"/>
  <c r="AC9" i="21"/>
  <c r="AB32" i="21"/>
  <c r="U32" i="21"/>
  <c r="AA10" i="21"/>
  <c r="S10" i="21"/>
  <c r="C30" i="11"/>
  <c r="A18" i="62"/>
  <c r="B64" i="72"/>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C24" i="12"/>
  <c r="P7" i="1"/>
  <c r="AC11" i="37"/>
  <c r="W11" i="37"/>
  <c r="W11" i="34"/>
  <c r="AC11" i="34"/>
  <c r="F34" i="11"/>
  <c r="F11" i="12"/>
  <c r="C23" i="12" s="1"/>
  <c r="R8" i="1"/>
  <c r="AE7" i="1"/>
  <c r="AE8" i="1"/>
  <c r="AG6" i="1"/>
  <c r="H109" i="9"/>
  <c r="H110" i="9"/>
  <c r="D18" i="53" s="1"/>
  <c r="B35" i="72"/>
  <c r="D124" i="9"/>
  <c r="D16" i="53"/>
  <c r="B34" i="72"/>
  <c r="D10" i="52"/>
  <c r="H14" i="74"/>
  <c r="D17" i="53"/>
  <c r="B36" i="72"/>
  <c r="D125" i="9"/>
  <c r="D11" i="52"/>
  <c r="B7" i="74"/>
  <c r="J7" i="33"/>
  <c r="W7" i="33"/>
  <c r="F7" i="33"/>
  <c r="S7" i="33"/>
  <c r="H7" i="33"/>
  <c r="AB7" i="33"/>
  <c r="T48" i="33"/>
  <c r="G48" i="33"/>
  <c r="H112" i="9"/>
  <c r="D21" i="53"/>
  <c r="B39" i="72"/>
  <c r="H111" i="9"/>
  <c r="D126" i="9"/>
  <c r="D19" i="53"/>
  <c r="D59" i="9"/>
  <c r="M55" i="9"/>
  <c r="B38" i="72"/>
  <c r="D20" i="53"/>
  <c r="B40" i="72"/>
  <c r="I14" i="74"/>
  <c r="B8" i="74"/>
  <c r="D127" i="9"/>
  <c r="D13" i="52"/>
  <c r="D12" i="52"/>
  <c r="AD3" i="71"/>
  <c r="C65" i="40"/>
  <c r="D63" i="40"/>
  <c r="J1" i="73"/>
  <c r="AA7" i="33"/>
  <c r="R48" i="33"/>
  <c r="C13" i="12"/>
  <c r="C30" i="69"/>
  <c r="C77" i="9"/>
  <c r="C74" i="9"/>
  <c r="C28" i="67"/>
  <c r="C30" i="68"/>
  <c r="H77" i="43"/>
  <c r="H76" i="43"/>
  <c r="H51" i="43"/>
  <c r="H67" i="43"/>
  <c r="H59" i="43"/>
  <c r="H60" i="43"/>
  <c r="H61" i="43"/>
  <c r="M4"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Y9" i="71"/>
  <c r="Z9" i="71"/>
  <c r="AB3" i="71"/>
  <c r="X3" i="71"/>
  <c r="AF3" i="71"/>
  <c r="P24" i="43"/>
  <c r="B66" i="40"/>
  <c r="P21" i="43"/>
  <c r="P22" i="43"/>
  <c r="C19" i="68"/>
  <c r="D65" i="40"/>
  <c r="E63" i="40"/>
  <c r="C16" i="43"/>
  <c r="C5" i="43" s="1"/>
  <c r="D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9" i="71"/>
  <c r="P23" i="43"/>
  <c r="B71" i="39"/>
  <c r="D10" i="71"/>
  <c r="P25" i="43"/>
  <c r="E65" i="40"/>
  <c r="F63" i="40"/>
  <c r="I42" i="35"/>
  <c r="J42" i="35"/>
  <c r="G42" i="35"/>
  <c r="H42" i="35"/>
  <c r="G43" i="35"/>
  <c r="H43" i="35"/>
  <c r="F68" i="39"/>
  <c r="E70" i="39"/>
  <c r="G40" i="36"/>
  <c r="H40" i="36"/>
  <c r="G41" i="36"/>
  <c r="H41" i="36"/>
  <c r="U7" i="21"/>
  <c r="AB7" i="21"/>
  <c r="E42" i="37"/>
  <c r="R43" i="37"/>
  <c r="G46" i="37"/>
  <c r="H46" i="37"/>
  <c r="G47" i="37"/>
  <c r="H47" i="37"/>
  <c r="I40" i="36"/>
  <c r="J40" i="36"/>
  <c r="E36" i="36"/>
  <c r="R37" i="36"/>
  <c r="AC7" i="21"/>
  <c r="W7" i="21"/>
  <c r="I59" i="34"/>
  <c r="J59" i="34"/>
  <c r="K59" i="34"/>
  <c r="L59" i="34"/>
  <c r="M59" i="34"/>
  <c r="N59" i="34"/>
  <c r="O59" i="34"/>
  <c r="J7" i="34"/>
  <c r="F7" i="34"/>
  <c r="I47" i="37"/>
  <c r="J47" i="37"/>
  <c r="I46" i="37"/>
  <c r="J46" i="37"/>
  <c r="E38" i="35"/>
  <c r="R39" i="35"/>
  <c r="S7" i="21"/>
  <c r="AA7" i="21"/>
  <c r="D7" i="71"/>
  <c r="T9" i="71"/>
  <c r="D8" i="71"/>
  <c r="D9" i="71"/>
  <c r="F65" i="40"/>
  <c r="G63" i="40"/>
  <c r="AC7" i="34"/>
  <c r="V49" i="34"/>
  <c r="I49" i="34"/>
  <c r="W7" i="34"/>
  <c r="E43" i="35"/>
  <c r="F43" i="35"/>
  <c r="E42" i="35"/>
  <c r="F42" i="35"/>
  <c r="C36" i="36"/>
  <c r="C37" i="36"/>
  <c r="C42" i="37"/>
  <c r="C43" i="37"/>
  <c r="I43" i="35"/>
  <c r="J43" i="35"/>
  <c r="H7" i="34"/>
  <c r="C38" i="35"/>
  <c r="C39" i="35"/>
  <c r="S7" i="34"/>
  <c r="AA7" i="34"/>
  <c r="R49" i="34"/>
  <c r="E40" i="36"/>
  <c r="F40" i="36"/>
  <c r="E41" i="36"/>
  <c r="F41" i="36"/>
  <c r="I41" i="36"/>
  <c r="J41" i="36"/>
  <c r="E47" i="37"/>
  <c r="F47" i="37"/>
  <c r="E46" i="37"/>
  <c r="F46" i="37"/>
  <c r="G68" i="39"/>
  <c r="F70" i="39"/>
  <c r="M20" i="43"/>
  <c r="C19" i="43"/>
  <c r="U9" i="71"/>
  <c r="G65" i="40"/>
  <c r="H63" i="40"/>
  <c r="H68" i="39"/>
  <c r="G70" i="39"/>
  <c r="R50" i="34"/>
  <c r="E49" i="34"/>
  <c r="U7" i="34"/>
  <c r="AB7" i="34"/>
  <c r="T49" i="34"/>
  <c r="G49" i="34"/>
  <c r="I53" i="34"/>
  <c r="J53" i="34"/>
  <c r="I54" i="34"/>
  <c r="J54" i="34"/>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E42" i="40" s="1"/>
  <c r="E46" i="40" s="1"/>
  <c r="F46" i="40" s="1"/>
  <c r="H7" i="40"/>
  <c r="W7" i="40"/>
  <c r="AC7" i="40"/>
  <c r="V42" i="40"/>
  <c r="I42" i="40" s="1"/>
  <c r="F7" i="39"/>
  <c r="J7" i="39"/>
  <c r="H7" i="39"/>
  <c r="U7" i="40"/>
  <c r="AB7" i="40"/>
  <c r="T42" i="40"/>
  <c r="G42" i="40" s="1"/>
  <c r="AB7" i="39"/>
  <c r="T47" i="39"/>
  <c r="G47" i="39" s="1"/>
  <c r="G51" i="39" s="1"/>
  <c r="H51" i="39" s="1"/>
  <c r="U7" i="39"/>
  <c r="AC7" i="39"/>
  <c r="V47" i="39"/>
  <c r="I47" i="39" s="1"/>
  <c r="W7" i="39"/>
  <c r="S7" i="39"/>
  <c r="AA7" i="39"/>
  <c r="R47" i="39"/>
  <c r="E47" i="39" s="1"/>
  <c r="E51" i="39" s="1"/>
  <c r="F51" i="39" s="1"/>
  <c r="I51" i="39"/>
  <c r="J51" i="39" s="1"/>
  <c r="K1" i="73"/>
  <c r="L46" i="15"/>
  <c r="F31" i="67"/>
  <c r="F31" i="15"/>
  <c r="I54" i="15"/>
  <c r="F59" i="15"/>
  <c r="F59" i="67"/>
  <c r="M17" i="15"/>
  <c r="M17" i="67"/>
  <c r="Y6" i="71"/>
  <c r="Z6" i="71"/>
  <c r="Y5" i="71"/>
  <c r="Z5" i="71"/>
  <c r="X6" i="71"/>
  <c r="X5" i="71"/>
  <c r="AA5" i="71"/>
  <c r="AA6" i="71"/>
  <c r="AB5" i="71"/>
  <c r="AB6" i="71"/>
  <c r="AB7" i="71"/>
  <c r="M28" i="67"/>
  <c r="D2" i="21"/>
  <c r="B8" i="76"/>
  <c r="J15" i="67"/>
  <c r="F38" i="15"/>
  <c r="E2" i="69"/>
  <c r="F16" i="67"/>
  <c r="L47" i="67"/>
  <c r="D5" i="73"/>
  <c r="AO13" i="1"/>
  <c r="M8" i="15"/>
  <c r="F42" i="67"/>
  <c r="M24" i="15"/>
  <c r="AO9" i="1"/>
  <c r="B12" i="76"/>
  <c r="M9" i="15"/>
  <c r="F4" i="73"/>
  <c r="B7" i="76"/>
  <c r="D2" i="33"/>
  <c r="M26" i="67"/>
  <c r="J15" i="15"/>
  <c r="F20" i="31"/>
  <c r="F9" i="67"/>
  <c r="M6" i="67"/>
  <c r="D2" i="36"/>
  <c r="E8" i="76"/>
  <c r="D2" i="37"/>
  <c r="F6" i="73"/>
  <c r="B13" i="76"/>
  <c r="M23" i="15"/>
  <c r="F16" i="15"/>
  <c r="M8" i="67"/>
  <c r="B9" i="76"/>
  <c r="M27" i="15"/>
  <c r="F42" i="15"/>
  <c r="M6" i="15"/>
  <c r="E12" i="76"/>
  <c r="E2" i="68"/>
  <c r="M22" i="67"/>
  <c r="B10" i="76"/>
  <c r="F13" i="67"/>
  <c r="F40" i="15"/>
  <c r="AO12" i="1"/>
  <c r="B11" i="76"/>
  <c r="F37" i="15"/>
  <c r="F38" i="67"/>
  <c r="F3" i="73"/>
  <c r="D6" i="73"/>
  <c r="F36" i="67"/>
  <c r="F6" i="15"/>
  <c r="C76" i="15"/>
  <c r="E7" i="76"/>
  <c r="F5" i="73"/>
  <c r="F36" i="15"/>
  <c r="M23" i="67"/>
  <c r="D7" i="73"/>
  <c r="F9" i="15"/>
  <c r="F37" i="67"/>
  <c r="F40" i="67"/>
  <c r="F13" i="15"/>
  <c r="AO11" i="1"/>
  <c r="M22" i="15"/>
  <c r="E11" i="76"/>
  <c r="M9" i="67"/>
  <c r="M24" i="67"/>
  <c r="M26" i="15"/>
  <c r="AO7" i="1"/>
  <c r="E10" i="76"/>
  <c r="D3" i="73"/>
  <c r="F8" i="67"/>
  <c r="C76" i="67"/>
  <c r="D2" i="34"/>
  <c r="F7" i="73"/>
  <c r="D2" i="35"/>
  <c r="E9" i="76"/>
  <c r="D4" i="73"/>
  <c r="L48" i="15"/>
  <c r="E13" i="76"/>
  <c r="AO8" i="1"/>
  <c r="M27" i="67"/>
  <c r="F6" i="67"/>
  <c r="F26" i="67"/>
  <c r="F26" i="15"/>
  <c r="L48" i="67"/>
  <c r="M28" i="15"/>
  <c r="F8" i="15"/>
  <c r="L47" i="15"/>
  <c r="AO10" i="1"/>
  <c r="I52" i="39" l="1"/>
  <c r="J52" i="39" s="1"/>
  <c r="E52" i="39"/>
  <c r="F52" i="39" s="1"/>
  <c r="AR8" i="1"/>
  <c r="O16" i="1"/>
  <c r="P16" i="1"/>
  <c r="C11" i="12" s="1"/>
  <c r="C15" i="12" s="1"/>
  <c r="AQ9" i="1"/>
  <c r="F29" i="6"/>
  <c r="T9" i="1"/>
  <c r="G28" i="6"/>
  <c r="A24" i="51"/>
  <c r="B18" i="72" s="1"/>
  <c r="K4" i="4"/>
  <c r="B46" i="48" s="1"/>
  <c r="B4" i="72" s="1"/>
  <c r="P74" i="67"/>
  <c r="G14" i="3"/>
  <c r="H5" i="3"/>
  <c r="AQ11" i="1"/>
  <c r="AR11" i="1"/>
  <c r="G5" i="3"/>
  <c r="B3" i="3" s="1"/>
  <c r="K6" i="1"/>
  <c r="E32" i="6"/>
  <c r="L20" i="6" s="1"/>
  <c r="G47" i="40"/>
  <c r="H47" i="40" s="1"/>
  <c r="R48" i="39"/>
  <c r="G46" i="40"/>
  <c r="H46" i="40" s="1"/>
  <c r="H22" i="43"/>
  <c r="F22" i="43"/>
  <c r="Z7" i="43"/>
  <c r="AQ13" i="1"/>
  <c r="T13" i="1"/>
  <c r="AR13" i="1"/>
  <c r="E125" i="3"/>
  <c r="E217" i="3"/>
  <c r="E366" i="3"/>
  <c r="E526" i="3"/>
  <c r="E553" i="3"/>
  <c r="E268" i="3"/>
  <c r="E282" i="3"/>
  <c r="E322" i="3"/>
  <c r="N6" i="3"/>
  <c r="AJ6" i="3"/>
  <c r="E69" i="3"/>
  <c r="E114" i="3"/>
  <c r="E278" i="3"/>
  <c r="E415" i="3"/>
  <c r="E563" i="3"/>
  <c r="E395" i="3"/>
  <c r="E172" i="3"/>
  <c r="E260" i="3"/>
  <c r="E445" i="3"/>
  <c r="E550" i="3"/>
  <c r="E535"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237" i="3"/>
  <c r="E261" i="3"/>
  <c r="E304" i="3"/>
  <c r="E528" i="3"/>
  <c r="E565" i="3"/>
  <c r="E183" i="3"/>
  <c r="E213" i="3"/>
  <c r="E361" i="3"/>
  <c r="E17" i="3"/>
  <c r="E503" i="3"/>
  <c r="E302"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BA14" i="3"/>
  <c r="BB5" i="3"/>
  <c r="E47" i="40"/>
  <c r="F47" i="40" s="1"/>
  <c r="R43" i="40"/>
  <c r="G52" i="39"/>
  <c r="H52" i="39" s="1"/>
  <c r="I46" i="40"/>
  <c r="J46" i="40" s="1"/>
  <c r="I47" i="40"/>
  <c r="J47" i="40" s="1"/>
  <c r="BN5" i="3"/>
  <c r="G29" i="6" s="1"/>
  <c r="E29" i="6" s="1"/>
  <c r="BL14" i="3"/>
  <c r="BL5" i="3" s="1"/>
  <c r="F101" i="43"/>
  <c r="E22" i="43"/>
  <c r="M101" i="43"/>
  <c r="E101" i="43"/>
  <c r="AH11" i="43"/>
  <c r="AH13" i="43" s="1"/>
  <c r="AD11" i="43"/>
  <c r="AD13" i="43" s="1"/>
  <c r="Z11" i="43"/>
  <c r="Z13" i="43" s="1"/>
  <c r="AI11" i="43"/>
  <c r="AI13" i="43" s="1"/>
  <c r="AE11" i="43"/>
  <c r="AE13" i="43" s="1"/>
  <c r="AA11" i="43"/>
  <c r="AA13" i="43" s="1"/>
  <c r="G101" i="43"/>
  <c r="J101" i="43"/>
  <c r="H101" i="43"/>
  <c r="G22" i="43"/>
  <c r="B113" i="43"/>
  <c r="N104" i="46"/>
  <c r="L101" i="43"/>
  <c r="K101" i="43"/>
  <c r="D101" i="43"/>
  <c r="AJ11" i="43"/>
  <c r="AJ13" i="43" s="1"/>
  <c r="AB11" i="43"/>
  <c r="AB13" i="43" s="1"/>
  <c r="AG11" i="43"/>
  <c r="AG13" i="43" s="1"/>
  <c r="Y11" i="43"/>
  <c r="Y13" i="43" s="1"/>
  <c r="N101" i="43"/>
  <c r="I101" i="43"/>
  <c r="C101" i="43"/>
  <c r="AF11" i="43"/>
  <c r="AF13" i="43" s="1"/>
  <c r="AC11" i="43"/>
  <c r="AC13" i="43" s="1"/>
  <c r="J22" i="43"/>
  <c r="AQ10" i="1"/>
  <c r="T10" i="1"/>
  <c r="AR10" i="1"/>
  <c r="AR12" i="1"/>
  <c r="AQ12" i="1"/>
  <c r="T12" i="1"/>
  <c r="T8" i="1"/>
  <c r="D9" i="11"/>
  <c r="C9" i="11" s="1"/>
  <c r="F28" i="6"/>
  <c r="D9" i="68"/>
  <c r="F26" i="21"/>
  <c r="S26" i="21" s="1"/>
  <c r="J26" i="21"/>
  <c r="W26" i="21" s="1"/>
  <c r="H27" i="21"/>
  <c r="AB27" i="21" s="1"/>
  <c r="J27" i="21"/>
  <c r="W27" i="21" s="1"/>
  <c r="S27" i="21"/>
  <c r="AC27" i="21"/>
  <c r="AA25" i="21"/>
  <c r="U26" i="21"/>
  <c r="AB25" i="21"/>
  <c r="W25" i="21"/>
  <c r="W33" i="21"/>
  <c r="AA33" i="21"/>
  <c r="U33" i="21"/>
  <c r="E22" i="49"/>
  <c r="E4" i="49"/>
  <c r="E10" i="49"/>
  <c r="E21" i="49"/>
  <c r="B9" i="49"/>
  <c r="B22" i="49"/>
  <c r="E11" i="49"/>
  <c r="B11" i="49"/>
  <c r="B8" i="49"/>
  <c r="B13" i="49"/>
  <c r="B6" i="49"/>
  <c r="B10" i="49"/>
  <c r="E13" i="49"/>
  <c r="E6" i="49"/>
  <c r="B4" i="49"/>
  <c r="E8" i="49"/>
  <c r="E9" i="49"/>
  <c r="B14" i="49"/>
  <c r="E14" i="49"/>
  <c r="E7" i="49"/>
  <c r="C18" i="9"/>
  <c r="D18" i="9" s="1"/>
  <c r="B10" i="70"/>
  <c r="F51" i="67"/>
  <c r="F68" i="67"/>
  <c r="B7" i="70"/>
  <c r="B9" i="70"/>
  <c r="F66" i="15"/>
  <c r="C27" i="15"/>
  <c r="F65" i="67"/>
  <c r="N59" i="67"/>
  <c r="M59" i="67"/>
  <c r="L59" i="67"/>
  <c r="L58" i="67"/>
  <c r="Q71" i="15"/>
  <c r="F64" i="67"/>
  <c r="Q71" i="67"/>
  <c r="J59" i="15"/>
  <c r="J57" i="15"/>
  <c r="J55" i="15" s="1"/>
  <c r="J58" i="15" s="1"/>
  <c r="Q50" i="15" s="1"/>
  <c r="L60" i="15"/>
  <c r="J53" i="15"/>
  <c r="J60" i="15"/>
  <c r="Q48" i="15" s="1"/>
  <c r="B2" i="35"/>
  <c r="B3" i="35" s="1"/>
  <c r="B2" i="36"/>
  <c r="B3" i="36" s="1"/>
  <c r="F70" i="67"/>
  <c r="B12" i="70"/>
  <c r="F51" i="15"/>
  <c r="C27" i="67"/>
  <c r="L59" i="15"/>
  <c r="L58" i="15"/>
  <c r="N59" i="15"/>
  <c r="M59" i="15"/>
  <c r="I1" i="73"/>
  <c r="B39" i="1" s="1"/>
  <c r="F68" i="15"/>
  <c r="E20" i="43"/>
  <c r="F66" i="67"/>
  <c r="B11" i="70"/>
  <c r="B8" i="70"/>
  <c r="B13" i="70"/>
  <c r="F65" i="15"/>
  <c r="F64" i="15"/>
  <c r="J53" i="67"/>
  <c r="L56" i="67"/>
  <c r="J57" i="67"/>
  <c r="J55" i="67" s="1"/>
  <c r="J58" i="67" s="1"/>
  <c r="Q50" i="67" s="1"/>
  <c r="I54" i="67"/>
  <c r="D9" i="69"/>
  <c r="F43" i="67"/>
  <c r="M29" i="67"/>
  <c r="F7" i="67"/>
  <c r="G1" i="73"/>
  <c r="M29" i="15"/>
  <c r="F7" i="15"/>
  <c r="F43" i="15"/>
  <c r="C16" i="67"/>
  <c r="C9" i="69" l="1"/>
  <c r="C12" i="12"/>
  <c r="F50" i="67"/>
  <c r="M7" i="67"/>
  <c r="J6" i="67" s="1"/>
  <c r="J18" i="67" s="1"/>
  <c r="C6" i="67"/>
  <c r="C32" i="67" s="1"/>
  <c r="F71" i="67"/>
  <c r="B40" i="1"/>
  <c r="E319" i="3"/>
  <c r="E153" i="3"/>
  <c r="E328" i="3"/>
  <c r="E329" i="3"/>
  <c r="E545" i="3"/>
  <c r="E510" i="3"/>
  <c r="E352" i="3"/>
  <c r="E205" i="3"/>
  <c r="E128" i="3"/>
  <c r="E385" i="3"/>
  <c r="E518" i="3"/>
  <c r="AI6" i="3"/>
  <c r="E578" i="3"/>
  <c r="E423" i="3"/>
  <c r="E382" i="3"/>
  <c r="E263" i="3"/>
  <c r="E245" i="3"/>
  <c r="E191" i="3"/>
  <c r="E188" i="3"/>
  <c r="E181" i="3"/>
  <c r="E149" i="3"/>
  <c r="E212" i="3"/>
  <c r="E167" i="3"/>
  <c r="E141" i="3"/>
  <c r="E312" i="3"/>
  <c r="AD6" i="3"/>
  <c r="E542" i="3"/>
  <c r="E552" i="3"/>
  <c r="E421" i="3"/>
  <c r="E464" i="3"/>
  <c r="E487" i="3"/>
  <c r="E398" i="3"/>
  <c r="E416" i="3"/>
  <c r="E459" i="3"/>
  <c r="E374" i="3"/>
  <c r="E558" i="3"/>
  <c r="AH6" i="3"/>
  <c r="E500" i="3"/>
  <c r="E581"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53" i="3"/>
  <c r="E343" i="3"/>
  <c r="E539" i="3"/>
  <c r="X6" i="3"/>
  <c r="E280" i="3"/>
  <c r="E165" i="3"/>
  <c r="E314" i="3"/>
  <c r="I6" i="3"/>
  <c r="E586" i="3"/>
  <c r="E434" i="3"/>
  <c r="E368" i="3"/>
  <c r="E301" i="3"/>
  <c r="E136" i="3"/>
  <c r="E148" i="3"/>
  <c r="E157" i="3"/>
  <c r="E252" i="3"/>
  <c r="E145" i="3"/>
  <c r="E286" i="3"/>
  <c r="E576" i="3"/>
  <c r="U6" i="3"/>
  <c r="E502" i="3"/>
  <c r="E448" i="3"/>
  <c r="E548" i="3"/>
  <c r="E430" i="3"/>
  <c r="E443" i="3"/>
  <c r="E367" i="3"/>
  <c r="E566" i="3"/>
  <c r="E497" i="3"/>
  <c r="E13" i="3"/>
  <c r="E537" i="3"/>
  <c r="E403" i="3"/>
  <c r="E460" i="3"/>
  <c r="E471" i="3"/>
  <c r="E546" i="3"/>
  <c r="E436" i="3"/>
  <c r="E475" i="3"/>
  <c r="E71" i="3"/>
  <c r="E90" i="3"/>
  <c r="E54" i="3"/>
  <c r="E92" i="3"/>
  <c r="E131" i="3"/>
  <c r="E168" i="3"/>
  <c r="E126" i="3"/>
  <c r="E155" i="3"/>
  <c r="E208" i="3"/>
  <c r="E272" i="3"/>
  <c r="E297" i="3"/>
  <c r="E257" i="3"/>
  <c r="E291" i="3"/>
  <c r="E348" i="3"/>
  <c r="E357" i="3"/>
  <c r="E317" i="3"/>
  <c r="E375" i="3"/>
  <c r="AM6" i="3"/>
  <c r="E58" i="3"/>
  <c r="E93" i="3"/>
  <c r="E29" i="3"/>
  <c r="E540" i="3"/>
  <c r="E473" i="3"/>
  <c r="E425" i="3"/>
  <c r="E47" i="3"/>
  <c r="E38" i="3"/>
  <c r="E100" i="3"/>
  <c r="E170" i="3"/>
  <c r="E137" i="3"/>
  <c r="E194" i="3"/>
  <c r="E234" i="3"/>
  <c r="E219" i="3"/>
  <c r="E299" i="3"/>
  <c r="E339" i="3"/>
  <c r="E325" i="3"/>
  <c r="E392" i="3"/>
  <c r="AQ6" i="3"/>
  <c r="E52" i="3"/>
  <c r="E36" i="3"/>
  <c r="E112" i="3"/>
  <c r="E123" i="3"/>
  <c r="E147" i="3"/>
  <c r="E289" i="3"/>
  <c r="E340" i="3"/>
  <c r="E364" i="3"/>
  <c r="E50" i="3"/>
  <c r="E20" i="3"/>
  <c r="E175" i="3"/>
  <c r="E305" i="3"/>
  <c r="E583" i="3"/>
  <c r="E399" i="3"/>
  <c r="E227" i="3"/>
  <c r="E293" i="3"/>
  <c r="E568" i="3"/>
  <c r="AN6" i="3"/>
  <c r="AC6" i="3" s="1"/>
  <c r="AK6" i="3"/>
  <c r="E453" i="3"/>
  <c r="E303" i="3"/>
  <c r="E262" i="3"/>
  <c r="E156" i="3"/>
  <c r="E228" i="3"/>
  <c r="E89" i="3"/>
  <c r="E271" i="3"/>
  <c r="E199" i="3"/>
  <c r="E327" i="3"/>
  <c r="E585" i="3"/>
  <c r="R6" i="3"/>
  <c r="AO6" i="3"/>
  <c r="E478" i="3"/>
  <c r="E541" i="3"/>
  <c r="E400" i="3"/>
  <c r="E477" i="3"/>
  <c r="E376" i="3"/>
  <c r="E505" i="3"/>
  <c r="E547" i="3"/>
  <c r="E582" i="3"/>
  <c r="E531" i="3"/>
  <c r="E435" i="3"/>
  <c r="E468" i="3"/>
  <c r="E489" i="3"/>
  <c r="E417" i="3"/>
  <c r="E454" i="3"/>
  <c r="E28" i="3"/>
  <c r="E56" i="3"/>
  <c r="E106" i="3"/>
  <c r="E70" i="3"/>
  <c r="E95" i="3"/>
  <c r="E146" i="3"/>
  <c r="E182" i="3"/>
  <c r="E132" i="3"/>
  <c r="E171" i="3"/>
  <c r="E211" i="3"/>
  <c r="E258" i="3"/>
  <c r="E214" i="3"/>
  <c r="E273" i="3"/>
  <c r="E292" i="3"/>
  <c r="E315" i="3"/>
  <c r="E377" i="3"/>
  <c r="E349" i="3"/>
  <c r="E362" i="3"/>
  <c r="E572" i="3"/>
  <c r="E544" i="3"/>
  <c r="E74" i="3"/>
  <c r="E109" i="3"/>
  <c r="E59" i="3"/>
  <c r="E409" i="3"/>
  <c r="E484" i="3"/>
  <c r="E446" i="3"/>
  <c r="E79" i="3"/>
  <c r="E46" i="3"/>
  <c r="E103" i="3"/>
  <c r="E160" i="3"/>
  <c r="E142" i="3"/>
  <c r="E200" i="3"/>
  <c r="E267" i="3"/>
  <c r="E249" i="3"/>
  <c r="E300" i="3"/>
  <c r="E371" i="3"/>
  <c r="E310" i="3"/>
  <c r="E426" i="3"/>
  <c r="E461" i="3"/>
  <c r="E397" i="3"/>
  <c r="E16" i="3"/>
  <c r="E350" i="3"/>
  <c r="E196" i="3"/>
  <c r="E269" i="3"/>
  <c r="E253" i="3"/>
  <c r="E379" i="3"/>
  <c r="AG6" i="3"/>
  <c r="E466" i="3"/>
  <c r="E432" i="3"/>
  <c r="I3" i="6"/>
  <c r="J6" i="3"/>
  <c r="E413" i="3"/>
  <c r="E476" i="3"/>
  <c r="E433" i="3"/>
  <c r="E39" i="3"/>
  <c r="E27" i="3"/>
  <c r="E111" i="3"/>
  <c r="E187" i="3"/>
  <c r="E186" i="3"/>
  <c r="E279" i="3"/>
  <c r="E259" i="3"/>
  <c r="E331" i="3"/>
  <c r="E318" i="3"/>
  <c r="E504" i="3"/>
  <c r="E44" i="3"/>
  <c r="E75" i="3"/>
  <c r="E521" i="3"/>
  <c r="E64" i="3"/>
  <c r="E129" i="3"/>
  <c r="E174" i="3"/>
  <c r="E275" i="3"/>
  <c r="E324" i="3"/>
  <c r="E342" i="3"/>
  <c r="E584" i="3"/>
  <c r="E84" i="3"/>
  <c r="E34" i="3"/>
  <c r="E87" i="3"/>
  <c r="E184" i="3"/>
  <c r="E251" i="3"/>
  <c r="E341" i="3"/>
  <c r="E68" i="3"/>
  <c r="E80" i="3"/>
  <c r="E113" i="3"/>
  <c r="E158" i="3"/>
  <c r="E287" i="3"/>
  <c r="E308" i="3"/>
  <c r="E326" i="3"/>
  <c r="E22" i="3"/>
  <c r="E83" i="3"/>
  <c r="E501" i="3"/>
  <c r="E567" i="3"/>
  <c r="E124" i="3"/>
  <c r="E511" i="3"/>
  <c r="E402" i="3"/>
  <c r="E244" i="3"/>
  <c r="E236" i="3"/>
  <c r="E77" i="3"/>
  <c r="E107" i="3"/>
  <c r="Z6" i="3"/>
  <c r="E442" i="3"/>
  <c r="E414" i="3"/>
  <c r="E345" i="3"/>
  <c r="E557" i="3"/>
  <c r="E517" i="3"/>
  <c r="E444" i="3"/>
  <c r="E496" i="3"/>
  <c r="E479" i="3"/>
  <c r="E88" i="3"/>
  <c r="E73" i="3"/>
  <c r="E152" i="3"/>
  <c r="E166" i="3"/>
  <c r="E256" i="3"/>
  <c r="E241" i="3"/>
  <c r="E316" i="3"/>
  <c r="E394" i="3"/>
  <c r="E389" i="3"/>
  <c r="E30" i="3"/>
  <c r="E32" i="3"/>
  <c r="E462" i="3"/>
  <c r="E467" i="3"/>
  <c r="E65" i="3"/>
  <c r="E195" i="3"/>
  <c r="E248" i="3"/>
  <c r="E266" i="3"/>
  <c r="E386" i="3"/>
  <c r="E522" i="3"/>
  <c r="E66" i="3"/>
  <c r="E67" i="3"/>
  <c r="E49" i="3"/>
  <c r="E127" i="3"/>
  <c r="E233" i="3"/>
  <c r="E370" i="3"/>
  <c r="Y6" i="3"/>
  <c r="H6" i="3" s="1"/>
  <c r="E6" i="3" s="1"/>
  <c r="E63" i="3"/>
  <c r="E81" i="3"/>
  <c r="E118" i="3"/>
  <c r="E264" i="3"/>
  <c r="E283" i="3"/>
  <c r="E309" i="3"/>
  <c r="E513" i="3"/>
  <c r="E21" i="3"/>
  <c r="E508" i="3"/>
  <c r="E347" i="3"/>
  <c r="E336" i="3"/>
  <c r="E353" i="3"/>
  <c r="E536" i="3"/>
  <c r="E306" i="3"/>
  <c r="E159" i="3"/>
  <c r="E122" i="3"/>
  <c r="E204" i="3"/>
  <c r="E575" i="3"/>
  <c r="E515" i="3"/>
  <c r="E485" i="3"/>
  <c r="E449" i="3"/>
  <c r="E556" i="3"/>
  <c r="E554" i="3"/>
  <c r="E429" i="3"/>
  <c r="E491" i="3"/>
  <c r="E404" i="3"/>
  <c r="E55" i="3"/>
  <c r="E37" i="3"/>
  <c r="E121" i="3"/>
  <c r="E203" i="3"/>
  <c r="E192" i="3"/>
  <c r="E295" i="3"/>
  <c r="E274" i="3"/>
  <c r="E363" i="3"/>
  <c r="E334" i="3"/>
  <c r="E580" i="3"/>
  <c r="E76" i="3"/>
  <c r="E480" i="3"/>
  <c r="E15" i="3"/>
  <c r="E98" i="3"/>
  <c r="E495" i="3"/>
  <c r="E207" i="3"/>
  <c r="P6" i="3"/>
  <c r="E450" i="3"/>
  <c r="E57" i="3"/>
  <c r="E210" i="3"/>
  <c r="E31" i="3"/>
  <c r="E78" i="3"/>
  <c r="E220" i="3"/>
  <c r="E383" i="3"/>
  <c r="E35" i="3"/>
  <c r="E33" i="3"/>
  <c r="E250" i="3"/>
  <c r="AF6" i="3"/>
  <c r="E62" i="3"/>
  <c r="E218" i="3"/>
  <c r="E365" i="3"/>
  <c r="E101" i="3"/>
  <c r="E549" i="3"/>
  <c r="E164" i="3"/>
  <c r="E255" i="3"/>
  <c r="E520" i="3"/>
  <c r="E162" i="3"/>
  <c r="E351" i="3"/>
  <c r="E138" i="3"/>
  <c r="E209" i="3"/>
  <c r="E354" i="3"/>
  <c r="E86" i="3"/>
  <c r="E144" i="3"/>
  <c r="E284" i="3"/>
  <c r="E102" i="3"/>
  <c r="E154" i="3"/>
  <c r="E222" i="3"/>
  <c r="E373" i="3"/>
  <c r="E499" i="3"/>
  <c r="E441" i="3"/>
  <c r="E235" i="3"/>
  <c r="E24" i="3"/>
  <c r="E355" i="3"/>
  <c r="E51" i="3"/>
  <c r="E265" i="3"/>
  <c r="E524" i="3"/>
  <c r="E246" i="3"/>
  <c r="E99" i="3"/>
  <c r="E411" i="3"/>
  <c r="AS6" i="3"/>
  <c r="E72" i="3"/>
  <c r="E240" i="3"/>
  <c r="E384" i="3"/>
  <c r="E455" i="3"/>
  <c r="E163" i="3"/>
  <c r="E307" i="3"/>
  <c r="E23" i="3"/>
  <c r="E48" i="3"/>
  <c r="E232" i="3"/>
  <c r="E381" i="3"/>
  <c r="E19" i="3"/>
  <c r="E179" i="3"/>
  <c r="E323" i="3"/>
  <c r="E82" i="3"/>
  <c r="E110" i="3"/>
  <c r="E530" i="3"/>
  <c r="AA6" i="3"/>
  <c r="E296" i="3"/>
  <c r="AP6" i="3"/>
  <c r="E447" i="3"/>
  <c r="E150" i="3"/>
  <c r="E378" i="3"/>
  <c r="E190" i="3"/>
  <c r="E492" i="3"/>
  <c r="E206" i="3"/>
  <c r="E176" i="3"/>
  <c r="E14" i="3"/>
  <c r="F71" i="15"/>
  <c r="F50" i="15"/>
  <c r="C49" i="15" s="1"/>
  <c r="M7" i="15"/>
  <c r="J6" i="15" s="1"/>
  <c r="J18" i="15" s="1"/>
  <c r="C6" i="15"/>
  <c r="C33" i="15" s="1"/>
  <c r="M6" i="1"/>
  <c r="AP6" i="1"/>
  <c r="H16" i="1"/>
  <c r="G16" i="1"/>
  <c r="Q16" i="1"/>
  <c r="C47" i="39"/>
  <c r="C48" i="39"/>
  <c r="L19" i="6"/>
  <c r="L27" i="6" s="1"/>
  <c r="K15" i="1"/>
  <c r="G102" i="43"/>
  <c r="G107" i="43"/>
  <c r="G106" i="43"/>
  <c r="G105" i="43"/>
  <c r="G109" i="43"/>
  <c r="G103" i="43"/>
  <c r="G104" i="43"/>
  <c r="F107" i="43"/>
  <c r="F104" i="43"/>
  <c r="F102" i="43"/>
  <c r="F109" i="43"/>
  <c r="F103" i="43"/>
  <c r="F105" i="43"/>
  <c r="F106" i="43"/>
  <c r="E28" i="6"/>
  <c r="F30" i="6"/>
  <c r="I104" i="43"/>
  <c r="I105" i="43"/>
  <c r="I106" i="43"/>
  <c r="I109" i="43"/>
  <c r="I102" i="43"/>
  <c r="I103" i="43"/>
  <c r="I107" i="43"/>
  <c r="K104" i="43"/>
  <c r="K109" i="43"/>
  <c r="K107" i="43"/>
  <c r="K102" i="43"/>
  <c r="K103" i="43"/>
  <c r="K106" i="43"/>
  <c r="K105" i="43"/>
  <c r="B115" i="43"/>
  <c r="I118" i="43"/>
  <c r="J118" i="43" s="1"/>
  <c r="K118" i="43" s="1"/>
  <c r="L118" i="43" s="1"/>
  <c r="M118" i="43" s="1"/>
  <c r="D115" i="43"/>
  <c r="E115" i="43" s="1"/>
  <c r="F115" i="43" s="1"/>
  <c r="G115" i="43" s="1"/>
  <c r="H115" i="43" s="1"/>
  <c r="D116" i="43"/>
  <c r="E116" i="43" s="1"/>
  <c r="F116" i="43" s="1"/>
  <c r="G116" i="43" s="1"/>
  <c r="H116" i="43" s="1"/>
  <c r="G118" i="43"/>
  <c r="H118" i="43" s="1"/>
  <c r="B118" i="43"/>
  <c r="C118" i="43" s="1"/>
  <c r="B117" i="43"/>
  <c r="C117" i="43" s="1"/>
  <c r="D117" i="43"/>
  <c r="E117" i="43" s="1"/>
  <c r="F117" i="43" s="1"/>
  <c r="G117" i="43" s="1"/>
  <c r="H117" i="43" s="1"/>
  <c r="D118" i="43"/>
  <c r="E118" i="43" s="1"/>
  <c r="F118" i="43" s="1"/>
  <c r="I117" i="43"/>
  <c r="J117" i="43" s="1"/>
  <c r="K117" i="43" s="1"/>
  <c r="L117" i="43" s="1"/>
  <c r="M117" i="43" s="1"/>
  <c r="I116" i="43"/>
  <c r="J116" i="43" s="1"/>
  <c r="K116" i="43" s="1"/>
  <c r="L116" i="43" s="1"/>
  <c r="M116" i="43" s="1"/>
  <c r="I115" i="43"/>
  <c r="J115" i="43" s="1"/>
  <c r="K115" i="43" s="1"/>
  <c r="L115" i="43" s="1"/>
  <c r="M115" i="43" s="1"/>
  <c r="B116" i="43"/>
  <c r="C116" i="43" s="1"/>
  <c r="E102" i="43"/>
  <c r="E103" i="43"/>
  <c r="E104" i="43"/>
  <c r="E105" i="43"/>
  <c r="E109" i="43"/>
  <c r="E107" i="43"/>
  <c r="E106" i="43"/>
  <c r="C43" i="40"/>
  <c r="C42" i="40"/>
  <c r="N106" i="43"/>
  <c r="N104" i="43"/>
  <c r="N102" i="43"/>
  <c r="N103" i="43"/>
  <c r="N107" i="43"/>
  <c r="N105" i="43"/>
  <c r="N109" i="43"/>
  <c r="H102" i="43"/>
  <c r="H104" i="43"/>
  <c r="H107" i="43"/>
  <c r="H105" i="43"/>
  <c r="H106" i="43"/>
  <c r="H103" i="43"/>
  <c r="H109" i="43"/>
  <c r="M106" i="43"/>
  <c r="M109" i="43"/>
  <c r="M107" i="43"/>
  <c r="M104" i="43"/>
  <c r="M102" i="43"/>
  <c r="M103" i="43"/>
  <c r="M105" i="43"/>
  <c r="G30" i="6"/>
  <c r="G31" i="6" s="1"/>
  <c r="BA5" i="3"/>
  <c r="AZ14" i="3"/>
  <c r="AZ5" i="3" s="1"/>
  <c r="E10" i="6"/>
  <c r="E14" i="6"/>
  <c r="E8" i="6"/>
  <c r="E13" i="6"/>
  <c r="E12" i="6"/>
  <c r="E15" i="6"/>
  <c r="C9" i="68"/>
  <c r="E11" i="6"/>
  <c r="C104" i="43"/>
  <c r="C106" i="43"/>
  <c r="C105" i="43"/>
  <c r="C102" i="43"/>
  <c r="C103" i="43"/>
  <c r="C107" i="43"/>
  <c r="C109" i="43"/>
  <c r="L109" i="43"/>
  <c r="L106" i="43"/>
  <c r="L103" i="43"/>
  <c r="L105" i="43"/>
  <c r="L104" i="43"/>
  <c r="L107" i="43"/>
  <c r="L102" i="43"/>
  <c r="J106" i="43"/>
  <c r="J107" i="43"/>
  <c r="J103" i="43"/>
  <c r="J109" i="43"/>
  <c r="J102" i="43"/>
  <c r="J104" i="43"/>
  <c r="J105" i="43"/>
  <c r="D22" i="43"/>
  <c r="C21" i="43" s="1"/>
  <c r="D106" i="43"/>
  <c r="D103" i="43"/>
  <c r="D107" i="43"/>
  <c r="D104" i="43"/>
  <c r="D105" i="43"/>
  <c r="D109" i="43"/>
  <c r="D102" i="43"/>
  <c r="AA26" i="21"/>
  <c r="R48" i="21" s="1"/>
  <c r="AC26" i="21"/>
  <c r="V48" i="21" s="1"/>
  <c r="I48" i="21" s="1"/>
  <c r="I52" i="21" s="1"/>
  <c r="J52" i="21" s="1"/>
  <c r="U27" i="21"/>
  <c r="T48" i="21"/>
  <c r="G48" i="21" s="1"/>
  <c r="G52" i="21" s="1"/>
  <c r="H52" i="21" s="1"/>
  <c r="Q74" i="15"/>
  <c r="Q61" i="15"/>
  <c r="F1" i="15"/>
  <c r="Q52" i="15"/>
  <c r="Q61" i="67"/>
  <c r="Q74" i="67"/>
  <c r="F1" i="67"/>
  <c r="Q52" i="67"/>
  <c r="O28" i="43"/>
  <c r="G20" i="43" s="1"/>
  <c r="N28" i="43"/>
  <c r="M28" i="43"/>
  <c r="P28" i="43"/>
  <c r="L56" i="15"/>
  <c r="Q57" i="15"/>
  <c r="Q66" i="15"/>
  <c r="F22" i="68"/>
  <c r="F25" i="12"/>
  <c r="F22" i="11"/>
  <c r="F24" i="67"/>
  <c r="C24" i="67" s="1"/>
  <c r="F24" i="15"/>
  <c r="C24" i="15" s="1"/>
  <c r="F22" i="69"/>
  <c r="F11" i="15"/>
  <c r="C53" i="15" s="1"/>
  <c r="M11" i="67"/>
  <c r="J10" i="67" s="1"/>
  <c r="M11" i="15"/>
  <c r="F11" i="67"/>
  <c r="Q73" i="15"/>
  <c r="Q60" i="15"/>
  <c r="Q60" i="67"/>
  <c r="Q73" i="67"/>
  <c r="C49" i="67"/>
  <c r="C36" i="69"/>
  <c r="C16" i="15"/>
  <c r="AE6" i="1"/>
  <c r="J5" i="67" l="1"/>
  <c r="J24" i="67" s="1"/>
  <c r="C48" i="15"/>
  <c r="C60" i="15" s="1"/>
  <c r="C32" i="15"/>
  <c r="F27" i="11"/>
  <c r="F28" i="12"/>
  <c r="C29" i="12" s="1"/>
  <c r="D28" i="12" s="1"/>
  <c r="F27" i="68"/>
  <c r="C36" i="11"/>
  <c r="C36" i="68"/>
  <c r="J10" i="15"/>
  <c r="J5" i="15" s="1"/>
  <c r="J26" i="15" s="1"/>
  <c r="H10" i="40"/>
  <c r="F10" i="39"/>
  <c r="J10" i="39"/>
  <c r="F10" i="40"/>
  <c r="J10" i="40"/>
  <c r="H10" i="39"/>
  <c r="S3" i="43"/>
  <c r="S6" i="43"/>
  <c r="S7" i="43"/>
  <c r="S5" i="43"/>
  <c r="S2" i="43"/>
  <c r="C23" i="43"/>
  <c r="S4" i="43"/>
  <c r="B59" i="39"/>
  <c r="F59" i="39" s="1"/>
  <c r="B62" i="39"/>
  <c r="B65" i="39"/>
  <c r="B61" i="39"/>
  <c r="B60" i="39"/>
  <c r="F60" i="39" s="1"/>
  <c r="B56" i="39"/>
  <c r="B64" i="39"/>
  <c r="B63" i="39"/>
  <c r="B58" i="39"/>
  <c r="F58" i="39" s="1"/>
  <c r="B57" i="39"/>
  <c r="F57" i="39" s="1"/>
  <c r="E63" i="39"/>
  <c r="E58" i="40"/>
  <c r="E60" i="40"/>
  <c r="E65" i="39"/>
  <c r="F65" i="39" s="1"/>
  <c r="E59" i="40"/>
  <c r="E64" i="39"/>
  <c r="E57" i="40"/>
  <c r="E62" i="39"/>
  <c r="F62" i="39" s="1"/>
  <c r="AY6" i="3"/>
  <c r="E3" i="6"/>
  <c r="C115" i="43"/>
  <c r="D113" i="43" s="1"/>
  <c r="E30" i="6"/>
  <c r="K14" i="1"/>
  <c r="E61" i="39"/>
  <c r="F61" i="39" s="1"/>
  <c r="E56" i="40"/>
  <c r="E56" i="39"/>
  <c r="F27" i="6"/>
  <c r="F31" i="6" s="1"/>
  <c r="E51" i="40"/>
  <c r="E16" i="6"/>
  <c r="B55" i="40"/>
  <c r="F55" i="40" s="1"/>
  <c r="B56" i="40"/>
  <c r="B58" i="40"/>
  <c r="F58" i="40" s="1"/>
  <c r="B60" i="40"/>
  <c r="B54" i="40"/>
  <c r="F54" i="40" s="1"/>
  <c r="B53" i="40"/>
  <c r="F53" i="40" s="1"/>
  <c r="B59" i="40"/>
  <c r="F59" i="40" s="1"/>
  <c r="B51" i="40"/>
  <c r="B57" i="40"/>
  <c r="B52" i="40"/>
  <c r="F52" i="40" s="1"/>
  <c r="G53" i="21"/>
  <c r="H53" i="21" s="1"/>
  <c r="R49" i="21"/>
  <c r="C48" i="21" s="1"/>
  <c r="E48" i="21"/>
  <c r="E52" i="21" s="1"/>
  <c r="F52" i="21" s="1"/>
  <c r="C20" i="43"/>
  <c r="E41" i="43"/>
  <c r="C41" i="43" s="1"/>
  <c r="J26" i="67"/>
  <c r="C44" i="11"/>
  <c r="D41" i="11" s="1"/>
  <c r="C23" i="11"/>
  <c r="C26" i="11"/>
  <c r="D22" i="11" s="1"/>
  <c r="C10" i="67"/>
  <c r="C5" i="67" s="1"/>
  <c r="C53" i="67"/>
  <c r="C48" i="67" s="1"/>
  <c r="C10" i="15"/>
  <c r="C5" i="15" s="1"/>
  <c r="C44" i="69"/>
  <c r="D41" i="69" s="1"/>
  <c r="C26" i="69"/>
  <c r="D22" i="69" s="1"/>
  <c r="C26" i="12"/>
  <c r="D25" i="12" s="1"/>
  <c r="C24" i="68"/>
  <c r="C44" i="68"/>
  <c r="D41" i="68" s="1"/>
  <c r="C26" i="68"/>
  <c r="D22" i="68" s="1"/>
  <c r="F27" i="69"/>
  <c r="F41" i="67"/>
  <c r="F41" i="15"/>
  <c r="F64" i="39" l="1"/>
  <c r="L18" i="79"/>
  <c r="M18" i="79"/>
  <c r="B118" i="79" s="1"/>
  <c r="E27" i="6"/>
  <c r="F69" i="67"/>
  <c r="J29" i="67"/>
  <c r="C66" i="15"/>
  <c r="J24" i="15"/>
  <c r="C47" i="69"/>
  <c r="D45" i="69" s="1"/>
  <c r="C29" i="69"/>
  <c r="D27" i="69" s="1"/>
  <c r="U10" i="39"/>
  <c r="AB10" i="39"/>
  <c r="AA10" i="39"/>
  <c r="S10" i="39"/>
  <c r="C47" i="11"/>
  <c r="D45" i="11" s="1"/>
  <c r="C29" i="11"/>
  <c r="D27" i="11" s="1"/>
  <c r="F57" i="40"/>
  <c r="F63" i="39"/>
  <c r="S10" i="40"/>
  <c r="AA10" i="40"/>
  <c r="AC10" i="39"/>
  <c r="W10" i="39"/>
  <c r="F56" i="40"/>
  <c r="AC10" i="40"/>
  <c r="W10" i="40"/>
  <c r="U10" i="40"/>
  <c r="AB10" i="40"/>
  <c r="C29" i="68"/>
  <c r="D27" i="68" s="1"/>
  <c r="C47" i="68"/>
  <c r="D45" i="68" s="1"/>
  <c r="F51" i="40"/>
  <c r="F60" i="40"/>
  <c r="E66" i="39"/>
  <c r="F56" i="39"/>
  <c r="F66" i="39" s="1"/>
  <c r="B2" i="39" s="1"/>
  <c r="B3" i="39" s="1"/>
  <c r="M18" i="9"/>
  <c r="B118" i="9" s="1"/>
  <c r="B14" i="74" s="1"/>
  <c r="B1" i="74" s="1"/>
  <c r="C17" i="4"/>
  <c r="B4" i="52" s="1"/>
  <c r="B43" i="72" s="1"/>
  <c r="L18" i="9"/>
  <c r="D19" i="11"/>
  <c r="C19" i="11" s="1"/>
  <c r="D37" i="11"/>
  <c r="C37" i="11" s="1"/>
  <c r="D3" i="33"/>
  <c r="B2" i="33" s="1"/>
  <c r="B3" i="33" s="1"/>
  <c r="D3" i="34"/>
  <c r="B2" i="34" s="1"/>
  <c r="B3" i="34" s="1"/>
  <c r="D14" i="12"/>
  <c r="D3" i="37"/>
  <c r="B2" i="37" s="1"/>
  <c r="B3" i="37" s="1"/>
  <c r="E6" i="6"/>
  <c r="K16" i="1"/>
  <c r="M14" i="1"/>
  <c r="AY87" i="3"/>
  <c r="AY51" i="3"/>
  <c r="AY34" i="3"/>
  <c r="AY207" i="3"/>
  <c r="AY144" i="3"/>
  <c r="D3" i="6"/>
  <c r="AY98" i="3"/>
  <c r="AY66" i="3"/>
  <c r="AY196"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103" i="3"/>
  <c r="AY50" i="3"/>
  <c r="AY176" i="3"/>
  <c r="AY124" i="3"/>
  <c r="AY59" i="3"/>
  <c r="AY183" i="3"/>
  <c r="AY281" i="3"/>
  <c r="AY58" i="3"/>
  <c r="AY284" i="3"/>
  <c r="AY236" i="3"/>
  <c r="AY371" i="3"/>
  <c r="AY319" i="3"/>
  <c r="AY473" i="3"/>
  <c r="AY428" i="3"/>
  <c r="AY497" i="3"/>
  <c r="AY26" i="3"/>
  <c r="AY245" i="3"/>
  <c r="AY212" i="3"/>
  <c r="AY372" i="3"/>
  <c r="AY342" i="3"/>
  <c r="AY478" i="3"/>
  <c r="AY420" i="3"/>
  <c r="AY513" i="3"/>
  <c r="AY573" i="3"/>
  <c r="AY533" i="3"/>
  <c r="AY553" i="3"/>
  <c r="AY100" i="3"/>
  <c r="AY61"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3" i="3"/>
  <c r="AY18" i="3"/>
  <c r="AY160" i="3"/>
  <c r="AY115" i="3"/>
  <c r="AY74" i="3"/>
  <c r="AY152" i="3"/>
  <c r="AY276" i="3"/>
  <c r="AY204" i="3"/>
  <c r="AY253" i="3"/>
  <c r="AY225" i="3"/>
  <c r="AY363" i="3"/>
  <c r="AY303" i="3"/>
  <c r="AY470" i="3"/>
  <c r="AY412" i="3"/>
  <c r="AY529" i="3"/>
  <c r="AY180" i="3"/>
  <c r="AY229" i="3"/>
  <c r="AY217" i="3"/>
  <c r="AY358" i="3"/>
  <c r="AY326" i="3"/>
  <c r="AY463" i="3"/>
  <c r="AY433" i="3"/>
  <c r="AY557" i="3"/>
  <c r="AY544" i="3"/>
  <c r="AY541" i="3"/>
  <c r="AY105" i="3"/>
  <c r="AY92" i="3"/>
  <c r="AY45" i="3"/>
  <c r="AY52" i="3"/>
  <c r="AY20" i="3"/>
  <c r="AY198" i="3"/>
  <c r="AY193" i="3"/>
  <c r="AY162" i="3"/>
  <c r="AY173" i="3"/>
  <c r="AY23" i="3"/>
  <c r="AY289" i="3"/>
  <c r="AY131" i="3"/>
  <c r="AY168" i="3"/>
  <c r="AY209" i="3"/>
  <c r="AY318" i="3"/>
  <c r="AY441" i="3"/>
  <c r="AY116" i="3"/>
  <c r="AY395" i="3"/>
  <c r="AY310" i="3"/>
  <c r="AY417" i="3"/>
  <c r="AY569" i="3"/>
  <c r="AY97" i="3"/>
  <c r="AY84" i="3"/>
  <c r="AY33" i="3"/>
  <c r="AY185" i="3"/>
  <c r="AY165" i="3"/>
  <c r="AY126" i="3"/>
  <c r="AY291" i="3"/>
  <c r="AY278" i="3"/>
  <c r="AY239" i="3"/>
  <c r="AY238" i="3"/>
  <c r="AY219" i="3"/>
  <c r="AY389" i="3"/>
  <c r="AY368" i="3"/>
  <c r="BH6" i="3"/>
  <c r="AY93" i="3"/>
  <c r="AY72" i="3"/>
  <c r="AY202" i="3"/>
  <c r="AY150" i="3"/>
  <c r="AY121" i="3"/>
  <c r="AY259" i="3"/>
  <c r="AY226" i="3"/>
  <c r="AY370" i="3"/>
  <c r="AY333" i="3"/>
  <c r="AY340" i="3"/>
  <c r="AY483" i="3"/>
  <c r="AY472" i="3"/>
  <c r="AY454" i="3"/>
  <c r="AY406" i="3"/>
  <c r="AY411" i="3"/>
  <c r="AY525" i="3"/>
  <c r="AY572" i="3"/>
  <c r="AY571" i="3"/>
  <c r="AY518" i="3"/>
  <c r="AY543" i="3"/>
  <c r="AY494" i="3"/>
  <c r="AY577" i="3"/>
  <c r="AY81" i="3"/>
  <c r="AY48" i="3"/>
  <c r="AY205" i="3"/>
  <c r="AY153" i="3"/>
  <c r="AY287" i="3"/>
  <c r="AY235" i="3"/>
  <c r="AY396" i="3"/>
  <c r="AY364" i="3"/>
  <c r="AY321" i="3"/>
  <c r="AY320" i="3"/>
  <c r="AY471" i="3"/>
  <c r="AY461" i="3"/>
  <c r="AY434" i="3"/>
  <c r="AY439" i="3"/>
  <c r="AY399" i="3"/>
  <c r="AY538" i="3"/>
  <c r="AY575" i="3"/>
  <c r="AY509" i="3"/>
  <c r="AY570" i="3"/>
  <c r="AY563" i="3"/>
  <c r="AY94" i="3"/>
  <c r="AY46" i="3"/>
  <c r="AY203" i="3"/>
  <c r="AY167" i="3"/>
  <c r="AY285" i="3"/>
  <c r="AY233" i="3"/>
  <c r="AY221" i="3"/>
  <c r="AY362" i="3"/>
  <c r="AY330" i="3"/>
  <c r="AY466" i="3"/>
  <c r="AY437" i="3"/>
  <c r="AY13" i="3"/>
  <c r="AY512" i="3"/>
  <c r="AY91" i="3"/>
  <c r="AY39" i="3"/>
  <c r="AY27" i="3"/>
  <c r="AY148" i="3"/>
  <c r="AY136" i="3"/>
  <c r="AY273" i="3"/>
  <c r="AY224" i="3"/>
  <c r="AY375" i="3"/>
  <c r="AY323" i="3"/>
  <c r="AY490" i="3"/>
  <c r="AY432" i="3"/>
  <c r="AY550" i="3"/>
  <c r="AY511" i="3"/>
  <c r="AY567" i="3"/>
  <c r="AY191" i="3"/>
  <c r="AY95" i="3"/>
  <c r="AY123" i="3"/>
  <c r="AY297" i="3"/>
  <c r="AY382" i="3"/>
  <c r="AY489" i="3"/>
  <c r="AY409" i="3"/>
  <c r="AY300" i="3"/>
  <c r="AY379" i="3"/>
  <c r="AY465" i="3"/>
  <c r="AY401" i="3"/>
  <c r="AY540" i="3"/>
  <c r="AY108" i="3"/>
  <c r="AY76" i="3"/>
  <c r="AY25" i="3"/>
  <c r="AY178" i="3"/>
  <c r="AY157" i="3"/>
  <c r="AY134" i="3"/>
  <c r="AY283" i="3"/>
  <c r="AY271" i="3"/>
  <c r="AY270" i="3"/>
  <c r="AY230" i="3"/>
  <c r="AY211" i="3"/>
  <c r="AY373" i="3"/>
  <c r="AY360" i="3"/>
  <c r="BI6" i="3"/>
  <c r="AY88" i="3"/>
  <c r="AY56" i="3"/>
  <c r="AY186" i="3"/>
  <c r="AY161" i="3"/>
  <c r="AY295" i="3"/>
  <c r="AY243" i="3"/>
  <c r="AY215" i="3"/>
  <c r="AY353" i="3"/>
  <c r="AY325" i="3"/>
  <c r="AY324" i="3"/>
  <c r="AY475" i="3"/>
  <c r="AY464" i="3"/>
  <c r="AY438" i="3"/>
  <c r="AY398" i="3"/>
  <c r="AY403" i="3"/>
  <c r="AY580" i="3"/>
  <c r="AY534" i="3"/>
  <c r="AY527" i="3"/>
  <c r="AY552" i="3"/>
  <c r="AY501" i="3"/>
  <c r="AY556" i="3"/>
  <c r="AY523" i="3"/>
  <c r="AY65" i="3"/>
  <c r="AY32" i="3"/>
  <c r="AY174" i="3"/>
  <c r="AY137" i="3"/>
  <c r="AY298" i="3"/>
  <c r="AY250" i="3"/>
  <c r="AY380" i="3"/>
  <c r="AY352" i="3"/>
  <c r="AY305" i="3"/>
  <c r="AY312" i="3"/>
  <c r="AY492" i="3"/>
  <c r="AY445" i="3"/>
  <c r="AY426" i="3"/>
  <c r="AY431" i="3"/>
  <c r="AY505" i="3"/>
  <c r="AY14" i="3"/>
  <c r="AY502" i="3"/>
  <c r="AY542" i="3"/>
  <c r="AY548" i="3"/>
  <c r="BA6" i="3"/>
  <c r="AY63" i="3"/>
  <c r="AY30" i="3"/>
  <c r="AY187" i="3"/>
  <c r="AY135" i="3"/>
  <c r="AY296" i="3"/>
  <c r="AY264" i="3"/>
  <c r="AY378" i="3"/>
  <c r="AY347" i="3"/>
  <c r="AY314" i="3"/>
  <c r="AY456" i="3"/>
  <c r="AY421" i="3"/>
  <c r="AY517" i="3"/>
  <c r="BL6" i="3"/>
  <c r="AY102" i="3"/>
  <c r="AY70" i="3"/>
  <c r="AY184" i="3"/>
  <c r="AY175" i="3"/>
  <c r="AY119" i="3"/>
  <c r="AY241" i="3"/>
  <c r="AY208" i="3"/>
  <c r="AY367" i="3"/>
  <c r="AY338" i="3"/>
  <c r="AY474" i="3"/>
  <c r="AY416" i="3"/>
  <c r="BD6" i="3"/>
  <c r="AY583" i="3"/>
  <c r="AY498" i="3"/>
  <c r="AY67" i="3"/>
  <c r="AY155" i="3"/>
  <c r="AY42" i="3"/>
  <c r="AY261" i="3"/>
  <c r="AY268" i="3"/>
  <c r="AY139" i="3"/>
  <c r="AY366" i="3"/>
  <c r="AY106" i="3"/>
  <c r="AY343" i="3"/>
  <c r="AY549" i="3"/>
  <c r="AY77" i="3"/>
  <c r="AY190" i="3"/>
  <c r="AY141" i="3"/>
  <c r="AY302" i="3"/>
  <c r="AY262" i="3"/>
  <c r="AY384" i="3"/>
  <c r="BS6" i="3"/>
  <c r="AY73" i="3"/>
  <c r="AY181" i="3"/>
  <c r="AY279" i="3"/>
  <c r="AY388" i="3"/>
  <c r="AY309" i="3"/>
  <c r="AY467" i="3"/>
  <c r="AY430" i="3"/>
  <c r="AY503" i="3"/>
  <c r="BN6" i="3"/>
  <c r="BG6" i="3"/>
  <c r="AY496" i="3"/>
  <c r="AY49" i="3"/>
  <c r="AY158" i="3"/>
  <c r="AY267" i="3"/>
  <c r="AY385" i="3"/>
  <c r="AY344" i="3"/>
  <c r="AY476" i="3"/>
  <c r="AY418" i="3"/>
  <c r="AY506" i="3"/>
  <c r="AY565" i="3"/>
  <c r="AY531" i="3"/>
  <c r="AY47" i="3"/>
  <c r="AY156" i="3"/>
  <c r="AY280" i="3"/>
  <c r="AY383" i="3"/>
  <c r="AY469" i="3"/>
  <c r="AY405" i="3"/>
  <c r="AY576" i="3"/>
  <c r="AY38" i="3"/>
  <c r="AY159" i="3"/>
  <c r="AY272" i="3"/>
  <c r="AY354" i="3"/>
  <c r="AY459" i="3"/>
  <c r="AY15" i="3"/>
  <c r="BR6" i="3"/>
  <c r="AY188" i="3"/>
  <c r="AY335" i="3"/>
  <c r="AY43" i="3"/>
  <c r="AY327" i="3"/>
  <c r="BK6" i="3"/>
  <c r="AY69" i="3"/>
  <c r="AY182" i="3"/>
  <c r="AY133" i="3"/>
  <c r="AY286" i="3"/>
  <c r="AY254" i="3"/>
  <c r="AY397" i="3"/>
  <c r="AY507" i="3"/>
  <c r="AY57" i="3"/>
  <c r="AY166" i="3"/>
  <c r="AY275" i="3"/>
  <c r="AY393" i="3"/>
  <c r="AY348" i="3"/>
  <c r="AY480" i="3"/>
  <c r="AY422" i="3"/>
  <c r="BQ6" i="3"/>
  <c r="AY536" i="3"/>
  <c r="AY559" i="3"/>
  <c r="AY582" i="3"/>
  <c r="AY64" i="3"/>
  <c r="AY142" i="3"/>
  <c r="AY251" i="3"/>
  <c r="AY361" i="3"/>
  <c r="AY336" i="3"/>
  <c r="AY468" i="3"/>
  <c r="AY402" i="3"/>
  <c r="AY17" i="3"/>
  <c r="AY537" i="3"/>
  <c r="AY578" i="3"/>
  <c r="AY78" i="3"/>
  <c r="AY140" i="3"/>
  <c r="AY249" i="3"/>
  <c r="AY376" i="3"/>
  <c r="AY482" i="3"/>
  <c r="AY558" i="3"/>
  <c r="AY587" i="3"/>
  <c r="AY22" i="3"/>
  <c r="AY128" i="3"/>
  <c r="AY256" i="3"/>
  <c r="AY339" i="3"/>
  <c r="AY448" i="3"/>
  <c r="BC6" i="3"/>
  <c r="AY111" i="3"/>
  <c r="AY455" i="3"/>
  <c r="AY260" i="3"/>
  <c r="AY452" i="3"/>
  <c r="AY539" i="3"/>
  <c r="AY44" i="3"/>
  <c r="AY154" i="3"/>
  <c r="AY125" i="3"/>
  <c r="AY255" i="3"/>
  <c r="AY222" i="3"/>
  <c r="AY374" i="3"/>
  <c r="BB6" i="3"/>
  <c r="AY40" i="3"/>
  <c r="AY145" i="3"/>
  <c r="AY258" i="3"/>
  <c r="AY356" i="3"/>
  <c r="AY316" i="3"/>
  <c r="AY449" i="3"/>
  <c r="AY435" i="3"/>
  <c r="AY585" i="3"/>
  <c r="AY520" i="3"/>
  <c r="AY508" i="3"/>
  <c r="AY101" i="3"/>
  <c r="AY21" i="3"/>
  <c r="AY122" i="3"/>
  <c r="AY234" i="3"/>
  <c r="AY337" i="3"/>
  <c r="AY304" i="3"/>
  <c r="AY458" i="3"/>
  <c r="AY415" i="3"/>
  <c r="AY564" i="3"/>
  <c r="AY530" i="3"/>
  <c r="AY99" i="3"/>
  <c r="AY35" i="3"/>
  <c r="AY120" i="3"/>
  <c r="AY232" i="3"/>
  <c r="AY331" i="3"/>
  <c r="AY440" i="3"/>
  <c r="AY560" i="3"/>
  <c r="AY86" i="3"/>
  <c r="AY195" i="3"/>
  <c r="AY277" i="3"/>
  <c r="AY213" i="3"/>
  <c r="AY322" i="3"/>
  <c r="AY429" i="3"/>
  <c r="AY504" i="3"/>
  <c r="AY82" i="3"/>
  <c r="AY252" i="3"/>
  <c r="AY460" i="3"/>
  <c r="AY228" i="3"/>
  <c r="AY436" i="3"/>
  <c r="BE6" i="3"/>
  <c r="AY36" i="3"/>
  <c r="AY146" i="3"/>
  <c r="AY117" i="3"/>
  <c r="AY247" i="3"/>
  <c r="AY227" i="3"/>
  <c r="AY365" i="3"/>
  <c r="AY109" i="3"/>
  <c r="AY29" i="3"/>
  <c r="AY130" i="3"/>
  <c r="AY242" i="3"/>
  <c r="AY341" i="3"/>
  <c r="AY308" i="3"/>
  <c r="AY462" i="3"/>
  <c r="AY419" i="3"/>
  <c r="AY516" i="3"/>
  <c r="AY495" i="3"/>
  <c r="AY532" i="3"/>
  <c r="AY112" i="3"/>
  <c r="AY194" i="3"/>
  <c r="AY113" i="3"/>
  <c r="AY218" i="3"/>
  <c r="AY329" i="3"/>
  <c r="AY479" i="3"/>
  <c r="AY450" i="3"/>
  <c r="AY407" i="3"/>
  <c r="AY524" i="3"/>
  <c r="AY110" i="3"/>
  <c r="AY192" i="3"/>
  <c r="AY127" i="3"/>
  <c r="AY216" i="3"/>
  <c r="AY346" i="3"/>
  <c r="AY424" i="3"/>
  <c r="AY528" i="3"/>
  <c r="AY55" i="3"/>
  <c r="AY179" i="3"/>
  <c r="AY288" i="3"/>
  <c r="AY391" i="3"/>
  <c r="AY306" i="3"/>
  <c r="AY413" i="3"/>
  <c r="AY586" i="3"/>
  <c r="C49" i="21"/>
  <c r="I53" i="21"/>
  <c r="J53" i="21" s="1"/>
  <c r="E53" i="21"/>
  <c r="F53" i="21" s="1"/>
  <c r="B3" i="21"/>
  <c r="B2" i="21"/>
  <c r="F69" i="15"/>
  <c r="J29" i="15"/>
  <c r="C60" i="67"/>
  <c r="C66" i="67"/>
  <c r="C38" i="43"/>
  <c r="C39" i="43"/>
  <c r="C38" i="67"/>
  <c r="C38" i="15"/>
  <c r="C33" i="43"/>
  <c r="C35" i="43"/>
  <c r="C37" i="43"/>
  <c r="T3" i="43"/>
  <c r="V3" i="43" s="1"/>
  <c r="T8" i="43"/>
  <c r="V8" i="43" s="1"/>
  <c r="T16" i="43"/>
  <c r="V16" i="43" s="1"/>
  <c r="T9" i="43"/>
  <c r="V9" i="43" s="1"/>
  <c r="T12" i="43"/>
  <c r="V12" i="43" s="1"/>
  <c r="T11" i="43"/>
  <c r="V11" i="43" s="1"/>
  <c r="C29" i="43"/>
  <c r="C6" i="69" s="1"/>
  <c r="C34" i="43"/>
  <c r="C36" i="43"/>
  <c r="T5" i="43"/>
  <c r="V5" i="43" s="1"/>
  <c r="T7" i="43"/>
  <c r="V7" i="43" s="1"/>
  <c r="T6" i="43"/>
  <c r="V6" i="43" s="1"/>
  <c r="T4" i="43"/>
  <c r="V4" i="43" s="1"/>
  <c r="T10" i="43"/>
  <c r="V10" i="43" s="1"/>
  <c r="T15" i="43"/>
  <c r="V15" i="43" s="1"/>
  <c r="T13" i="43"/>
  <c r="V13" i="43" s="1"/>
  <c r="T14" i="43"/>
  <c r="V14" i="43" s="1"/>
  <c r="T2" i="43"/>
  <c r="V2" i="43" s="1"/>
  <c r="C34" i="69"/>
  <c r="C19" i="79"/>
  <c r="C20" i="79"/>
  <c r="C103" i="79" l="1"/>
  <c r="C102" i="79"/>
  <c r="K20" i="6"/>
  <c r="K23" i="6"/>
  <c r="M23" i="6" s="1"/>
  <c r="I23" i="6" s="1"/>
  <c r="S23" i="6" s="1"/>
  <c r="K21" i="6"/>
  <c r="M21" i="6" s="1"/>
  <c r="I21" i="6" s="1"/>
  <c r="S21" i="6" s="1"/>
  <c r="K19" i="6"/>
  <c r="E31" i="6"/>
  <c r="K22" i="6"/>
  <c r="M22" i="6" s="1"/>
  <c r="I22" i="6" s="1"/>
  <c r="S22" i="6" s="1"/>
  <c r="K24" i="6"/>
  <c r="M24" i="6" s="1"/>
  <c r="I24" i="6" s="1"/>
  <c r="S24" i="6" s="1"/>
  <c r="K25" i="6"/>
  <c r="M25" i="6" s="1"/>
  <c r="I25" i="6" s="1"/>
  <c r="S25" i="6" s="1"/>
  <c r="K26" i="6"/>
  <c r="M26" i="6" s="1"/>
  <c r="I26" i="6" s="1"/>
  <c r="S26" i="6" s="1"/>
  <c r="M19" i="79"/>
  <c r="C118" i="79" s="1"/>
  <c r="L19" i="79"/>
  <c r="C21" i="79" s="1"/>
  <c r="D10" i="68"/>
  <c r="D10" i="11"/>
  <c r="C10" i="11" s="1"/>
  <c r="D20" i="12"/>
  <c r="C20" i="12" s="1"/>
  <c r="C18" i="12" s="1"/>
  <c r="M16" i="1"/>
  <c r="C8" i="74"/>
  <c r="C7" i="74"/>
  <c r="C38" i="69"/>
  <c r="C35" i="69"/>
  <c r="M19" i="9"/>
  <c r="C118" i="9" s="1"/>
  <c r="C14" i="74" s="1"/>
  <c r="B2" i="74" s="1"/>
  <c r="D19" i="6"/>
  <c r="C18" i="4"/>
  <c r="D26" i="6"/>
  <c r="D21" i="6"/>
  <c r="D20" i="6"/>
  <c r="D6" i="6"/>
  <c r="D10" i="6"/>
  <c r="D29" i="6"/>
  <c r="H22" i="6"/>
  <c r="H24" i="6"/>
  <c r="D15" i="6"/>
  <c r="D23" i="6"/>
  <c r="D12" i="6"/>
  <c r="D13" i="6"/>
  <c r="E61" i="40"/>
  <c r="F61" i="40" s="1"/>
  <c r="B2" i="40" s="1"/>
  <c r="B3" i="40" s="1"/>
  <c r="D24" i="6"/>
  <c r="D9" i="6"/>
  <c r="H25" i="6"/>
  <c r="L19" i="9"/>
  <c r="D25" i="6"/>
  <c r="D14" i="6"/>
  <c r="D11" i="6"/>
  <c r="D22" i="6"/>
  <c r="H21" i="6"/>
  <c r="D8" i="6"/>
  <c r="D5" i="6"/>
  <c r="D28" i="6"/>
  <c r="H26" i="6"/>
  <c r="D17" i="12"/>
  <c r="C17" i="12" s="1"/>
  <c r="C14" i="12"/>
  <c r="C16" i="12" s="1"/>
  <c r="C20" i="11"/>
  <c r="C25" i="11" s="1"/>
  <c r="C24" i="11"/>
  <c r="J59" i="67"/>
  <c r="J60" i="67" s="1"/>
  <c r="Q48" i="67" s="1"/>
  <c r="C33" i="67"/>
  <c r="E34" i="43"/>
  <c r="G34" i="43"/>
  <c r="I34" i="43" s="1"/>
  <c r="G37" i="43"/>
  <c r="I37" i="43" s="1"/>
  <c r="E37" i="43"/>
  <c r="E29" i="43"/>
  <c r="C30" i="43"/>
  <c r="E30" i="43" s="1"/>
  <c r="E35" i="43"/>
  <c r="G35" i="43"/>
  <c r="I35" i="43" s="1"/>
  <c r="G33" i="43"/>
  <c r="I33" i="43" s="1"/>
  <c r="E33" i="43"/>
  <c r="E39" i="43"/>
  <c r="G39" i="43"/>
  <c r="I39" i="43" s="1"/>
  <c r="E36" i="43"/>
  <c r="G36" i="43"/>
  <c r="I36" i="43" s="1"/>
  <c r="G38" i="43"/>
  <c r="I38" i="43" s="1"/>
  <c r="E38" i="43"/>
  <c r="D10" i="69"/>
  <c r="R22" i="6" l="1"/>
  <c r="H23" i="6"/>
  <c r="M20" i="6"/>
  <c r="I20" i="6" s="1"/>
  <c r="S20" i="6" s="1"/>
  <c r="S7" i="1"/>
  <c r="M19" i="6"/>
  <c r="K27" i="6"/>
  <c r="S6" i="1"/>
  <c r="C22" i="11"/>
  <c r="R25" i="6"/>
  <c r="C21" i="12"/>
  <c r="C22" i="12" s="1"/>
  <c r="C28" i="11"/>
  <c r="C27" i="11" s="1"/>
  <c r="D30" i="6"/>
  <c r="R24" i="6"/>
  <c r="R26" i="6"/>
  <c r="R23" i="6"/>
  <c r="A7" i="51"/>
  <c r="B7" i="72" s="1"/>
  <c r="A10" i="51"/>
  <c r="B9" i="72" s="1"/>
  <c r="C4" i="52"/>
  <c r="B45" i="72" s="1"/>
  <c r="C10" i="69"/>
  <c r="C8" i="69" s="1"/>
  <c r="D19" i="69"/>
  <c r="D27" i="6"/>
  <c r="N16" i="1"/>
  <c r="L16" i="1"/>
  <c r="C34" i="11"/>
  <c r="C34" i="68"/>
  <c r="D16" i="6"/>
  <c r="R21" i="6"/>
  <c r="D7" i="74"/>
  <c r="D8" i="74"/>
  <c r="C10" i="68"/>
  <c r="D19" i="68"/>
  <c r="D37" i="68" s="1"/>
  <c r="C37" i="68" s="1"/>
  <c r="L46" i="67"/>
  <c r="C27" i="43"/>
  <c r="C26" i="43"/>
  <c r="C17" i="15"/>
  <c r="C17" i="67"/>
  <c r="C14" i="67"/>
  <c r="E6" i="76"/>
  <c r="T7" i="1" l="1"/>
  <c r="AR7" i="1"/>
  <c r="AQ7" i="1"/>
  <c r="H20" i="6"/>
  <c r="R20" i="6" s="1"/>
  <c r="R7" i="1" s="1"/>
  <c r="C18" i="67"/>
  <c r="C15" i="67"/>
  <c r="M27" i="6"/>
  <c r="I19" i="6"/>
  <c r="AQ6" i="1"/>
  <c r="S16" i="1"/>
  <c r="E6" i="70"/>
  <c r="E2" i="70" s="1"/>
  <c r="T6" i="1"/>
  <c r="AR6" i="1"/>
  <c r="C31" i="11"/>
  <c r="C30" i="12"/>
  <c r="C28" i="12" s="1"/>
  <c r="C27" i="12"/>
  <c r="C25" i="12" s="1"/>
  <c r="D31" i="6"/>
  <c r="I5" i="6" s="1"/>
  <c r="C35" i="11"/>
  <c r="C38" i="11"/>
  <c r="I6" i="6"/>
  <c r="D37" i="69"/>
  <c r="C37" i="69" s="1"/>
  <c r="C33" i="69" s="1"/>
  <c r="C19" i="69"/>
  <c r="C35" i="68"/>
  <c r="C38" i="68"/>
  <c r="F50" i="68"/>
  <c r="F50" i="11"/>
  <c r="F50" i="69"/>
  <c r="E2" i="76"/>
  <c r="B2" i="43"/>
  <c r="C7" i="69" s="1"/>
  <c r="C14" i="15"/>
  <c r="B6" i="76"/>
  <c r="C19" i="67" l="1"/>
  <c r="C18" i="15"/>
  <c r="C15" i="15"/>
  <c r="T16" i="1"/>
  <c r="C20" i="67"/>
  <c r="C26" i="67" s="1"/>
  <c r="C33" i="11"/>
  <c r="C39" i="11" s="1"/>
  <c r="C43" i="11" s="1"/>
  <c r="S19" i="6"/>
  <c r="S27" i="6" s="1"/>
  <c r="H19" i="6"/>
  <c r="I27" i="6"/>
  <c r="C32" i="12"/>
  <c r="B2" i="12" s="1"/>
  <c r="B3" i="12" s="1"/>
  <c r="C5" i="69"/>
  <c r="C23" i="69" s="1"/>
  <c r="C33" i="68"/>
  <c r="C42" i="68" s="1"/>
  <c r="C42" i="11"/>
  <c r="C39" i="69"/>
  <c r="C43" i="69" s="1"/>
  <c r="C42" i="69"/>
  <c r="C24" i="69"/>
  <c r="B2" i="76"/>
  <c r="B3" i="76" s="1"/>
  <c r="C6" i="68"/>
  <c r="B3" i="43"/>
  <c r="C19" i="15" l="1"/>
  <c r="C20" i="15" s="1"/>
  <c r="C26" i="15" s="1"/>
  <c r="C23" i="67"/>
  <c r="C29" i="67" s="1"/>
  <c r="H27" i="6"/>
  <c r="R19" i="6"/>
  <c r="C39" i="68"/>
  <c r="C46" i="68" s="1"/>
  <c r="C45" i="68" s="1"/>
  <c r="C20" i="69"/>
  <c r="C25" i="69" s="1"/>
  <c r="C22" i="69" s="1"/>
  <c r="C46" i="69"/>
  <c r="C45" i="69" s="1"/>
  <c r="C41" i="11"/>
  <c r="C41" i="69"/>
  <c r="C46" i="11"/>
  <c r="C45" i="11" s="1"/>
  <c r="C7" i="68"/>
  <c r="C5" i="68" s="1"/>
  <c r="C23" i="15" l="1"/>
  <c r="C29" i="15" s="1"/>
  <c r="C57" i="15" s="1"/>
  <c r="C64" i="15" s="1"/>
  <c r="R6" i="1"/>
  <c r="R27" i="6"/>
  <c r="C49" i="11"/>
  <c r="C51" i="11" s="1"/>
  <c r="C52" i="11" s="1"/>
  <c r="B2" i="11" s="1"/>
  <c r="B3" i="11" s="1"/>
  <c r="C36" i="67"/>
  <c r="Q49" i="67"/>
  <c r="J19" i="67"/>
  <c r="C57" i="67"/>
  <c r="J14" i="67"/>
  <c r="C13" i="67"/>
  <c r="C43" i="68"/>
  <c r="C41" i="68" s="1"/>
  <c r="C49" i="68" s="1"/>
  <c r="C51" i="68" s="1"/>
  <c r="C28" i="69"/>
  <c r="C27" i="69" s="1"/>
  <c r="C31" i="69" s="1"/>
  <c r="C49" i="69"/>
  <c r="C51" i="69" s="1"/>
  <c r="C23" i="68"/>
  <c r="C20" i="68"/>
  <c r="C25" i="68" s="1"/>
  <c r="F35" i="15"/>
  <c r="M21" i="67"/>
  <c r="F35" i="67"/>
  <c r="M21" i="15"/>
  <c r="C61" i="15" l="1"/>
  <c r="C13" i="15"/>
  <c r="C75" i="15" s="1"/>
  <c r="J14" i="15"/>
  <c r="J22" i="15" s="1"/>
  <c r="J19" i="15"/>
  <c r="C37" i="15"/>
  <c r="Q49" i="15"/>
  <c r="C36" i="15"/>
  <c r="J20" i="15"/>
  <c r="F63" i="67"/>
  <c r="C62" i="67" s="1"/>
  <c r="C34" i="67"/>
  <c r="C31" i="67" s="1"/>
  <c r="J20" i="67"/>
  <c r="J17" i="67" s="1"/>
  <c r="C34" i="15"/>
  <c r="C31" i="15" s="1"/>
  <c r="F63" i="15"/>
  <c r="C62" i="15" s="1"/>
  <c r="C61" i="67"/>
  <c r="C64" i="67"/>
  <c r="R16" i="1"/>
  <c r="C56" i="67"/>
  <c r="C65" i="67" s="1"/>
  <c r="Q70" i="67"/>
  <c r="C37" i="67"/>
  <c r="C75" i="67"/>
  <c r="J22" i="67"/>
  <c r="J13" i="67"/>
  <c r="J23" i="67" s="1"/>
  <c r="C52" i="69"/>
  <c r="B2" i="69" s="1"/>
  <c r="C56" i="11"/>
  <c r="C57" i="11" s="1"/>
  <c r="C28" i="68"/>
  <c r="C27" i="68" s="1"/>
  <c r="C22" i="68"/>
  <c r="B3" i="69"/>
  <c r="J17" i="15" l="1"/>
  <c r="C59" i="15"/>
  <c r="Q70" i="15"/>
  <c r="C56" i="15"/>
  <c r="C65" i="15" s="1"/>
  <c r="C30" i="15"/>
  <c r="C39" i="15" s="1"/>
  <c r="Q69" i="15" s="1"/>
  <c r="J13" i="15"/>
  <c r="J23" i="15" s="1"/>
  <c r="J16" i="15" s="1"/>
  <c r="J25" i="15" s="1"/>
  <c r="C30" i="67"/>
  <c r="C39" i="67" s="1"/>
  <c r="C80" i="67" s="1"/>
  <c r="C79" i="67" s="1"/>
  <c r="J16" i="67"/>
  <c r="J25" i="67" s="1"/>
  <c r="C59" i="67"/>
  <c r="C58" i="67" s="1"/>
  <c r="C67" i="67" s="1"/>
  <c r="C68" i="67" s="1"/>
  <c r="C71" i="67" s="1"/>
  <c r="C57" i="69"/>
  <c r="C56" i="69" s="1"/>
  <c r="C31" i="68"/>
  <c r="C52" i="68" s="1"/>
  <c r="C57" i="68" s="1"/>
  <c r="C56" i="68" s="1"/>
  <c r="L51" i="15"/>
  <c r="L51" i="67"/>
  <c r="C58" i="15" l="1"/>
  <c r="C67" i="15" s="1"/>
  <c r="C68" i="15" s="1"/>
  <c r="C71" i="15" s="1"/>
  <c r="Q68" i="15"/>
  <c r="Q67" i="15"/>
  <c r="L57" i="15"/>
  <c r="C40" i="15"/>
  <c r="Q65" i="15" s="1"/>
  <c r="Q75" i="15" s="1"/>
  <c r="C80" i="15"/>
  <c r="C79" i="15" s="1"/>
  <c r="C40" i="67"/>
  <c r="Q47" i="67" s="1"/>
  <c r="Q53" i="67" s="1"/>
  <c r="Q69" i="67"/>
  <c r="Q68" i="67" s="1"/>
  <c r="L57" i="67"/>
  <c r="L60" i="67" s="1"/>
  <c r="Q57" i="67" s="1"/>
  <c r="Q67" i="67"/>
  <c r="B2" i="68"/>
  <c r="D2" i="67" l="1"/>
  <c r="B3" i="67" s="1"/>
  <c r="C46" i="15"/>
  <c r="Q56" i="67"/>
  <c r="C43" i="15"/>
  <c r="C83" i="15"/>
  <c r="C82" i="15" s="1"/>
  <c r="Q56" i="15"/>
  <c r="Q62" i="15" s="1"/>
  <c r="B2" i="15"/>
  <c r="Q47" i="15"/>
  <c r="Q53" i="15" s="1"/>
  <c r="C45" i="67"/>
  <c r="C46" i="67" s="1"/>
  <c r="C43" i="67"/>
  <c r="C83" i="67"/>
  <c r="C82" i="67" s="1"/>
  <c r="Q65" i="67"/>
  <c r="Q66" i="67"/>
  <c r="B2" i="67"/>
  <c r="Q62" i="67"/>
  <c r="B3" i="68"/>
  <c r="AO6" i="1"/>
  <c r="D34" i="79"/>
  <c r="D19" i="79"/>
  <c r="D35" i="79"/>
  <c r="D20" i="79"/>
  <c r="D35" i="9"/>
  <c r="D34" i="9"/>
  <c r="Q75" i="67" l="1"/>
  <c r="B6" i="70"/>
  <c r="B2" i="70" s="1"/>
  <c r="B3" i="70" s="1"/>
  <c r="B3" i="15"/>
  <c r="D103" i="79"/>
  <c r="G20" i="79"/>
  <c r="C32" i="79" s="1"/>
  <c r="D21" i="79"/>
  <c r="G19" i="79"/>
  <c r="G21" i="79" s="1"/>
  <c r="D22" i="79"/>
  <c r="D102" i="79"/>
  <c r="I118" i="79" l="1"/>
  <c r="H118" i="79" s="1"/>
  <c r="H101" i="79" s="1"/>
  <c r="D45" i="79" s="1"/>
  <c r="R24" i="31"/>
  <c r="R79" i="31" s="1"/>
  <c r="S79" i="31" s="1"/>
  <c r="C35" i="79"/>
  <c r="G118" i="79" s="1"/>
  <c r="F118" i="79" s="1"/>
  <c r="F119" i="79" s="1"/>
  <c r="R86" i="31" l="1"/>
  <c r="S86" i="31" s="1"/>
  <c r="R39" i="31"/>
  <c r="S39" i="31" s="1"/>
  <c r="R64" i="31"/>
  <c r="S64" i="31" s="1"/>
  <c r="R87" i="31"/>
  <c r="S87" i="31" s="1"/>
  <c r="R41" i="31"/>
  <c r="S41" i="31" s="1"/>
  <c r="R66" i="31"/>
  <c r="S66" i="31" s="1"/>
  <c r="R47" i="31"/>
  <c r="S47" i="31" s="1"/>
  <c r="R46" i="31"/>
  <c r="S46" i="31" s="1"/>
  <c r="R36" i="31"/>
  <c r="S36" i="31" s="1"/>
  <c r="R43" i="31"/>
  <c r="S43" i="31" s="1"/>
  <c r="R51" i="31"/>
  <c r="S51" i="31" s="1"/>
  <c r="R56" i="31"/>
  <c r="S56" i="31" s="1"/>
  <c r="R28" i="31"/>
  <c r="S28" i="31" s="1"/>
  <c r="R91" i="31"/>
  <c r="S91" i="31" s="1"/>
  <c r="R82" i="31"/>
  <c r="S82" i="31" s="1"/>
  <c r="R27" i="31"/>
  <c r="S27" i="31" s="1"/>
  <c r="H102" i="79"/>
  <c r="R81" i="31"/>
  <c r="S81" i="31" s="1"/>
  <c r="R68" i="31"/>
  <c r="S68" i="31" s="1"/>
  <c r="R30" i="31"/>
  <c r="S30" i="31" s="1"/>
  <c r="R62" i="31"/>
  <c r="S62" i="31" s="1"/>
  <c r="R48" i="31"/>
  <c r="S48" i="31" s="1"/>
  <c r="R85" i="31"/>
  <c r="S85" i="31" s="1"/>
  <c r="R35" i="31"/>
  <c r="S35" i="31" s="1"/>
  <c r="R26" i="31"/>
  <c r="S26" i="31" s="1"/>
  <c r="R63" i="31"/>
  <c r="S63" i="31" s="1"/>
  <c r="R60" i="31"/>
  <c r="S60" i="31" s="1"/>
  <c r="R57" i="31"/>
  <c r="S57" i="31" s="1"/>
  <c r="R32" i="31"/>
  <c r="S32" i="31" s="1"/>
  <c r="R45" i="31"/>
  <c r="S45" i="31" s="1"/>
  <c r="R58" i="31"/>
  <c r="S58" i="31" s="1"/>
  <c r="R65" i="31"/>
  <c r="S65" i="31" s="1"/>
  <c r="M48" i="79"/>
  <c r="R88" i="31"/>
  <c r="S88" i="31" s="1"/>
  <c r="R38" i="31"/>
  <c r="S38" i="31" s="1"/>
  <c r="R75" i="31"/>
  <c r="S75" i="31" s="1"/>
  <c r="R37" i="31"/>
  <c r="S37" i="31" s="1"/>
  <c r="R42" i="31"/>
  <c r="S42" i="31" s="1"/>
  <c r="R80" i="31"/>
  <c r="S80" i="31" s="1"/>
  <c r="R44" i="31"/>
  <c r="S44" i="31" s="1"/>
  <c r="R31" i="31"/>
  <c r="S31" i="31" s="1"/>
  <c r="R69" i="31"/>
  <c r="S69" i="31" s="1"/>
  <c r="R77" i="31"/>
  <c r="S77" i="31" s="1"/>
  <c r="R71" i="31"/>
  <c r="S71" i="31" s="1"/>
  <c r="R61" i="31"/>
  <c r="S61" i="31" s="1"/>
  <c r="R90" i="31"/>
  <c r="S90" i="31" s="1"/>
  <c r="R70" i="31"/>
  <c r="S70" i="31" s="1"/>
  <c r="R83" i="31"/>
  <c r="S83" i="31" s="1"/>
  <c r="R74" i="31"/>
  <c r="S74" i="31" s="1"/>
  <c r="R73" i="31"/>
  <c r="S73" i="31" s="1"/>
  <c r="C104" i="79"/>
  <c r="R72" i="31"/>
  <c r="S72" i="31" s="1"/>
  <c r="R33" i="31"/>
  <c r="S33" i="31" s="1"/>
  <c r="R50" i="31"/>
  <c r="S50" i="31" s="1"/>
  <c r="S24" i="31"/>
  <c r="R76" i="31"/>
  <c r="S76" i="31" s="1"/>
  <c r="R54" i="31"/>
  <c r="S54" i="31" s="1"/>
  <c r="R25" i="31"/>
  <c r="S25" i="31" s="1"/>
  <c r="R34" i="31"/>
  <c r="S34" i="31" s="1"/>
  <c r="R59" i="31"/>
  <c r="S59" i="31" s="1"/>
  <c r="R40" i="31"/>
  <c r="S40" i="31" s="1"/>
  <c r="R52" i="31"/>
  <c r="S52" i="31" s="1"/>
  <c r="R89" i="31"/>
  <c r="S89" i="31" s="1"/>
  <c r="R55" i="31"/>
  <c r="S55" i="31" s="1"/>
  <c r="R53" i="31"/>
  <c r="S53" i="31" s="1"/>
  <c r="R78" i="31"/>
  <c r="S78" i="31" s="1"/>
  <c r="R49" i="31"/>
  <c r="S49" i="31" s="1"/>
  <c r="R84" i="31"/>
  <c r="S84" i="31" s="1"/>
  <c r="R29" i="31"/>
  <c r="S29" i="31" s="1"/>
  <c r="C105" i="79"/>
  <c r="H107" i="79"/>
  <c r="D122" i="79" s="1"/>
  <c r="D123" i="79" s="1"/>
  <c r="E118" i="79"/>
  <c r="D118" i="79" s="1"/>
  <c r="D119" i="79" s="1"/>
  <c r="H119" i="79"/>
  <c r="C34" i="79"/>
  <c r="C72" i="79"/>
  <c r="C64" i="79"/>
  <c r="C63" i="79" s="1"/>
  <c r="C67" i="79" s="1"/>
  <c r="C68" i="79" s="1"/>
  <c r="D54" i="79" s="1"/>
  <c r="D48" i="79" s="1"/>
  <c r="M52" i="79" s="1"/>
  <c r="D53" i="79"/>
  <c r="C78" i="79"/>
  <c r="C73" i="79" s="1"/>
  <c r="D52" i="79"/>
  <c r="C93" i="79"/>
  <c r="C86" i="79" s="1"/>
  <c r="C85" i="79"/>
  <c r="D55" i="79"/>
  <c r="M53" i="79" s="1"/>
  <c r="M49" i="79" l="1"/>
  <c r="L64" i="79" s="1"/>
  <c r="M64" i="79" s="1"/>
  <c r="H108" i="79"/>
  <c r="C79" i="79"/>
  <c r="C80" i="79" s="1"/>
  <c r="E80" i="79" s="1"/>
  <c r="E81" i="79" s="1"/>
  <c r="C95" i="79"/>
  <c r="C96" i="79" s="1"/>
  <c r="E96" i="79" s="1"/>
  <c r="E97" i="79" s="1"/>
  <c r="L66" i="79" l="1"/>
  <c r="M66" i="79" s="1"/>
  <c r="C81" i="79"/>
  <c r="D58" i="79" s="1"/>
  <c r="D56" i="79" s="1"/>
  <c r="M54" i="79" s="1"/>
  <c r="N57" i="79" s="1"/>
  <c r="N58" i="79" s="1"/>
  <c r="L65" i="79"/>
  <c r="M65" i="79" s="1"/>
  <c r="L67" i="79"/>
  <c r="M67" i="79" s="1"/>
  <c r="L68" i="79"/>
  <c r="M68" i="79" s="1"/>
  <c r="L63" i="79"/>
  <c r="M63" i="79" s="1"/>
  <c r="C97" i="79"/>
  <c r="M69" i="79" l="1"/>
  <c r="N69" i="79" s="1"/>
  <c r="P57" i="79"/>
  <c r="N59" i="79"/>
  <c r="N61" i="79" s="1"/>
  <c r="R67" i="31"/>
  <c r="S67" i="31" s="1"/>
  <c r="S22" i="31" s="1"/>
  <c r="B20" i="31" s="1"/>
  <c r="D19" i="9"/>
  <c r="C19" i="9"/>
  <c r="N60" i="79" l="1"/>
  <c r="D102" i="9"/>
  <c r="D21" i="9"/>
  <c r="G19" i="9"/>
  <c r="C32" i="9" s="1"/>
  <c r="R22" i="31"/>
  <c r="B21" i="31" s="1"/>
  <c r="D20" i="9"/>
  <c r="C20" i="9"/>
  <c r="G21" i="9" l="1"/>
  <c r="H118" i="9"/>
  <c r="H119" i="9" s="1"/>
  <c r="H5" i="52" s="1"/>
  <c r="C35" i="9"/>
  <c r="F118" i="9" s="1"/>
  <c r="F119" i="9" s="1"/>
  <c r="F5" i="52" s="1"/>
  <c r="B53" i="72" s="1"/>
  <c r="D103" i="9"/>
  <c r="G20" i="9"/>
  <c r="C103" i="9"/>
  <c r="D22" i="9"/>
  <c r="C102" i="9"/>
  <c r="C21" i="9"/>
  <c r="I118" i="9" l="1"/>
  <c r="C105" i="9" s="1"/>
  <c r="H4" i="52"/>
  <c r="D14" i="74"/>
  <c r="E14" i="74" s="1"/>
  <c r="C104" i="9"/>
  <c r="F4" i="52"/>
  <c r="B51" i="72" s="1"/>
  <c r="H101" i="9"/>
  <c r="D5" i="53" s="1"/>
  <c r="G118" i="9"/>
  <c r="G4" i="52" s="1"/>
  <c r="B52" i="72" s="1"/>
  <c r="C34" i="9"/>
  <c r="D118" i="9" s="1"/>
  <c r="D45" i="9"/>
  <c r="H107" i="9"/>
  <c r="M48" i="9"/>
  <c r="I4" i="52" l="1"/>
  <c r="H102" i="9"/>
  <c r="D7" i="53" s="1"/>
  <c r="B21" i="72" s="1"/>
  <c r="F14" i="74"/>
  <c r="E118" i="9"/>
  <c r="E4" i="52" s="1"/>
  <c r="B48" i="72" s="1"/>
  <c r="D4" i="52"/>
  <c r="B47" i="72" s="1"/>
  <c r="D119" i="9"/>
  <c r="D5" i="52" s="1"/>
  <c r="B49" i="72" s="1"/>
  <c r="B20" i="72"/>
  <c r="D6" i="53"/>
  <c r="B22" i="72" s="1"/>
  <c r="G15" i="74"/>
  <c r="F15" i="74"/>
  <c r="E15" i="74"/>
  <c r="B5" i="74"/>
  <c r="D13" i="53"/>
  <c r="D122" i="9"/>
  <c r="M49" i="9"/>
  <c r="H108" i="9"/>
  <c r="D15" i="53" s="1"/>
  <c r="B31" i="72" s="1"/>
  <c r="D55" i="9"/>
  <c r="M53" i="9" s="1"/>
  <c r="C64" i="9"/>
  <c r="C63" i="9" s="1"/>
  <c r="C67" i="9" s="1"/>
  <c r="C68" i="9" s="1"/>
  <c r="D54" i="9" s="1"/>
  <c r="D48" i="9" s="1"/>
  <c r="M52" i="9" s="1"/>
  <c r="C85" i="9"/>
  <c r="C72" i="9"/>
  <c r="C93" i="9"/>
  <c r="C86" i="9" s="1"/>
  <c r="D53" i="9"/>
  <c r="C78" i="9"/>
  <c r="C73" i="9" s="1"/>
  <c r="D52" i="9"/>
  <c r="C79" i="9" l="1"/>
  <c r="C80" i="9" s="1"/>
  <c r="E80" i="9" s="1"/>
  <c r="E81" i="9" s="1"/>
  <c r="C95" i="9"/>
  <c r="C96" i="9" s="1"/>
  <c r="D5" i="74"/>
  <c r="C5" i="74"/>
  <c r="D123" i="9"/>
  <c r="D9" i="52" s="1"/>
  <c r="G14" i="74"/>
  <c r="B6" i="74" s="1"/>
  <c r="D8" i="52"/>
  <c r="L64" i="9"/>
  <c r="M64" i="9" s="1"/>
  <c r="L66" i="9"/>
  <c r="M66" i="9" s="1"/>
  <c r="L68" i="9"/>
  <c r="M68" i="9" s="1"/>
  <c r="L63" i="9"/>
  <c r="M63" i="9" s="1"/>
  <c r="L65" i="9"/>
  <c r="M65" i="9" s="1"/>
  <c r="L67" i="9"/>
  <c r="M67" i="9" s="1"/>
  <c r="B30" i="72"/>
  <c r="D14" i="53"/>
  <c r="B32" i="72" s="1"/>
  <c r="E96" i="9" l="1"/>
  <c r="E97" i="9" s="1"/>
  <c r="C97" i="9"/>
  <c r="M69" i="9"/>
  <c r="N69" i="9" s="1"/>
  <c r="C6" i="74"/>
  <c r="D6" i="74"/>
  <c r="C81"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<sst xmlns="http://schemas.openxmlformats.org/spreadsheetml/2006/main" count="7857" uniqueCount="3190">
  <si>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</si>
  <si>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</si>
  <si>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</si>
  <si>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</si>
  <si>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</si>
  <si>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</si>
  <si>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</si>
  <si>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</si>
  <si>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</si>
  <si>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</si>
  <si>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</si>
  <si>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</si>
  <si>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</si>
  <si>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</si>
  <si>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</si>
  <si>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</si>
  <si>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</si>
  <si>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</si>
  <si>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</si>
  <si>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</si>
  <si>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</si>
  <si>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</si>
  <si>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</si>
  <si>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</si>
  <si>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</si>
  <si>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</si>
  <si>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</si>
  <si>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</si>
  <si>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</si>
  <si>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</si>
  <si>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</si>
  <si>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</si>
  <si>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</si>
  <si>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</si>
  <si>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</si>
  <si>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</si>
  <si>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</si>
  <si>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</si>
  <si>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</si>
  <si>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</si>
  <si>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</si>
  <si>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</si>
  <si>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</si>
  <si>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</si>
  <si>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</si>
  <si>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</si>
  <si>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</si>
  <si>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</si>
  <si>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</si>
  <si>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</si>
  <si>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</si>
  <si>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</si>
  <si>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</si>
  <si>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</si>
  <si>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</si>
  <si>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</si>
  <si>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</si>
  <si>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</si>
  <si>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</si>
  <si>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</si>
  <si>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</si>
  <si>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</si>
  <si>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</si>
  <si>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</si>
  <si>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</si>
  <si>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</si>
  <si>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</si>
  <si>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</si>
  <si>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</si>
  <si>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</si>
  <si>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</si>
  <si>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</si>
  <si>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</si>
  <si>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</si>
  <si>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</si>
  <si>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</si>
  <si>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</si>
  <si>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</si>
  <si>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</si>
  <si>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</si>
  <si>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</si>
  <si>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</si>
  <si>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</si>
  <si>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</si>
  <si>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</si>
  <si>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</si>
  <si>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</si>
  <si>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</si>
  <si>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</si>
  <si>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</si>
  <si>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</si>
  <si>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</si>
  <si>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</si>
  <si>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</si>
  <si>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</si>
  <si>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</si>
  <si>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</si>
  <si>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</si>
  <si>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</si>
  <si>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</si>
  <si>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</si>
  <si>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</si>
  <si>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</si>
  <si>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</si>
  <si>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</si>
  <si>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</si>
  <si>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</si>
  <si>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</si>
  <si>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</si>
  <si>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</si>
  <si>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</si>
  <si>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</si>
  <si>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</si>
  <si>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</si>
  <si>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</si>
  <si>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</si>
  <si>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</si>
  <si>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</si>
  <si>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</si>
  <si>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</si>
  <si>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</si>
  <si>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</si>
  <si>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</si>
  <si>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</si>
  <si>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</si>
  <si>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</si>
  <si>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</si>
  <si>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</si>
  <si>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</si>
  <si>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</si>
  <si>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</si>
  <si>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</si>
  <si>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</si>
  <si>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</si>
  <si>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</si>
  <si>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</si>
  <si>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</si>
  <si>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</si>
  <si>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</si>
  <si>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</si>
  <si>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</si>
  <si>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</si>
  <si>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</si>
  <si>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</si>
  <si>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</si>
  <si>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</si>
  <si>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</si>
  <si>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</si>
  <si>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</si>
  <si>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</si>
  <si>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</si>
  <si>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</si>
  <si>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</si>
  <si>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</si>
  <si>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</si>
  <si>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</si>
  <si>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</si>
  <si>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</si>
  <si>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</si>
  <si>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</si>
  <si>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</si>
  <si>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</si>
  <si>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</si>
  <si>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</si>
  <si>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</si>
  <si>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</si>
  <si>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</si>
  <si>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</si>
  <si>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</si>
  <si>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</si>
  <si>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</si>
  <si>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</si>
  <si>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</si>
  <si>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</si>
  <si>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</si>
  <si>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</si>
  <si>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</si>
  <si>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</si>
  <si>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</si>
  <si>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</si>
  <si>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</si>
  <si>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</si>
  <si>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</si>
  <si>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</si>
  <si>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</si>
  <si>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</si>
  <si>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</si>
  <si>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</si>
  <si>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</si>
  <si>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</si>
  <si>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</si>
  <si>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</si>
  <si>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</si>
  <si>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</si>
  <si>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</si>
  <si>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</si>
  <si>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</si>
  <si>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</si>
  <si>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</si>
  <si>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</si>
  <si>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</si>
  <si>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</si>
  <si>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</si>
  <si>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</si>
  <si>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</si>
  <si>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</si>
  <si>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</si>
  <si>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</si>
  <si>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</si>
  <si>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</si>
  <si>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</si>
  <si>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</si>
  <si>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</si>
  <si>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</si>
  <si>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</si>
  <si>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</si>
  <si>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</si>
  <si>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</si>
  <si>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</si>
  <si>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</si>
  <si>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</si>
  <si>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</si>
  <si>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</si>
  <si>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</si>
  <si>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</si>
  <si>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</si>
  <si>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</si>
  <si>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</si>
  <si>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</si>
  <si>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</si>
  <si>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</si>
  <si>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</si>
  <si>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</si>
  <si>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</si>
  <si>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</si>
  <si>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</si>
  <si>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</si>
  <si>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</si>
  <si>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</si>
  <si>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</si>
  <si>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</si>
  <si>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</si>
  <si>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</si>
  <si>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</si>
  <si>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</si>
  <si>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</si>
  <si>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</si>
  <si>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</si>
  <si>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</si>
  <si>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</si>
  <si>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</si>
  <si>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</si>
  <si>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</si>
  <si>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</si>
  <si>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</si>
  <si>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</si>
  <si>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</si>
  <si>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</si>
  <si>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</si>
  <si>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</si>
  <si>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</si>
  <si>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</si>
  <si>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</si>
  <si>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</si>
  <si>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</si>
  <si>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</si>
  <si>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</si>
  <si>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</si>
  <si>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</si>
  <si>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</si>
  <si>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</si>
  <si>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</si>
  <si>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</si>
  <si>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</si>
  <si>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</si>
  <si>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</si>
  <si>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</si>
  <si>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</si>
  <si>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</si>
  <si>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</si>
  <si>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</si>
  <si>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</si>
  <si>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</si>
  <si>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</si>
  <si>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</si>
  <si>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</si>
  <si>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</si>
  <si>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</si>
  <si>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</si>
  <si>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</si>
  <si>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</si>
  <si>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</si>
  <si>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</si>
  <si>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</si>
  <si>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</si>
  <si>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</si>
  <si>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</si>
  <si>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</si>
  <si>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</si>
  <si>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</si>
  <si>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</si>
  <si>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</si>
  <si>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</si>
  <si>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</si>
  <si>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</si>
  <si>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</si>
  <si>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</si>
  <si>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</si>
  <si>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</si>
  <si>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</si>
  <si>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</si>
  <si>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</si>
  <si>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</si>
  <si>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</si>
  <si>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</si>
  <si>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</si>
  <si>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</si>
  <si>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</si>
  <si>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</si>
  <si>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</si>
  <si>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</si>
  <si>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</si>
  <si>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</si>
  <si>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</si>
  <si>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</si>
  <si>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</si>
  <si>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</si>
  <si>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</si>
  <si>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</si>
  <si>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</si>
  <si>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</si>
  <si>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</si>
  <si>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</si>
  <si>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</si>
  <si>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</si>
  <si>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</si>
  <si>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</si>
  <si>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</si>
  <si>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</si>
  <si>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</si>
  <si>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</si>
  <si>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</si>
  <si>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</si>
  <si>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</si>
  <si>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</si>
  <si>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</si>
  <si>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</si>
  <si>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</si>
  <si>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</si>
  <si>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</si>
  <si>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</si>
  <si>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</si>
  <si>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</si>
  <si>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</si>
  <si>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</si>
  <si>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</si>
  <si>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</si>
  <si>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</si>
  <si>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</si>
  <si>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</si>
  <si>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</si>
  <si>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</si>
  <si>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</si>
  <si>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</si>
  <si>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</si>
  <si>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</si>
  <si>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</si>
  <si>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</si>
  <si>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</si>
  <si>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</si>
  <si>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</si>
  <si>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</si>
  <si>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</si>
  <si>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</si>
  <si>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</si>
  <si>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</si>
  <si>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</si>
  <si>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</si>
  <si>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</si>
  <si>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</si>
  <si>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</si>
  <si>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</si>
  <si>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</si>
  <si>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</si>
  <si>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</si>
  <si>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</si>
  <si>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</si>
  <si>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</si>
  <si>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</si>
  <si>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</si>
  <si>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</si>
  <si>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</si>
  <si>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</si>
  <si>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</si>
  <si>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</si>
  <si>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</si>
  <si>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</si>
  <si>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</si>
  <si>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</si>
  <si>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</si>
  <si>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</si>
  <si>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</si>
  <si>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</si>
  <si>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</si>
  <si>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</si>
  <si>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</si>
  <si>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</si>
  <si>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</si>
  <si>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</si>
  <si>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</si>
  <si>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</si>
  <si>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</si>
  <si>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</si>
  <si>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</si>
  <si>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</si>
  <si>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</si>
  <si>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</si>
  <si>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</si>
  <si>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</si>
  <si>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</si>
  <si>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</si>
  <si>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</si>
  <si>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</si>
  <si>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</si>
  <si>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</si>
  <si>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</si>
  <si>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</si>
  <si>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</si>
  <si>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</si>
  <si>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</si>
  <si>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</si>
  <si>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</si>
  <si>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</si>
  <si>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</si>
  <si>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</si>
  <si>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</si>
  <si>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</si>
  <si>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</si>
  <si>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</si>
  <si>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</si>
  <si>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</si>
  <si>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</si>
  <si>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</si>
  <si>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</si>
  <si>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</si>
  <si>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</si>
  <si>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</si>
  <si>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</si>
  <si>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</si>
  <si>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</si>
  <si>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</si>
  <si>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</si>
  <si>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</si>
  <si>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</si>
  <si>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</si>
  <si>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</si>
  <si>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</si>
  <si>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</si>
  <si>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</si>
  <si>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</si>
  <si>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</si>
  <si>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</si>
  <si>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</si>
  <si>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</si>
  <si>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</si>
  <si>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</si>
  <si>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</si>
  <si>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</si>
  <si>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</si>
  <si>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</si>
  <si>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</si>
  <si>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</si>
  <si>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</si>
  <si>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</si>
  <si>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</si>
  <si>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</si>
  <si>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</si>
  <si>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</si>
  <si>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</si>
  <si>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</si>
  <si>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</si>
  <si>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</si>
  <si>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</si>
  <si>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</si>
  <si>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</si>
  <si>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</si>
  <si>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</si>
  <si>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</si>
  <si>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</si>
  <si>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</si>
  <si>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</si>
  <si>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</si>
  <si>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</si>
  <si>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</si>
  <si>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</si>
  <si>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</si>
  <si>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</si>
  <si>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</si>
  <si>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</si>
  <si>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</si>
  <si>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</si>
  <si>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</si>
  <si>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</si>
  <si>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</si>
  <si>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</si>
  <si>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</si>
  <si>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</si>
  <si>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</si>
  <si>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</si>
  <si>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</si>
  <si>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</si>
  <si>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</si>
  <si>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</si>
  <si>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</si>
  <si>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</si>
  <si>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</si>
  <si>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</si>
  <si>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</si>
  <si>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</si>
  <si>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</si>
  <si>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</si>
  <si>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</si>
  <si>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</si>
  <si>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</si>
  <si>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</si>
  <si>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</si>
  <si>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</si>
  <si>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</si>
  <si>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</si>
  <si>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</si>
  <si>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</si>
  <si>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</si>
  <si>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</si>
  <si>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</si>
  <si>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</si>
  <si>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</si>
  <si>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</si>
  <si>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</si>
  <si>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</si>
  <si>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</si>
  <si>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</si>
  <si>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</si>
  <si>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</si>
  <si>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</si>
  <si>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</si>
  <si>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</si>
  <si>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</si>
  <si>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</si>
  <si>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</si>
  <si>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</si>
  <si>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</si>
  <si>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</si>
  <si>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</si>
  <si>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</si>
  <si>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</si>
  <si>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</si>
  <si>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</si>
  <si>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</si>
  <si>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</si>
  <si>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</si>
  <si>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</si>
  <si>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</si>
  <si>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</si>
  <si>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</si>
  <si>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</si>
  <si>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</si>
  <si>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</si>
  <si>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</si>
  <si>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</si>
  <si>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</si>
  <si>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</si>
  <si>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</si>
  <si>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</si>
  <si>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</si>
  <si>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</si>
  <si>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</si>
  <si>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</si>
  <si>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</si>
  <si>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</si>
  <si>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</si>
  <si>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</si>
  <si>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</si>
  <si>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</si>
  <si>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</si>
  <si>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</si>
  <si>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</si>
  <si>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</si>
  <si>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</si>
  <si>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</si>
  <si>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</si>
  <si>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</si>
  <si>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</si>
  <si>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</si>
  <si>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</si>
  <si>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</si>
  <si>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</si>
  <si>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</si>
  <si>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</si>
  <si>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</si>
  <si>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</si>
  <si>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</si>
  <si>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</si>
  <si>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</si>
  <si>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</si>
  <si>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</si>
  <si>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</si>
  <si>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</si>
  <si>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</si>
  <si>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</si>
  <si>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</si>
  <si>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</si>
  <si>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</si>
  <si>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</si>
  <si>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</si>
  <si>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</si>
  <si>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</si>
  <si>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</si>
  <si>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</si>
  <si>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</si>
  <si>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</si>
  <si>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</si>
  <si>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</si>
  <si>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</si>
  <si>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</si>
  <si>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</si>
  <si>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</si>
  <si>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</si>
  <si>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</si>
  <si>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</si>
  <si>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</si>
  <si>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</si>
  <si>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</si>
  <si>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</si>
  <si>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</si>
  <si>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</si>
  <si>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</si>
  <si>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</si>
  <si>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</si>
  <si>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</si>
  <si>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</si>
  <si>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</si>
  <si>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</si>
  <si>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</si>
  <si>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</si>
  <si>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</si>
  <si>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</si>
  <si>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</si>
  <si>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</si>
  <si>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</si>
  <si>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</si>
  <si>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</si>
  <si>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</si>
  <si>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</si>
  <si>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</si>
  <si>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</si>
  <si>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</si>
  <si>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</si>
  <si>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</si>
  <si>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</si>
  <si>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</si>
  <si>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</si>
  <si>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</si>
  <si>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</si>
  <si>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</si>
  <si>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</si>
  <si>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</si>
  <si>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</si>
  <si>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</si>
  <si>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</si>
  <si>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</si>
  <si>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</si>
  <si>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</si>
  <si>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</si>
  <si>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</si>
  <si>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</si>
  <si>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</si>
  <si>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</si>
  <si>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</si>
  <si>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</si>
  <si>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</si>
  <si>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</si>
  <si>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</si>
  <si>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</si>
  <si>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</si>
  <si>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</si>
  <si>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</si>
  <si>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</si>
  <si>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</si>
  <si>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</si>
  <si>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</si>
  <si>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</si>
  <si>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</si>
  <si>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</si>
  <si>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</si>
  <si>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</si>
  <si>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</si>
  <si>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</si>
  <si>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</si>
  <si>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</si>
  <si>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</si>
  <si>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</si>
  <si>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</si>
  <si>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</si>
  <si>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</si>
  <si>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</si>
  <si>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</si>
  <si>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</si>
  <si>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</si>
  <si>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</si>
  <si>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</si>
  <si>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</si>
  <si>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</si>
  <si>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</si>
  <si>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</si>
  <si>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</si>
  <si>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</si>
  <si>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</si>
  <si>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</si>
  <si>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</si>
  <si>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</si>
  <si>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</si>
  <si>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</si>
  <si>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</si>
  <si>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</si>
  <si>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</si>
  <si>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</si>
  <si>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</si>
  <si>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</si>
  <si>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</si>
  <si>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</si>
  <si>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</si>
  <si>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</si>
  <si>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</si>
  <si>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</si>
  <si>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</si>
  <si>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</si>
  <si>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</si>
  <si>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</si>
  <si>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</si>
  <si>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</si>
  <si>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</si>
  <si>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</si>
  <si>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</si>
  <si>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</si>
  <si>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</si>
  <si>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</si>
  <si>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</si>
  <si>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</si>
  <si>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</si>
  <si>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</si>
  <si>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</si>
  <si>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</si>
  <si>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</si>
  <si>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</si>
  <si>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</si>
  <si>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</si>
  <si>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</si>
  <si>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</si>
  <si>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</si>
  <si>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</si>
  <si>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</si>
  <si>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</si>
  <si>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</si>
  <si>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</si>
  <si>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</si>
  <si>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</si>
  <si>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</si>
  <si>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</si>
  <si>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</si>
  <si>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</si>
  <si>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</si>
  <si>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</si>
  <si>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</si>
  <si>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</si>
  <si>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</si>
  <si>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</si>
  <si>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</si>
  <si>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</si>
  <si>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</si>
  <si>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</si>
  <si>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</si>
  <si>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</si>
  <si>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</si>
  <si>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</si>
  <si>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</si>
  <si>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</si>
  <si>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</si>
  <si>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</si>
  <si>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</si>
  <si>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</si>
  <si>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</si>
  <si>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</si>
  <si>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</si>
  <si>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</si>
  <si>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</si>
  <si>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</si>
  <si>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</si>
  <si>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</si>
  <si>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</si>
  <si>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</si>
  <si>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</si>
  <si>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</si>
  <si>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</si>
  <si>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</si>
  <si>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</si>
  <si>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</si>
  <si>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</si>
  <si>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</si>
  <si>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</si>
  <si>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</si>
  <si>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</si>
  <si>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</si>
  <si>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</si>
  <si>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</si>
  <si>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</si>
  <si>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</si>
  <si>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</si>
  <si>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</si>
  <si>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</si>
  <si>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</si>
  <si>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</si>
  <si>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</si>
  <si>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</si>
  <si>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</si>
  <si>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</si>
  <si>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</si>
  <si>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</si>
  <si>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</si>
  <si>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</si>
  <si>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</si>
  <si>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</si>
  <si>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</si>
  <si>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</si>
  <si>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</si>
  <si>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</si>
  <si>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</si>
  <si>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</si>
  <si>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</si>
  <si>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</si>
  <si>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</si>
  <si>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</si>
  <si>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</si>
  <si>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</si>
  <si>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</si>
  <si>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</si>
  <si>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</si>
  <si>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</si>
  <si>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</si>
  <si>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</si>
  <si>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</si>
  <si>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</si>
  <si>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</si>
  <si>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</si>
  <si>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</si>
  <si>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</si>
  <si>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</si>
  <si>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</si>
  <si>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</si>
  <si>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</si>
  <si>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</si>
  <si>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</si>
  <si>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</si>
  <si>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</si>
  <si>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</si>
  <si>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</si>
  <si>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</si>
  <si>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</si>
  <si>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</si>
  <si>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</si>
  <si>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</si>
  <si>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</si>
  <si>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</si>
  <si>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</si>
  <si>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</si>
  <si>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</si>
  <si>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</si>
  <si>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</si>
  <si>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</si>
  <si>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</si>
  <si>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</si>
  <si>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</si>
  <si>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</si>
  <si>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</si>
  <si>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</si>
  <si>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</si>
  <si>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</si>
  <si>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</si>
  <si>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</si>
  <si>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</si>
  <si>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</si>
  <si>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</si>
  <si>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</si>
  <si>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</si>
  <si>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</si>
  <si>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</si>
  <si>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</si>
  <si>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</si>
  <si>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</si>
  <si>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</si>
  <si>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</si>
  <si>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</si>
  <si>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</si>
  <si>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</si>
  <si>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</si>
  <si>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</si>
  <si>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</si>
  <si>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</si>
  <si>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</si>
  <si>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</si>
  <si>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</si>
  <si>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</si>
  <si>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</si>
  <si>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</si>
  <si>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</si>
  <si>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</si>
  <si>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</si>
  <si>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</si>
  <si>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</si>
  <si>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</si>
  <si>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</si>
  <si>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</si>
  <si>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</si>
  <si>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</si>
  <si>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</si>
  <si>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</si>
  <si>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</si>
  <si>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</si>
  <si>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</si>
  <si>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</si>
  <si>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</si>
  <si>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</si>
  <si>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</si>
  <si>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</si>
  <si>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</si>
  <si>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</si>
  <si>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</si>
  <si>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</si>
  <si>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</si>
  <si>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</si>
  <si>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</si>
  <si>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</si>
  <si>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</si>
  <si>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</si>
  <si>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</si>
  <si>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</si>
  <si>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</si>
  <si>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</si>
  <si>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</si>
  <si>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</si>
  <si>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</si>
  <si>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</si>
  <si>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</si>
  <si>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</si>
  <si>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</si>
  <si>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</si>
  <si>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</si>
  <si>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</si>
  <si>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</si>
  <si>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</si>
  <si>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</si>
  <si>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</si>
  <si>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</si>
  <si>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</si>
  <si>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</si>
  <si>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</si>
  <si>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</si>
  <si>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</si>
  <si>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</si>
  <si>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</si>
  <si>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</si>
  <si>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</si>
  <si>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</si>
  <si>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</si>
  <si>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</si>
  <si>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</si>
  <si>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</si>
  <si>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</si>
  <si>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</si>
  <si>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</si>
  <si>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</si>
  <si>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</si>
  <si>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</si>
  <si>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</si>
  <si>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</si>
  <si>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</si>
  <si>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</si>
  <si>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</si>
  <si>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</si>
  <si>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</si>
  <si>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</si>
  <si>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</si>
  <si>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</si>
  <si>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</si>
  <si>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</si>
  <si>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</si>
  <si>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</si>
  <si>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</si>
  <si>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</si>
  <si>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</si>
  <si>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</si>
  <si>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</si>
  <si>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</si>
  <si>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</si>
  <si>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</si>
  <si>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</si>
  <si>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</si>
  <si>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</si>
  <si>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</si>
  <si>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</si>
  <si>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</si>
  <si>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</si>
  <si>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</si>
  <si>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</si>
  <si>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</si>
  <si>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</si>
  <si>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</si>
  <si>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</si>
  <si>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</si>
  <si>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</si>
  <si>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</si>
  <si>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</si>
  <si>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</si>
  <si>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</si>
  <si>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</si>
  <si>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</si>
  <si>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</si>
  <si>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</si>
  <si>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</si>
  <si>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</si>
  <si>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</si>
  <si>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</si>
  <si>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</si>
  <si>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</si>
  <si>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</si>
  <si>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</si>
  <si>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</si>
  <si>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</si>
  <si>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</si>
  <si>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</si>
  <si>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</si>
  <si>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</si>
  <si>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</si>
  <si>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</si>
  <si>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</si>
  <si>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</si>
  <si>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</si>
  <si>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</si>
  <si>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</si>
  <si>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</si>
  <si>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</si>
  <si>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</si>
  <si>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</si>
  <si>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</si>
  <si>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</si>
  <si>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</si>
  <si>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</si>
  <si>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</si>
  <si>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</si>
  <si>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</si>
  <si>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</si>
  <si>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</si>
  <si>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</si>
  <si>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</si>
  <si>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</si>
  <si>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</si>
  <si>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</si>
  <si>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</si>
  <si>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</si>
  <si>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</si>
  <si>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</si>
  <si>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</si>
  <si>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</si>
  <si>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</si>
  <si>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</si>
  <si>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</si>
  <si>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</si>
  <si>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</si>
  <si>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</si>
  <si>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</si>
  <si>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</si>
  <si>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</si>
  <si>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</si>
  <si>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</si>
  <si>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</si>
  <si>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</si>
  <si>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</si>
  <si>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</si>
  <si>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</si>
  <si>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</si>
  <si>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</si>
  <si>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</si>
  <si>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</si>
  <si>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</si>
  <si>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</si>
  <si>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</si>
  <si>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</si>
  <si>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</si>
  <si>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</si>
  <si>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</si>
  <si>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</si>
  <si>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</si>
  <si>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</si>
  <si>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</si>
  <si>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</si>
  <si>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</si>
  <si>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</si>
  <si>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</si>
  <si>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</si>
  <si>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</si>
  <si>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</si>
  <si>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</si>
  <si>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</si>
  <si>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</si>
  <si>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</si>
  <si>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</si>
  <si>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</si>
  <si>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</si>
  <si>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</si>
  <si>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</si>
  <si>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</si>
  <si>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</si>
  <si>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</si>
  <si>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</si>
  <si>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</si>
  <si>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</si>
  <si>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</si>
  <si>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</si>
  <si>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</si>
  <si>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</si>
  <si>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</si>
  <si>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</si>
  <si>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</si>
  <si>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</si>
  <si>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</si>
  <si>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</si>
  <si>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</si>
  <si>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</si>
  <si>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</si>
  <si>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</si>
  <si>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</si>
  <si>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</si>
  <si>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</si>
  <si>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</si>
  <si>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</si>
  <si>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</si>
  <si>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</si>
  <si>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</si>
  <si>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</si>
  <si>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</si>
  <si>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</si>
  <si>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</si>
  <si>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</si>
  <si>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</si>
  <si>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</si>
  <si>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</si>
  <si>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</si>
  <si>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</si>
  <si>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</si>
  <si>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</si>
  <si>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</si>
  <si>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</si>
  <si>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</si>
  <si>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</si>
  <si>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</si>
  <si>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</si>
  <si>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</si>
  <si>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</si>
  <si>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</si>
  <si>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</si>
  <si>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</si>
  <si>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</si>
  <si>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</si>
  <si>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</si>
  <si>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</si>
  <si>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</si>
  <si>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</si>
  <si>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</si>
  <si>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</si>
  <si>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</si>
  <si>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</si>
  <si>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</si>
  <si>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</si>
  <si>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</si>
  <si>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</si>
  <si>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</si>
  <si>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</si>
  <si>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</si>
  <si>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</si>
  <si>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</si>
  <si>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</si>
  <si>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</si>
  <si>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</si>
  <si>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</si>
  <si>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</si>
  <si>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</si>
  <si>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</si>
  <si>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</si>
  <si>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</si>
  <si>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</si>
  <si>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</si>
  <si>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</si>
  <si>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</si>
  <si>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</si>
  <si>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</si>
  <si>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</si>
  <si>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</si>
  <si>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</si>
  <si>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</si>
  <si>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</si>
  <si>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</si>
  <si>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</si>
  <si>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</si>
  <si>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</si>
  <si>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</si>
  <si>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</si>
  <si>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</si>
  <si>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</si>
  <si>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</si>
  <si>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</si>
  <si>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</si>
  <si>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</si>
  <si>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</si>
  <si>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</si>
  <si>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</si>
  <si>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</si>
  <si>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</si>
  <si>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</si>
  <si>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</si>
  <si>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</si>
  <si>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</si>
  <si>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</si>
  <si>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</si>
  <si>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</si>
  <si>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</si>
  <si>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</si>
  <si>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</si>
  <si>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</si>
  <si>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</si>
  <si>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</si>
  <si>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</si>
  <si>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</si>
  <si>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</si>
  <si>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</si>
  <si>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</si>
  <si>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</si>
  <si>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</si>
  <si>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</si>
  <si>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</si>
  <si>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</si>
  <si>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</si>
  <si>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</si>
  <si>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</si>
  <si>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</si>
  <si>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</si>
  <si>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</si>
  <si>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</si>
  <si>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</si>
  <si>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</si>
  <si>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</si>
  <si>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</si>
  <si>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</si>
  <si>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</si>
  <si>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</si>
  <si>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</si>
  <si>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</si>
  <si>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</si>
  <si>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</si>
  <si>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</si>
  <si>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</si>
  <si>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</si>
  <si>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</si>
  <si>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</si>
  <si>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</si>
  <si>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</si>
  <si>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</si>
  <si>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</si>
  <si>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</si>
  <si>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</si>
  <si>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</si>
  <si>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</si>
  <si>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</si>
  <si>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</si>
  <si>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</si>
  <si>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</si>
  <si>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</si>
  <si>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</si>
  <si>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</si>
  <si>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</si>
  <si>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</si>
  <si>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</si>
  <si>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</si>
  <si>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</si>
  <si>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</si>
  <si>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</si>
  <si>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</si>
  <si>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</si>
  <si>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</si>
  <si>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</si>
  <si>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</si>
  <si>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</si>
  <si>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</si>
  <si>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</si>
  <si>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</si>
  <si>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</si>
  <si>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</si>
  <si>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</si>
  <si>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</si>
  <si>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</si>
  <si>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</si>
  <si>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</si>
  <si>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</si>
  <si>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</si>
  <si>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</si>
  <si>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</si>
  <si>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</si>
  <si>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</si>
  <si>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</si>
  <si>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</si>
  <si>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</si>
  <si>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</si>
  <si>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</si>
  <si>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</si>
  <si>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</si>
  <si>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</si>
  <si>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</si>
  <si>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</si>
  <si>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</si>
  <si>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</si>
  <si>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</si>
  <si>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</si>
  <si>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</si>
  <si>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</si>
  <si>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</si>
  <si>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</si>
  <si>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</si>
  <si>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</si>
  <si>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</si>
  <si>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</si>
  <si>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</si>
  <si>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</si>
  <si>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</si>
  <si>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</si>
  <si>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</si>
  <si>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</si>
  <si>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</si>
  <si>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</si>
  <si>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</si>
  <si>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</si>
  <si>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</si>
  <si>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</si>
  <si>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</si>
  <si>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</si>
  <si>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</si>
  <si>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</si>
  <si>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</si>
  <si>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</si>
  <si>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</si>
  <si>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</si>
  <si>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</si>
  <si>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</si>
  <si>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</si>
  <si>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</si>
  <si>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</si>
  <si>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</si>
  <si>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</si>
  <si>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</si>
  <si>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</si>
  <si>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</si>
  <si>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</si>
  <si>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</si>
  <si>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</si>
  <si>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</si>
  <si>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</si>
  <si>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</si>
  <si>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</si>
  <si>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</si>
  <si>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</si>
  <si>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</si>
  <si>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</si>
  <si>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</si>
  <si>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</si>
  <si>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</si>
  <si>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</si>
  <si>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</si>
  <si>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</si>
  <si>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</si>
  <si>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</si>
  <si>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</si>
  <si>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</si>
  <si>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</si>
  <si>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</si>
  <si>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</si>
  <si>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</si>
  <si>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</si>
  <si>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</si>
  <si>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</si>
  <si>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</si>
  <si>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</si>
  <si>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</si>
  <si>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</si>
  <si>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</si>
  <si>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</si>
  <si>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</si>
  <si>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</si>
  <si>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</si>
  <si>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</si>
  <si>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</si>
  <si>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</si>
  <si>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</si>
  <si>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</si>
  <si>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</si>
  <si>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</si>
  <si>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</si>
  <si>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</si>
  <si>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</si>
  <si>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</si>
  <si>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</si>
  <si>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</si>
  <si>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</si>
  <si>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</si>
  <si>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</si>
  <si>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</si>
  <si>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</si>
  <si>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</si>
  <si>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</si>
  <si>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</si>
  <si>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</si>
  <si>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</si>
  <si>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</si>
  <si>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</si>
  <si>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</si>
  <si>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</si>
  <si>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</si>
  <si>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</si>
  <si>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</si>
  <si>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</si>
  <si>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</si>
  <si>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</si>
  <si>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</si>
  <si>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</si>
  <si>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</si>
  <si>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</si>
  <si>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</si>
  <si>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</si>
  <si>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</si>
  <si>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</si>
  <si>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</si>
  <si>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</si>
  <si>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</si>
  <si>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</si>
  <si>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</si>
  <si>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</si>
  <si>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</si>
  <si>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</si>
  <si>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</si>
  <si>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</si>
  <si>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</si>
  <si>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</si>
  <si>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</si>
  <si>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</si>
  <si>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</si>
  <si>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</si>
  <si>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</si>
  <si>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</si>
  <si>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</si>
  <si>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</si>
  <si>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</si>
  <si>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</si>
  <si>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</si>
  <si>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</si>
  <si>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</si>
  <si>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</si>
  <si>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</si>
  <si>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</si>
  <si>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</si>
  <si>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</si>
  <si>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</si>
  <si>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</si>
  <si>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</si>
  <si>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</si>
  <si>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</si>
  <si>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</si>
  <si>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</si>
  <si>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</si>
  <si>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</si>
  <si>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</si>
  <si>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</si>
  <si>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</si>
  <si>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</si>
  <si>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</si>
  <si>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</si>
  <si>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</si>
  <si>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</si>
  <si>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</si>
  <si>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</si>
  <si>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</si>
  <si>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</si>
  <si>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</si>
  <si>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</si>
  <si>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</si>
  <si>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</si>
  <si>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</si>
  <si>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</si>
  <si>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</si>
  <si>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</si>
  <si>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</si>
  <si>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</si>
  <si>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</si>
  <si>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</si>
  <si>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</si>
  <si>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</si>
  <si>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</si>
  <si>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</si>
  <si>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</si>
  <si>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</si>
  <si>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</si>
  <si>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</si>
  <si>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</si>
  <si>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</si>
  <si>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</si>
  <si>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</si>
  <si>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</si>
  <si>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</si>
  <si>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</si>
  <si>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</si>
  <si>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</si>
  <si>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</si>
  <si>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</si>
  <si>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</si>
  <si>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</si>
  <si>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</si>
  <si>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</si>
  <si>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</si>
  <si>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</si>
  <si>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</si>
  <si>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</si>
  <si>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</si>
  <si>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</si>
  <si>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</si>
  <si>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</si>
  <si>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</si>
  <si>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</si>
  <si>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</si>
  <si>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</si>
  <si>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</si>
  <si>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</si>
  <si>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</si>
  <si>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</si>
  <si>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</si>
  <si>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</si>
  <si>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</si>
  <si>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</si>
  <si>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</si>
  <si>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</si>
  <si>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</si>
  <si>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</si>
  <si>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</si>
  <si>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</si>
  <si>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</si>
  <si>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</si>
  <si>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</si>
  <si>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</si>
  <si>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</si>
  <si>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</si>
  <si>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</si>
  <si>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</si>
  <si>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</si>
  <si>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</si>
  <si>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</si>
  <si>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</si>
  <si>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</si>
  <si>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</si>
  <si>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</si>
  <si>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</si>
  <si>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</si>
  <si>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</si>
  <si>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</si>
  <si>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</si>
  <si>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</si>
  <si>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</si>
  <si>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</si>
  <si>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</si>
  <si>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</si>
  <si>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</si>
  <si>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</si>
  <si>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</si>
  <si>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</si>
  <si>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</si>
  <si>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</si>
  <si>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</si>
  <si>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</si>
  <si>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</si>
  <si>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</si>
  <si>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</si>
  <si>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</si>
  <si>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</si>
  <si>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</si>
  <si>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</si>
  <si>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</si>
  <si>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</si>
  <si>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</si>
  <si>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</si>
  <si>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</si>
  <si>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</si>
  <si>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</si>
  <si>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</si>
  <si>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</si>
  <si>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</si>
  <si>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</si>
  <si>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</si>
  <si>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</si>
  <si>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</si>
  <si>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</si>
  <si>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</si>
  <si>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</si>
  <si>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</si>
  <si>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</si>
  <si>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</si>
  <si>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</si>
  <si>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</si>
  <si>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</si>
  <si>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</si>
  <si>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</si>
  <si>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</si>
  <si>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</si>
  <si>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</si>
  <si>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</si>
  <si>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</si>
  <si>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</si>
  <si>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</si>
  <si>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</si>
  <si>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</si>
  <si>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</si>
  <si>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</si>
  <si>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</si>
  <si>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</si>
  <si>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</si>
  <si>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</si>
  <si>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</si>
  <si>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</si>
  <si>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</si>
  <si>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</si>
  <si>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</si>
  <si>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</si>
  <si>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</si>
  <si>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</si>
  <si>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</si>
  <si>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</si>
  <si>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</si>
  <si>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</si>
  <si>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</si>
  <si>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</si>
  <si>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</si>
  <si>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</si>
  <si>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</si>
  <si>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</si>
  <si>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</si>
  <si>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</si>
  <si>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</si>
  <si>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</si>
  <si>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</si>
  <si>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</si>
  <si>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</si>
  <si>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</si>
  <si>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</si>
  <si>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</si>
  <si>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</si>
  <si>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</si>
  <si>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</si>
  <si>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</si>
  <si>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</si>
  <si>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</si>
  <si>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</si>
  <si>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</si>
  <si>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</si>
  <si>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</si>
  <si>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</si>
  <si>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</si>
  <si>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</si>
  <si>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</si>
  <si>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</si>
  <si>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</si>
  <si>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</si>
  <si>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</si>
  <si>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</si>
  <si>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</si>
  <si>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</si>
  <si>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</si>
  <si>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</si>
  <si>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</si>
  <si>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</si>
  <si>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</si>
  <si>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</si>
  <si>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</si>
  <si>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</si>
  <si>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</si>
  <si>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</si>
  <si>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</si>
  <si>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</si>
  <si>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</si>
  <si>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</si>
  <si>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</si>
  <si>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</si>
  <si>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</si>
  <si>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</si>
  <si>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</si>
  <si>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</si>
  <si>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</si>
  <si>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</si>
  <si>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</si>
  <si>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</si>
  <si>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</si>
  <si>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</si>
  <si>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</si>
  <si>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</si>
  <si>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</si>
  <si>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</si>
  <si>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</si>
  <si>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</si>
  <si>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</si>
  <si>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</si>
  <si>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</si>
  <si>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</si>
  <si>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</si>
  <si>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</si>
  <si>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</si>
  <si>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</si>
  <si>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</si>
  <si>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</si>
  <si>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</si>
  <si>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</si>
  <si>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</si>
  <si>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</si>
  <si>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</si>
  <si>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</si>
  <si>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</si>
  <si>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</si>
  <si>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</si>
  <si>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</si>
  <si>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</si>
  <si>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</si>
  <si>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</si>
  <si>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</si>
  <si>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</si>
  <si>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</si>
  <si>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</si>
  <si>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</si>
  <si>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</si>
  <si>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</si>
  <si>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</si>
  <si>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</si>
  <si>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</si>
  <si>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</si>
  <si>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</si>
  <si>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</si>
  <si>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</si>
  <si>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</si>
  <si>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</si>
  <si>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</si>
  <si>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</si>
  <si>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</si>
  <si>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</si>
  <si>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</si>
  <si>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</si>
  <si>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</si>
  <si>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</si>
  <si>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</si>
  <si>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</si>
  <si>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</si>
  <si>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</si>
  <si>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</si>
  <si>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</si>
  <si>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</si>
  <si>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</si>
  <si>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</si>
  <si>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</si>
  <si>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</si>
  <si>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</si>
  <si>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</si>
  <si>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</si>
  <si>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</si>
  <si>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</si>
  <si>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</si>
  <si>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</si>
  <si>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</si>
  <si>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</si>
  <si>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</si>
  <si>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</si>
  <si>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</si>
  <si>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</si>
  <si>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</si>
  <si>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</si>
  <si>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</si>
  <si>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</si>
  <si>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</si>
  <si>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</si>
  <si>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</si>
  <si>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</si>
  <si>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</si>
  <si>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</si>
  <si>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</si>
  <si>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</si>
  <si>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</si>
  <si>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</si>
  <si>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</si>
  <si>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</si>
  <si>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</si>
  <si>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</si>
  <si>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</si>
  <si>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</si>
  <si>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</si>
  <si>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</si>
  <si>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</si>
  <si>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</si>
  <si>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</si>
  <si>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</si>
  <si>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</si>
  <si>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</si>
  <si>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</si>
  <si>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</si>
  <si>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</si>
  <si>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</si>
  <si>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</si>
  <si>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</si>
  <si>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</si>
  <si>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</si>
  <si>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</si>
  <si>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</si>
  <si>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</si>
  <si>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</si>
  <si>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</si>
  <si>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</si>
  <si>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</si>
  <si>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</si>
  <si>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</si>
  <si>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</si>
  <si>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</si>
  <si>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</si>
  <si>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</si>
  <si>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</si>
  <si>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</si>
  <si>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</si>
  <si>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</si>
  <si>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</si>
  <si>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</si>
  <si>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</si>
  <si>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</si>
  <si>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</si>
  <si>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</si>
  <si>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</si>
  <si>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</si>
  <si>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</si>
  <si>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</si>
  <si>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</si>
  <si>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</si>
  <si>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</si>
  <si>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</si>
  <si>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</si>
  <si>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</si>
  <si>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</si>
  <si>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</si>
  <si>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</si>
  <si>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</si>
  <si>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</si>
  <si>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</si>
  <si>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</si>
  <si>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</si>
  <si>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</si>
  <si>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</si>
  <si>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</si>
  <si>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</si>
  <si>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</si>
  <si>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</si>
  <si>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</si>
  <si>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</si>
  <si>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</si>
  <si>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</si>
  <si>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</si>
  <si>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</si>
  <si>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</si>
  <si>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</si>
  <si>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</si>
  <si>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</si>
  <si>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</si>
  <si>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</si>
  <si>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</si>
  <si>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</si>
  <si>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</si>
  <si>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</si>
  <si>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</si>
  <si>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</si>
  <si>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</si>
  <si>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</si>
  <si>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</si>
  <si>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</si>
  <si>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</si>
  <si>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</si>
  <si>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</si>
  <si>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</si>
  <si>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</si>
  <si>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</si>
  <si>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</si>
  <si>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</si>
  <si>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</si>
  <si>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</si>
  <si>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</si>
  <si>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</si>
  <si>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</si>
  <si>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</si>
  <si>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</si>
  <si>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</si>
  <si>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</si>
  <si>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</si>
  <si>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</si>
  <si>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</si>
  <si>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</si>
  <si>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</si>
  <si>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</si>
  <si>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</si>
  <si>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</si>
  <si>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</si>
  <si>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</si>
  <si>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</si>
  <si>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</si>
  <si>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</si>
  <si>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</si>
  <si>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</si>
  <si>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</si>
  <si>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</si>
  <si>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</si>
  <si>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</si>
  <si>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</si>
  <si>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</si>
  <si>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</si>
  <si>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</si>
  <si>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</si>
  <si>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</si>
  <si>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</si>
  <si>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</si>
  <si>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</si>
  <si>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</si>
  <si>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</si>
  <si>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</si>
  <si>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</si>
  <si>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</si>
  <si>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</si>
  <si>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</si>
  <si>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</si>
  <si>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</si>
  <si>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</si>
  <si>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</si>
  <si>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</si>
  <si>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</si>
  <si>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</si>
  <si>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</si>
  <si>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</si>
  <si>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</si>
  <si>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</si>
  <si>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</si>
  <si>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</si>
  <si>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</si>
  <si>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</si>
  <si>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</si>
  <si>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</si>
  <si>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</si>
  <si>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</si>
  <si>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</si>
  <si>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</si>
  <si>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</si>
  <si>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</si>
  <si>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</si>
  <si>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</si>
  <si>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</si>
  <si>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</si>
  <si>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</si>
  <si>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</si>
  <si>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</si>
  <si>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</si>
  <si>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</si>
  <si>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</si>
  <si>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</si>
  <si>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</si>
  <si>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</si>
  <si>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</si>
  <si>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</si>
  <si>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</si>
  <si>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</si>
  <si>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</si>
  <si>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</si>
  <si>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</si>
  <si>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</si>
  <si>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</si>
  <si>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</si>
  <si>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</si>
  <si>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</si>
  <si>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</si>
  <si>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</si>
  <si>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</si>
  <si>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</si>
  <si>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</si>
  <si>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</si>
  <si>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</si>
  <si>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</si>
  <si>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</si>
  <si>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</si>
  <si>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</si>
  <si>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</si>
  <si>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</si>
  <si>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</si>
  <si>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</si>
  <si>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</si>
  <si>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</si>
  <si>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</si>
  <si>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</si>
  <si>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</si>
  <si>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</si>
  <si>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</si>
  <si>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</si>
  <si>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</si>
  <si>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</si>
  <si>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</si>
  <si>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</si>
  <si>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</si>
  <si>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</si>
  <si>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</si>
  <si>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</si>
  <si>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</si>
  <si>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</si>
  <si>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</si>
  <si>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</si>
  <si>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</si>
  <si>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</si>
  <si>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</si>
  <si>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</si>
  <si>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</si>
  <si>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</si>
  <si>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</si>
  <si>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</si>
  <si>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</si>
  <si>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</si>
  <si>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</si>
  <si>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</si>
  <si>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</si>
  <si>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</si>
  <si>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</si>
  <si>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</si>
  <si>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</si>
  <si>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</si>
  <si>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</si>
  <si>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</si>
  <si>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</si>
  <si>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</si>
  <si>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</si>
  <si>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</si>
  <si>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</si>
  <si>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</si>
  <si>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</si>
  <si>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</si>
  <si>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</si>
  <si>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</si>
  <si>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</si>
  <si>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</si>
  <si>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</si>
  <si>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</si>
  <si>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</si>
  <si>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</si>
  <si>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</si>
  <si>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</si>
  <si>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</si>
  <si>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</si>
  <si>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</si>
  <si>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</si>
  <si>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</si>
  <si>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</si>
  <si>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</si>
  <si>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</si>
  <si>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</si>
  <si>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</si>
  <si>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</si>
  <si>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</si>
  <si>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</si>
  <si>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</si>
  <si>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</si>
  <si>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</si>
  <si>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</si>
  <si>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</si>
  <si>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</si>
  <si>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</si>
  <si>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</si>
  <si>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</si>
  <si>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</si>
  <si>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</si>
  <si>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</si>
  <si>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</si>
  <si>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</si>
  <si>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</si>
  <si>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</si>
  <si>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</si>
  <si>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</si>
  <si>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</si>
  <si>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</si>
  <si>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</si>
  <si>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</si>
  <si>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</si>
  <si>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</si>
  <si>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</si>
  <si>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</si>
  <si>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</si>
  <si>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</si>
  <si>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</si>
  <si>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</si>
  <si>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</si>
  <si>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</si>
  <si>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</si>
  <si>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</si>
  <si>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</si>
  <si>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</si>
  <si>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</si>
  <si>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</si>
  <si>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</si>
  <si>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</si>
  <si>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</si>
  <si>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</si>
  <si>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</si>
  <si>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</si>
  <si>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</si>
  <si>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</si>
  <si>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</si>
  <si>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</si>
  <si>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</si>
  <si>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</si>
  <si>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</si>
  <si>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</si>
  <si>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</si>
  <si>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</si>
  <si>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</si>
  <si>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</si>
  <si>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</si>
  <si>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</si>
  <si>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</si>
  <si>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</si>
  <si>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</si>
  <si>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</si>
  <si>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</si>
  <si>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</si>
  <si>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</si>
  <si>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</si>
  <si>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</si>
  <si>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</si>
  <si>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</si>
  <si>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</si>
  <si>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</si>
  <si>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</si>
  <si>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</si>
  <si>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</si>
  <si>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</si>
  <si>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</si>
  <si>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</si>
  <si>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</si>
  <si>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</si>
  <si>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</si>
  <si>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</si>
  <si>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</si>
  <si>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</si>
  <si>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</si>
  <si>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</si>
  <si>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</si>
  <si>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</si>
  <si>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</si>
  <si>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</si>
  <si>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</si>
  <si>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</si>
  <si>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</si>
  <si>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</si>
  <si>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</si>
  <si>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</si>
  <si>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</si>
  <si>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</si>
  <si>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</si>
  <si>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</si>
  <si>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</si>
  <si>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</si>
  <si>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</si>
  <si>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</si>
  <si>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</si>
  <si>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</si>
  <si>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</si>
  <si>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</si>
  <si>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</si>
  <si>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</si>
  <si>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</si>
  <si>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</si>
  <si>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</si>
  <si>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</si>
  <si>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</si>
  <si>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</si>
  <si>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</si>
  <si>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</si>
  <si>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</si>
  <si>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</si>
  <si>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</si>
  <si>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</si>
  <si>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</si>
  <si>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</si>
  <si>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</si>
  <si>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</si>
  <si>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</si>
  <si>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</si>
  <si>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</si>
  <si>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</si>
  <si>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</si>
  <si>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</si>
  <si>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</si>
  <si>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</si>
  <si>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</si>
  <si>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</si>
  <si>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</si>
  <si>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</si>
  <si>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</si>
  <si>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</si>
  <si>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</si>
  <si>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</si>
  <si>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</si>
  <si>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</si>
  <si>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</si>
  <si>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</si>
  <si>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</si>
  <si>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</si>
  <si>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</si>
  <si>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</si>
  <si>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</si>
  <si>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</si>
  <si>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</si>
  <si>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</si>
  <si>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</si>
  <si>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</si>
  <si>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</si>
  <si>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</si>
  <si>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</si>
  <si>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</si>
  <si>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</si>
  <si>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</si>
  <si>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</si>
  <si>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</si>
  <si>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</si>
  <si>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</si>
  <si>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</si>
  <si>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</si>
  <si>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</si>
  <si>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</si>
  <si>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</si>
  <si>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</si>
  <si>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</si>
  <si>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</si>
  <si>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</si>
  <si>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</si>
  <si>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</si>
  <si>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</si>
  <si>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</si>
  <si>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</si>
  <si>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</si>
  <si>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</si>
  <si>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</si>
  <si>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</si>
  <si>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</si>
  <si>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</si>
  <si>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</si>
  <si>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</si>
  <si>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</si>
  <si>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</si>
  <si>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</si>
  <si>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</si>
  <si>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</si>
  <si>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</si>
  <si>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</si>
  <si>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</si>
  <si>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</si>
  <si>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</si>
  <si>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</si>
  <si>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</si>
  <si>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</si>
  <si>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</si>
  <si>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</si>
  <si>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</si>
  <si>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</si>
  <si>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</si>
  <si>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</si>
  <si>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</si>
  <si>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</si>
  <si>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</si>
  <si>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</si>
  <si>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</si>
  <si>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</si>
  <si>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</si>
  <si>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</si>
  <si>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</si>
  <si>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</si>
  <si>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</si>
  <si>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</si>
  <si>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</si>
  <si>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</si>
  <si>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</si>
  <si>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</si>
  <si>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</si>
  <si>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</si>
  <si>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</si>
  <si>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</si>
  <si>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</si>
  <si>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</si>
  <si>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</si>
  <si>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</si>
  <si>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</si>
  <si>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</si>
  <si>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</si>
  <si>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</si>
  <si>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</si>
  <si>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</si>
  <si>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</si>
  <si>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</si>
  <si>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</si>
  <si>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</si>
  <si>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</si>
  <si>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</si>
  <si>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</si>
  <si>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</si>
  <si>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</si>
  <si>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</si>
  <si>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</si>
  <si>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</si>
  <si>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</si>
  <si>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</si>
  <si>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</si>
  <si>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</si>
  <si>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</si>
  <si>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</si>
  <si>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</si>
  <si>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</si>
  <si>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</si>
  <si>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</si>
  <si>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</si>
  <si>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</si>
  <si>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</si>
  <si>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</si>
  <si>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</si>
  <si>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</si>
  <si>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</si>
  <si>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</si>
  <si>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</si>
  <si>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</si>
  <si>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</si>
  <si>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</si>
  <si>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</si>
  <si>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</si>
  <si>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</si>
  <si>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</si>
  <si>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</si>
  <si>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</si>
  <si>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</si>
  <si>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</si>
  <si>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</si>
  <si>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</si>
  <si>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</si>
  <si>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</si>
  <si>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</si>
  <si>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</si>
  <si>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</si>
  <si>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</si>
  <si>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</si>
  <si>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</si>
  <si>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</si>
  <si>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</si>
  <si>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</si>
  <si>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</si>
  <si>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</si>
  <si>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</si>
  <si>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</si>
  <si>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</si>
  <si>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</si>
  <si>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</si>
  <si>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</si>
  <si>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</si>
  <si>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</si>
  <si>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</si>
  <si>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</si>
  <si>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</si>
  <si>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</si>
  <si>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</si>
  <si>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</si>
  <si>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</si>
  <si>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</si>
  <si>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</si>
  <si>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</si>
  <si>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</si>
  <si>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</si>
  <si>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</si>
  <si>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</si>
  <si>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</si>
  <si>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</si>
  <si>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</si>
  <si>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</si>
  <si>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</si>
  <si>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</si>
  <si>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</si>
  <si>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</si>
  <si>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</si>
  <si>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</si>
  <si>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</si>
  <si>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</si>
  <si>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</si>
  <si>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</si>
  <si>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</si>
  <si>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</si>
  <si>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</si>
  <si>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</si>
  <si>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</si>
  <si>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</si>
  <si>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</si>
  <si>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</si>
  <si>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</si>
  <si>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</si>
  <si>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</si>
  <si>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</si>
  <si>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</si>
  <si>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</si>
  <si>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</si>
  <si>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</si>
  <si>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</si>
  <si>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</si>
  <si>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</si>
  <si>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</si>
  <si>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</si>
  <si>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</si>
  <si>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</si>
  <si>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</si>
  <si>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</si>
  <si>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</si>
  <si>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</si>
  <si>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</si>
  <si>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</si>
  <si>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</si>
  <si>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</si>
  <si>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</si>
  <si>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</si>
  <si>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</si>
  <si>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</si>
  <si>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</si>
  <si>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</si>
  <si>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</si>
  <si>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</si>
  <si>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</si>
  <si>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</si>
  <si>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</si>
  <si>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</si>
  <si>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</si>
  <si>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</si>
  <si>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</si>
  <si>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</si>
  <si>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</si>
  <si>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</si>
  <si>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</si>
  <si>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</si>
  <si>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</si>
  <si>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</si>
  <si>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</si>
  <si>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</si>
  <si>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</si>
  <si>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</si>
  <si>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</si>
  <si>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</si>
  <si>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</si>
  <si>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</si>
  <si>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</si>
  <si>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</si>
  <si>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</si>
  <si>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</si>
  <si>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</si>
  <si>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</si>
  <si>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</si>
  <si>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</si>
  <si>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</si>
  <si>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</si>
  <si>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</si>
  <si>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</si>
  <si>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</si>
  <si>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</si>
  <si>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</si>
  <si>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</si>
  <si>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</si>
  <si>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</si>
  <si>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</si>
  <si>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</si>
  <si>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</si>
  <si>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</si>
  <si>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</si>
  <si>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</si>
  <si>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</si>
  <si>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</si>
  <si>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</si>
  <si>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</si>
  <si>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</si>
  <si>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</si>
  <si>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</si>
  <si>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</si>
  <si>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</si>
  <si>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</si>
  <si>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</si>
  <si>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</si>
  <si>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</si>
  <si>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</si>
  <si>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</si>
  <si>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</si>
  <si>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</si>
  <si>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</si>
  <si>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</si>
  <si>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</si>
  <si>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</si>
  <si>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</si>
  <si>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</si>
  <si>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</si>
  <si>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</si>
  <si>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</si>
  <si>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</si>
  <si>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</si>
  <si>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</si>
  <si>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</si>
  <si>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</si>
  <si>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</si>
  <si>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</si>
  <si>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</si>
  <si>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</si>
  <si>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</si>
  <si>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</si>
  <si>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</si>
  <si>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</si>
  <si>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</si>
  <si>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</si>
  <si>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</si>
  <si>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</si>
  <si>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</si>
  <si>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</si>
  <si>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</si>
  <si>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</si>
  <si>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</si>
  <si>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</si>
  <si>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</si>
  <si>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</si>
  <si>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</si>
  <si>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</si>
  <si>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</si>
  <si>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</si>
  <si>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</si>
  <si>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</si>
  <si>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</si>
  <si>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</si>
  <si>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</si>
  <si>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</si>
  <si>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</si>
  <si>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</si>
  <si>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</si>
  <si>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</si>
  <si>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</si>
  <si>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</si>
  <si>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</si>
  <si>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</si>
  <si>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</si>
  <si>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</si>
  <si>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</si>
  <si>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</si>
  <si>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</si>
  <si>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</si>
  <si>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</si>
  <si>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</si>
  <si>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</si>
  <si>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</si>
  <si>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</si>
  <si>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</si>
  <si>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</si>
  <si>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</si>
  <si>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</si>
  <si>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</si>
  <si>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</si>
  <si>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</si>
  <si>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</si>
  <si>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</si>
  <si>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</si>
  <si>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</si>
  <si>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</si>
  <si>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</si>
  <si>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</si>
  <si>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</si>
  <si>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</si>
  <si>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</si>
  <si>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</si>
  <si>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</si>
  <si>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</si>
  <si>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</si>
  <si>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</si>
  <si>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</si>
  <si>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</si>
  <si>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</si>
  <si>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</si>
  <si>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</si>
  <si>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</si>
  <si>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</si>
  <si>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</si>
  <si>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</si>
  <si>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</si>
  <si>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</si>
  <si>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</si>
  <si>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</si>
  <si>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</si>
  <si>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</si>
  <si>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</si>
  <si>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</si>
  <si>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</si>
  <si>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</si>
  <si>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</si>
  <si>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</si>
  <si>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</si>
  <si>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</si>
  <si>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</si>
  <si>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</si>
  <si>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</si>
  <si>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</si>
  <si>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</si>
  <si>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</si>
  <si>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</si>
  <si>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</si>
  <si>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</si>
  <si>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</si>
  <si>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</si>
  <si>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</si>
  <si>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</si>
  <si>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</si>
  <si>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</si>
  <si>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</si>
  <si>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</si>
  <si>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</si>
  <si>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</si>
  <si>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</si>
  <si>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</si>
  <si>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</si>
  <si>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</si>
  <si>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</si>
  <si>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</si>
  <si>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</si>
  <si>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</si>
  <si>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</si>
  <si>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</si>
  <si>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</si>
  <si>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</si>
  <si>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</si>
  <si>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</si>
  <si>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</si>
  <si>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</si>
  <si>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</si>
  <si>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</si>
  <si>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</si>
  <si>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</si>
  <si>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</si>
  <si>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</si>
  <si>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</si>
  <si>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</si>
  <si>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</si>
  <si>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</si>
  <si>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</si>
  <si>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</si>
  <si>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</si>
  <si>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</si>
  <si>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</si>
  <si>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</si>
  <si>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</si>
  <si>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</si>
  <si>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</si>
  <si>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</si>
  <si>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</si>
  <si>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</si>
  <si>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</si>
  <si>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</si>
  <si>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</si>
  <si>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</si>
  <si>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</si>
  <si>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</si>
  <si>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</si>
  <si>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</si>
  <si>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</si>
  <si>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</si>
  <si>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</si>
  <si>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</si>
  <si>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</si>
  <si>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</si>
  <si>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</si>
  <si>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</si>
  <si>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</si>
  <si>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</si>
  <si>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</si>
  <si>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</si>
  <si>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</si>
  <si>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</si>
  <si>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</si>
  <si>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</si>
  <si>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</si>
  <si>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</si>
  <si>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</si>
  <si>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</si>
  <si>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</si>
  <si>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</si>
  <si>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</si>
  <si>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</si>
  <si>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</si>
  <si>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</si>
  <si>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</si>
  <si>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</si>
  <si>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</si>
  <si>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</si>
  <si>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</si>
  <si>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</si>
  <si>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</si>
  <si>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</si>
  <si>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</si>
  <si>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</si>
  <si>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</si>
  <si>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</si>
  <si>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</si>
  <si>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</si>
  <si>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</si>
  <si>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</si>
  <si>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</si>
  <si>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</si>
  <si>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</si>
  <si>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</si>
  <si>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</si>
  <si>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</si>
  <si>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</si>
  <si>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</si>
  <si>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</si>
  <si>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</si>
  <si>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</si>
  <si>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</si>
  <si>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</si>
  <si>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</si>
  <si>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</si>
  <si>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</si>
  <si>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</si>
  <si>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</si>
  <si>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</si>
  <si>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</si>
  <si>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</si>
  <si>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</si>
  <si>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</si>
  <si>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</si>
  <si>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</si>
  <si>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</si>
  <si>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</si>
  <si>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</si>
  <si>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</si>
  <si>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</si>
  <si>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</si>
  <si>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</si>
  <si>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</si>
  <si>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</si>
  <si>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</si>
  <si>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</si>
  <si>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</si>
  <si>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</si>
  <si>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</si>
  <si>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</si>
  <si>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</si>
  <si>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</si>
  <si>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</si>
  <si>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</si>
  <si>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</si>
  <si>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</si>
  <si>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</si>
  <si>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</si>
  <si>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</si>
  <si>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</si>
  <si>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</si>
  <si>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</si>
  <si>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</si>
  <si>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</si>
  <si>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</si>
  <si>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</si>
  <si>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</si>
  <si>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</si>
  <si>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</si>
  <si>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</si>
  <si>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</si>
  <si>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</si>
  <si>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</si>
  <si>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</si>
  <si>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</si>
  <si>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</si>
  <si>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</si>
  <si>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</si>
  <si>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</si>
  <si>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</si>
  <si>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</si>
  <si>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</si>
  <si>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</si>
  <si>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</si>
  <si>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</si>
  <si>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</si>
  <si>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</si>
  <si>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</si>
  <si>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</si>
  <si>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</si>
  <si>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</si>
  <si>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</si>
  <si>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</si>
  <si>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</si>
  <si>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</si>
  <si>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</si>
  <si>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</si>
  <si>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</si>
  <si>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</si>
  <si>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</si>
  <si>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</si>
  <si>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</si>
  <si>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</si>
  <si>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</si>
  <si>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</si>
  <si>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</si>
  <si>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</si>
  <si>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</si>
  <si>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</si>
  <si>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</si>
  <si>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</si>
  <si>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</si>
  <si>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</si>
  <si>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</si>
  <si>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</si>
  <si>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</si>
  <si>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</si>
  <si>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</si>
  <si>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</si>
  <si>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</si>
  <si>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</si>
  <si>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</si>
  <si>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</si>
  <si>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</si>
  <si>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</si>
  <si>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</si>
  <si>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</si>
  <si>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</si>
  <si>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</si>
  <si>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</si>
  <si>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</si>
  <si>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</si>
  <si>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</si>
  <si>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</si>
  <si>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</si>
  <si>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</si>
  <si>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</si>
  <si>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</si>
  <si>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</si>
  <si>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</si>
  <si>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</si>
  <si>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</si>
  <si>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</si>
  <si>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</si>
  <si>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</si>
  <si>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</si>
  <si>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</si>
  <si>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</si>
  <si>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</si>
  <si>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</si>
  <si>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</si>
  <si>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</si>
  <si>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</si>
  <si>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</si>
  <si>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</si>
  <si>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</si>
  <si>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</si>
  <si>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</si>
  <si>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</si>
  <si>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</si>
  <si>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</si>
  <si>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</si>
  <si>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</si>
  <si>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</si>
  <si>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</si>
  <si>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</si>
  <si>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</si>
  <si>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</si>
  <si>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</si>
  <si>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</si>
  <si>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</si>
  <si>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</si>
  <si>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</si>
  <si>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</si>
  <si>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</si>
  <si>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</si>
  <si>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</si>
  <si>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</si>
  <si>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</si>
  <si>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</si>
  <si>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</si>
  <si>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</si>
  <si>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</si>
  <si>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</si>
  <si>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</si>
  <si>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</si>
  <si>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</si>
  <si>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</si>
  <si>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</si>
  <si>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</si>
  <si>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</si>
  <si>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</si>
  <si>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</si>
  <si>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</si>
  <si>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</si>
  <si>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</si>
  <si>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</si>
  <si>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</si>
  <si>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</si>
  <si>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</si>
  <si>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</si>
  <si>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</si>
  <si>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</si>
  <si>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</si>
  <si>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</si>
  <si>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</si>
  <si>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</si>
  <si>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</si>
  <si>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</si>
  <si>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</si>
  <si>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</si>
  <si>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</si>
  <si>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</si>
  <si>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</si>
  <si>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</si>
  <si>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</si>
  <si>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</si>
  <si>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</si>
  <si>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</si>
  <si>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</si>
  <si>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</si>
  <si>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</si>
  <si>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</si>
  <si>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</si>
  <si>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</si>
  <si>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</si>
  <si>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</si>
  <si>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</si>
  <si>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</si>
  <si>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</si>
  <si>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</si>
  <si>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</si>
  <si>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</si>
  <si>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</si>
  <si>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</si>
  <si>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</si>
  <si>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</si>
  <si>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</si>
  <si>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</si>
  <si>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</si>
  <si>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</si>
  <si>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</si>
  <si>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</si>
  <si>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</si>
  <si>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</si>
  <si>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</si>
  <si>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</si>
  <si>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</si>
  <si>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</si>
  <si>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</si>
  <si>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</si>
  <si>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</si>
  <si>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</si>
  <si>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</si>
  <si>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</si>
  <si>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</si>
  <si>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</si>
  <si>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</si>
  <si>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</si>
  <si>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</si>
  <si>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</si>
  <si>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</si>
  <si>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</si>
  <si>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</si>
  <si>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</si>
  <si>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</si>
  <si>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</si>
  <si>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</si>
  <si>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</si>
  <si>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</si>
  <si>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</si>
  <si>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</si>
  <si>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</si>
  <si>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</si>
  <si>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</si>
  <si>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</si>
  <si>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</si>
  <si>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</si>
  <si>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</si>
  <si>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</si>
  <si>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</si>
  <si>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</si>
  <si>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</si>
  <si>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</si>
  <si>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</si>
  <si>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</si>
  <si>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</si>
  <si>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</si>
  <si>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</si>
  <si>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</si>
  <si>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</si>
  <si>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</si>
  <si>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</si>
  <si>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</si>
  <si>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</si>
  <si>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</si>
  <si>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</si>
  <si>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</si>
  <si>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</si>
  <si>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</si>
  <si>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</si>
  <si>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</si>
  <si>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</si>
  <si>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</si>
  <si>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</si>
  <si>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</si>
  <si>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</si>
  <si>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</si>
  <si>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</si>
  <si>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</si>
  <si>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</si>
  <si>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</si>
  <si>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</si>
  <si>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</si>
  <si>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</si>
  <si>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</si>
  <si>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</si>
  <si>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</si>
  <si>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</si>
  <si>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</si>
  <si>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</si>
  <si>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</si>
  <si>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</si>
  <si>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</si>
  <si>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</si>
  <si>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</si>
  <si>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</si>
  <si>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</si>
  <si>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</si>
  <si>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</si>
  <si>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</si>
  <si>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</si>
  <si>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刘俊财</t>
    <phoneticPr fontId="4" type="noConversion"/>
  </si>
  <si>
    <t>抵押</t>
  </si>
  <si>
    <t>房地产抵押价值</t>
  </si>
  <si>
    <t>北京市</t>
  </si>
  <si>
    <t>企业</t>
  </si>
  <si>
    <t>出让</t>
  </si>
  <si>
    <t>是</t>
  </si>
  <si>
    <t>地上</t>
  </si>
  <si>
    <t>住宅</t>
  </si>
  <si>
    <t>住宅</t>
    <phoneticPr fontId="8" type="noConversion"/>
  </si>
  <si>
    <t>居住用地（指二类居住用地）</t>
  </si>
  <si>
    <t>500-1000米</t>
  </si>
  <si>
    <t>有</t>
  </si>
  <si>
    <t>无</t>
  </si>
  <si>
    <t>通路</t>
  </si>
  <si>
    <t>通电</t>
  </si>
  <si>
    <t>通讯</t>
  </si>
  <si>
    <t>通上水</t>
  </si>
  <si>
    <t>通下水</t>
  </si>
  <si>
    <t>通热</t>
  </si>
  <si>
    <t>燃气</t>
  </si>
  <si>
    <t>平整</t>
  </si>
  <si>
    <t>与级别开发程度一致</t>
  </si>
  <si>
    <t>地价指数</t>
  </si>
  <si>
    <t>容积率修正</t>
  </si>
  <si>
    <t>较好</t>
  </si>
  <si>
    <t>差</t>
  </si>
  <si>
    <t>好</t>
  </si>
  <si>
    <t>全部缴纳</t>
  </si>
  <si>
    <t>未包含在土地购买价格中</t>
  </si>
  <si>
    <t>已包含在土地取得成本中</t>
  </si>
  <si>
    <t>成新度</t>
  </si>
  <si>
    <t>收益法</t>
  </si>
  <si>
    <t>砖混</t>
  </si>
  <si>
    <t>非生产用房</t>
  </si>
  <si>
    <t>正常</t>
    <phoneticPr fontId="26" type="noConversion"/>
  </si>
  <si>
    <t>押一</t>
  </si>
  <si>
    <t>按租金收入计税</t>
  </si>
  <si>
    <t>朝向</t>
    <phoneticPr fontId="4" type="noConversion"/>
  </si>
  <si>
    <t>南北</t>
  </si>
  <si>
    <t>南北</t>
    <phoneticPr fontId="26" type="noConversion"/>
  </si>
  <si>
    <t>东南</t>
    <phoneticPr fontId="26" type="noConversion"/>
  </si>
  <si>
    <t>西南</t>
    <phoneticPr fontId="26" type="noConversion"/>
  </si>
  <si>
    <t>东西</t>
    <phoneticPr fontId="26" type="noConversion"/>
  </si>
  <si>
    <t>典型户型修正</t>
    <phoneticPr fontId="17" type="noConversion"/>
  </si>
  <si>
    <t>转让取得</t>
  </si>
  <si>
    <t>非个人房产</t>
  </si>
  <si>
    <t>2016年5月1日前购买</t>
  </si>
  <si>
    <t>情况4</t>
  </si>
  <si>
    <t>现房</t>
  </si>
  <si>
    <t>地址</t>
    <phoneticPr fontId="256" type="noConversion"/>
  </si>
  <si>
    <t>产权单位</t>
    <phoneticPr fontId="256" type="noConversion"/>
  </si>
  <si>
    <t>面积</t>
    <phoneticPr fontId="256" type="noConversion"/>
  </si>
  <si>
    <t>青年公寓101</t>
  </si>
  <si>
    <t>方正电子</t>
    <phoneticPr fontId="256" type="noConversion"/>
  </si>
  <si>
    <t>青年公寓103</t>
  </si>
  <si>
    <t>青年公寓201</t>
  </si>
  <si>
    <t>青年公寓202</t>
    <phoneticPr fontId="144" type="noConversion"/>
  </si>
  <si>
    <t>青年公寓203</t>
  </si>
  <si>
    <t>青年公寓204</t>
  </si>
  <si>
    <t>青年公寓205</t>
  </si>
  <si>
    <t>青年公寓206</t>
  </si>
  <si>
    <t>青年公寓207</t>
  </si>
  <si>
    <t>青年公寓208</t>
  </si>
  <si>
    <t>青年公寓209</t>
  </si>
  <si>
    <t>青年公寓210</t>
  </si>
  <si>
    <t>青年公寓211</t>
  </si>
  <si>
    <t>青年公寓212</t>
  </si>
  <si>
    <t>青年公寓301</t>
  </si>
  <si>
    <t>青年公寓302</t>
  </si>
  <si>
    <t>青年公寓303</t>
  </si>
  <si>
    <t>青年公寓304</t>
  </si>
  <si>
    <t>青年公寓305</t>
  </si>
  <si>
    <t>青年公寓306</t>
  </si>
  <si>
    <t>青年公寓307</t>
  </si>
  <si>
    <t>青年公寓308</t>
  </si>
  <si>
    <t>青年公寓309</t>
  </si>
  <si>
    <t>青年公寓310</t>
  </si>
  <si>
    <t>青年公寓311</t>
  </si>
  <si>
    <t>青年公寓312</t>
  </si>
  <si>
    <t>青年公寓401</t>
  </si>
  <si>
    <t>青年公寓402</t>
  </si>
  <si>
    <t>青年公寓403</t>
  </si>
  <si>
    <t>青年公寓404</t>
  </si>
  <si>
    <t>青年公寓405</t>
  </si>
  <si>
    <t>青年公寓406</t>
  </si>
  <si>
    <t>青年公寓407</t>
  </si>
  <si>
    <t>青年公寓408</t>
  </si>
  <si>
    <t>青年公寓409</t>
  </si>
  <si>
    <t>青年公寓410</t>
  </si>
  <si>
    <t>青年公寓411</t>
  </si>
  <si>
    <t>青年公寓412</t>
  </si>
  <si>
    <t>青年公寓501</t>
  </si>
  <si>
    <t>青年公寓502</t>
  </si>
  <si>
    <t>青年公寓503</t>
  </si>
  <si>
    <t>青年公寓504</t>
  </si>
  <si>
    <t>方正电子</t>
    <phoneticPr fontId="256" type="noConversion"/>
  </si>
  <si>
    <t>青年公寓505</t>
  </si>
  <si>
    <t>青年公寓506</t>
  </si>
  <si>
    <t>青年公寓507</t>
  </si>
  <si>
    <t>青年公寓508</t>
  </si>
  <si>
    <t>青年公寓509</t>
  </si>
  <si>
    <t>青年公寓510</t>
  </si>
  <si>
    <t>青年公寓511</t>
  </si>
  <si>
    <t>青年公寓512</t>
  </si>
  <si>
    <t>青年公寓601</t>
  </si>
  <si>
    <t>青年公寓602</t>
  </si>
  <si>
    <t>青年公寓603</t>
  </si>
  <si>
    <t>青年公寓604</t>
  </si>
  <si>
    <t>青年公寓605</t>
  </si>
  <si>
    <t>青年公寓606</t>
  </si>
  <si>
    <t>青年公寓607</t>
  </si>
  <si>
    <t>青年公寓608</t>
  </si>
  <si>
    <t>青年公寓609</t>
  </si>
  <si>
    <t>青年公寓610</t>
  </si>
  <si>
    <t>青年公寓611</t>
  </si>
  <si>
    <t>青年公寓612</t>
  </si>
  <si>
    <t>青年公寓613</t>
  </si>
  <si>
    <t>青年公寓614</t>
  </si>
  <si>
    <t>青年公寓615</t>
  </si>
  <si>
    <t>青年公寓616</t>
  </si>
  <si>
    <t>青年公寓617</t>
  </si>
  <si>
    <t>青年公寓618</t>
  </si>
  <si>
    <t>合计</t>
    <phoneticPr fontId="256" type="noConversion"/>
  </si>
  <si>
    <t>东西</t>
    <phoneticPr fontId="26" type="noConversion"/>
  </si>
  <si>
    <t>1</t>
    <phoneticPr fontId="26" type="noConversion"/>
  </si>
  <si>
    <t>南北东</t>
    <phoneticPr fontId="26" type="noConversion"/>
  </si>
  <si>
    <t>南北</t>
    <phoneticPr fontId="26" type="noConversion"/>
  </si>
  <si>
    <t>2</t>
    <phoneticPr fontId="26" type="noConversion"/>
  </si>
  <si>
    <t>南北</t>
    <phoneticPr fontId="26" type="noConversion"/>
  </si>
  <si>
    <t>东南</t>
    <phoneticPr fontId="26" type="noConversion"/>
  </si>
  <si>
    <t>西南</t>
    <phoneticPr fontId="26" type="noConversion"/>
  </si>
  <si>
    <t>东西</t>
    <phoneticPr fontId="26" type="noConversion"/>
  </si>
  <si>
    <t>楼层</t>
    <phoneticPr fontId="26" type="noConversion"/>
  </si>
  <si>
    <t>1</t>
    <phoneticPr fontId="26" type="noConversion"/>
  </si>
  <si>
    <t>比较法-住宅</t>
  </si>
  <si>
    <t>收益比率</t>
  </si>
  <si>
    <t>收益法 (元)</t>
  </si>
  <si>
    <t>楼面单价</t>
  </si>
  <si>
    <t>典型户型修正</t>
  </si>
  <si>
    <t>住宅-其余</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</si>
</sst>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楷体"/>
      <family val="3"/>
      <charset val="134"/>
    </font>
    <font>
      <sz val="9"/>
      <name val="宋体"/>
      <family val="2"/>
      <charset val="134"/>
      <scheme val="minor"/>
    </font>
    <font>
      <sz val="11"/>
      <color theme="1"/>
      <name val="楷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1" fillId="0" borderId="0">
      <alignment vertical="center"/>
    </xf>
  </cellStyleXfs>
  <cellXfs count="331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77" fontId="81" fillId="0" borderId="1" xfId="1" applyNumberFormat="1" applyFont="1" applyFill="1" applyBorder="1" applyAlignment="1" applyProtection="1">
      <alignment vertical="center"/>
      <protection locked="0" hidden="1"/>
    </xf>
    <xf numFmtId="49" fontId="138" fillId="2" borderId="70" xfId="0" applyNumberFormat="1" applyFont="1" applyFill="1" applyBorder="1" applyAlignment="1" applyProtection="1">
      <alignment horizontal="center" vertical="center" wrapText="1"/>
      <protection locked="0"/>
    </xf>
    <xf numFmtId="49" fontId="138" fillId="2" borderId="26"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255" fillId="0" borderId="0" xfId="17" applyFont="1" applyFill="1" applyAlignment="1">
      <alignment horizontal="center" vertical="center"/>
    </xf>
    <xf numFmtId="0" fontId="257" fillId="0" borderId="0" xfId="17" applyFont="1" applyFill="1" applyAlignment="1">
      <alignment horizontal="center" vertical="center"/>
    </xf>
    <xf numFmtId="0" fontId="193" fillId="2" borderId="1" xfId="0" applyFont="1" applyFill="1" applyBorder="1" applyAlignment="1" applyProtection="1">
      <alignment horizontal="center" vertical="center"/>
      <protection locked="0"/>
    </xf>
    <xf numFmtId="49" fontId="99" fillId="2" borderId="23" xfId="0" applyNumberFormat="1" applyFont="1" applyFill="1" applyBorder="1" applyAlignment="1" applyProtection="1">
      <alignment horizontal="center" vertical="center" wrapText="1"/>
      <protection locked="0"/>
    </xf>
    <xf numFmtId="49" fontId="99" fillId="2" borderId="3" xfId="0" applyNumberFormat="1" applyFont="1" applyFill="1" applyBorder="1" applyAlignment="1" applyProtection="1">
      <alignment horizontal="center" vertical="center" wrapText="1"/>
      <protection locked="0"/>
    </xf>
    <xf numFmtId="0" fontId="99" fillId="2" borderId="2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83" xfId="0" applyNumberFormat="1"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579496</xdr:colOff>
      <xdr:row>36</xdr:row>
      <xdr:rowOff>142086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238096" cy="6314286"/>
        </a:xfrm>
        <a:prstGeom prst="rect">
          <a:avLst/>
        </a:prstGeom>
      </xdr:spPr>
    </xdr:pic>
    <xdr:clientData/>
  </xdr:twoCellAnchor>
  <xdr:twoCellAnchor editAs="oneCell">
    <xdr:from>
      <xdr:col>0</xdr:col>
      <xdr:colOff>0</xdr:colOff>
      <xdr:row>37</xdr:row>
      <xdr:rowOff>0</xdr:rowOff>
    </xdr:from>
    <xdr:to>
      <xdr:col>16</xdr:col>
      <xdr:colOff>312915</xdr:colOff>
      <xdr:row>72</xdr:row>
      <xdr:rowOff>170679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11285715" cy="6171429"/>
        </a:xfrm>
        <a:prstGeom prst="rect">
          <a:avLst/>
        </a:prstGeom>
      </xdr:spPr>
    </xdr:pic>
    <xdr:clientData/>
  </xdr:twoCellAnchor>
  <xdr:twoCellAnchor editAs="oneCell">
    <xdr:from>
      <xdr:col>0</xdr:col>
      <xdr:colOff>0</xdr:colOff>
      <xdr:row>73</xdr:row>
      <xdr:rowOff>0</xdr:rowOff>
    </xdr:from>
    <xdr:to>
      <xdr:col>16</xdr:col>
      <xdr:colOff>551010</xdr:colOff>
      <xdr:row>108</xdr:row>
      <xdr:rowOff>161155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515850"/>
          <a:ext cx="11523810" cy="61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1214</v>
      </c>
      <c r="B1" s="1584" t="s">
        <v>1293</v>
      </c>
    </row>
    <row r="2" spans="1:2" s="1589" customFormat="1" ht="16.2" thickTop="1">
      <c r="A2" s="1587" t="s">
        <v>1215</v>
      </c>
      <c r="B2" s="1588" t="str">
        <f>'预评函-封皮'!B37:I37</f>
        <v>北京市房地产抵押价值预评估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6.2" thickBot="1">
      <c r="A5" s="1593" t="s">
        <v>1218</v>
      </c>
      <c r="B5" s="1594" t="str">
        <f>'预评函-封皮'!B49</f>
        <v>康正预评字号</v>
      </c>
    </row>
    <row r="6" spans="1:2" s="1589" customFormat="1" ht="16.2" thickTop="1">
      <c r="A6" s="1587" t="s">
        <v>1219</v>
      </c>
      <c r="B6" s="1588" t="str">
        <f>'预评函-1'!A4</f>
        <v>受贵公司委托，我公司对北京市房地产抵押价值进行了预评估。</v>
      </c>
    </row>
    <row r="7" spans="1:2" s="1592" customFormat="1">
      <c r="A7" s="1590" t="s">
        <v>1259</v>
      </c>
      <c r="B7" s="1591" t="str">
        <f>'预评函-1'!A7</f>
        <v>估价对象为北京市房地产，为所有。根据《国有土地使用证》[]，估价对象（分摊）出让国有建设用地使用权面积为1587.11平方米，建筑面积为4457.2平方米。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估价对象为北京市房地产,属开发建设的，该项目尚在开发建设中。根据《国有土地使用证》[]，估价对象（分摊）出让国有建设用地使用权面积为1587.11平方米，规划建筑面积为4457.2平方米。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2020年3月25日</v>
      </c>
    </row>
    <row r="13" spans="1:2" s="1592" customFormat="1">
      <c r="A13" s="1590" t="s">
        <v>1222</v>
      </c>
      <c r="B13" s="1591" t="str">
        <f>'预评函-1'!A18</f>
        <v>本次估价的“房地产价值”是指在正常市场情况下，在价值时点2020年3月25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1227</v>
      </c>
      <c r="B18" s="1594" t="str">
        <f>'预评函-1'!A24</f>
        <v>本次评估采用的主估价方法为基准地价系数修正法和基准地价系数修正法。</v>
      </c>
    </row>
    <row r="19" spans="1:2" s="1589" customFormat="1" ht="16.2"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33814</v>
      </c>
    </row>
    <row r="21" spans="1:2" s="1592" customFormat="1">
      <c r="A21" s="1590" t="s">
        <v>1230</v>
      </c>
      <c r="B21" s="1591">
        <f ca="1">'预评函-2'!D7</f>
        <v>75864</v>
      </c>
    </row>
    <row r="22" spans="1:2" s="1592" customFormat="1">
      <c r="A22" s="1590" t="s">
        <v>1231</v>
      </c>
      <c r="B22" s="1591" t="str">
        <f ca="1">'预评函-2'!D6</f>
        <v>叁亿叁仟捌佰壹拾肆万元整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33814</v>
      </c>
    </row>
    <row r="31" spans="1:2" s="1592" customFormat="1">
      <c r="A31" s="1590" t="s">
        <v>1269</v>
      </c>
      <c r="B31" s="1591">
        <f ca="1">'预评函-2'!D15</f>
        <v>75864</v>
      </c>
    </row>
    <row r="32" spans="1:2" s="1592" customFormat="1">
      <c r="A32" s="1590" t="s">
        <v>1236</v>
      </c>
      <c r="B32" s="1591" t="str">
        <f ca="1">'预评函-2'!D14</f>
        <v>叁亿叁仟捌佰壹拾肆万元整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北京市房地产</v>
      </c>
    </row>
    <row r="42" spans="1:2" s="1592" customFormat="1" ht="31.2">
      <c r="A42" s="1590" t="s">
        <v>1283</v>
      </c>
      <c r="B42" s="1591" t="str">
        <f>'预评函-3'!B2</f>
        <v>建筑面积</v>
      </c>
    </row>
    <row r="43" spans="1:2" s="1592" customFormat="1">
      <c r="A43" s="1590" t="s">
        <v>1284</v>
      </c>
      <c r="B43" s="1591">
        <f>'预评函-3'!B4</f>
        <v>4457.2</v>
      </c>
    </row>
    <row r="44" spans="1:2" s="1592" customFormat="1" ht="31.2">
      <c r="A44" s="1590" t="s">
        <v>1268</v>
      </c>
      <c r="B44" s="1591" t="str">
        <f>'预评函-3'!C2</f>
        <v>(分摊)土地面积</v>
      </c>
    </row>
    <row r="45" spans="1:2" s="1592" customFormat="1">
      <c r="A45" s="1590" t="s">
        <v>1240</v>
      </c>
      <c r="B45" s="1591">
        <f>'预评函-3'!C4</f>
        <v>1587.11</v>
      </c>
    </row>
    <row r="46" spans="1:2" s="1592" customFormat="1">
      <c r="A46" s="1590" t="s">
        <v>1266</v>
      </c>
      <c r="B46" s="1591" t="str">
        <f>'预评函-3'!D2</f>
        <v>出让国有建设用地使用权价值</v>
      </c>
    </row>
    <row r="47" spans="1:2" s="1592" customFormat="1">
      <c r="A47" s="1590" t="s">
        <v>1241</v>
      </c>
      <c r="B47" s="1591">
        <f ca="1">'预评函-3'!D4</f>
        <v>22250</v>
      </c>
    </row>
    <row r="48" spans="1:2" s="1592" customFormat="1">
      <c r="A48" s="1590" t="s">
        <v>1242</v>
      </c>
      <c r="B48" s="1591">
        <f ca="1">'预评函-3'!E4</f>
        <v>49919</v>
      </c>
    </row>
    <row r="49" spans="1:2" s="1592" customFormat="1">
      <c r="A49" s="1590" t="s">
        <v>1243</v>
      </c>
      <c r="B49" s="1591" t="str">
        <f ca="1">'预评函-3'!D5</f>
        <v>贰亿贰仟贰佰伍拾万元整</v>
      </c>
    </row>
    <row r="50" spans="1:2" s="1592" customFormat="1">
      <c r="A50" s="1590" t="s">
        <v>1267</v>
      </c>
      <c r="B50" s="1591" t="str">
        <f>'预评函-3'!F2</f>
        <v>在建建筑物价值</v>
      </c>
    </row>
    <row r="51" spans="1:2" s="1592" customFormat="1">
      <c r="A51" s="1590" t="s">
        <v>1244</v>
      </c>
      <c r="B51" s="1591">
        <f ca="1">'预评函-3'!F4</f>
        <v>11564</v>
      </c>
    </row>
    <row r="52" spans="1:2" s="1592" customFormat="1">
      <c r="A52" s="1590" t="s">
        <v>1245</v>
      </c>
      <c r="B52" s="1591">
        <f ca="1">'预评函-3'!G4</f>
        <v>25945</v>
      </c>
    </row>
    <row r="53" spans="1:2" s="1592" customFormat="1">
      <c r="A53" s="1590" t="s">
        <v>1273</v>
      </c>
      <c r="B53" s="1591" t="str">
        <f ca="1">'预评函-3'!F5</f>
        <v>壹亿壹仟伍佰陆拾肆万元整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6.2" thickBot="1">
      <c r="A57" s="1593" t="s">
        <v>1292</v>
      </c>
      <c r="B57" s="1594" t="str">
        <f>'预评函-3'!A6</f>
        <v>估价师知悉的法定优先受偿款</v>
      </c>
    </row>
    <row r="58" spans="1:2" s="1589" customFormat="1" ht="16.2"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6.2" thickBot="1">
      <c r="A69" s="1593" t="s">
        <v>1254</v>
      </c>
      <c r="B69" s="1595">
        <f>'预评函-4'!C31</f>
        <v>42551</v>
      </c>
    </row>
    <row r="70" spans="1:2" ht="16.2" thickTop="1">
      <c r="A70" s="1596" t="s">
        <v>1255</v>
      </c>
      <c r="B70" s="1597">
        <f>'预评函-4'!A4</f>
        <v>0</v>
      </c>
    </row>
    <row r="71" spans="1:2">
      <c r="A71" s="1590" t="s">
        <v>1256</v>
      </c>
      <c r="B71" s="1591">
        <f>'预评函-4'!B4</f>
        <v>0</v>
      </c>
    </row>
    <row r="72" spans="1:2">
      <c r="A72" s="1590" t="s">
        <v>1257</v>
      </c>
      <c r="B72" s="1599">
        <f>'预评函-4'!A5</f>
        <v>0</v>
      </c>
    </row>
    <row r="73" spans="1:2" s="1586" customFormat="1" ht="16.2" thickBot="1">
      <c r="A73" s="1593" t="s">
        <v>1258</v>
      </c>
      <c r="B73" s="1594">
        <f>'预评函-4'!B5</f>
        <v>0</v>
      </c>
    </row>
    <row r="74" spans="1:2" ht="16.2" thickTop="1">
      <c r="A74" s="1583" t="s">
        <v>1294</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0" sqref="H20"/>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3093</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27"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7"/>
      <c r="B54" s="2020" t="s">
        <v>860</v>
      </c>
      <c r="C54" s="2017" t="s">
        <v>1276</v>
      </c>
    </row>
    <row r="55" spans="1:4">
      <c r="A55" s="3027"/>
      <c r="B55" s="2020" t="s">
        <v>861</v>
      </c>
      <c r="C55" s="2017" t="s">
        <v>1277</v>
      </c>
    </row>
    <row r="56" spans="1:4">
      <c r="A56" s="3027"/>
      <c r="B56" s="2020" t="s">
        <v>862</v>
      </c>
      <c r="C56" s="2017" t="s">
        <v>1281</v>
      </c>
    </row>
    <row r="57" spans="1:4">
      <c r="A57" s="3027"/>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G36" sqref="G36"/>
    </sheetView>
  </sheetViews>
  <sheetFormatPr defaultColWidth="10" defaultRowHeight="18" customHeight="1"/>
  <cols>
    <col min="1" max="1" width="14.88671875" style="2030" customWidth="1"/>
    <col min="2" max="2" width="10" style="2030" customWidth="1"/>
    <col min="3" max="3" width="11.44140625" style="2030" customWidth="1"/>
    <col min="4" max="6" width="10" style="2030" customWidth="1"/>
    <col min="7" max="7" width="10.77734375" style="2030" customWidth="1"/>
    <col min="8" max="8" width="10" style="2030" customWidth="1"/>
    <col min="9" max="9" width="11.10937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28" t="str">
        <f>IF(B10="北京市","北京市",C10)&amp;F10&amp;IF(结果表!G1="在建","出让国有建设用地使用权及在建建筑物",IF(结果表!G1="土地","出让国有建设用地使用权",))&amp;B9&amp;"预评估"</f>
        <v>北京市房地产抵押价值预评估</v>
      </c>
      <c r="C1" s="3029"/>
      <c r="D1" s="3029"/>
      <c r="E1" s="3029"/>
      <c r="F1" s="3029"/>
      <c r="G1" s="3029"/>
      <c r="H1" s="3029"/>
      <c r="I1" s="303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1772</v>
      </c>
      <c r="B3" s="2034"/>
      <c r="C3" s="2035" t="s">
        <v>1773</v>
      </c>
      <c r="D3" s="2034">
        <v>43915</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3050</v>
      </c>
      <c r="C8" s="2054"/>
      <c r="D8" s="3031" t="s">
        <v>1779</v>
      </c>
      <c r="E8" s="2055" t="s">
        <v>3051</v>
      </c>
      <c r="F8" s="2056"/>
      <c r="G8" s="2024"/>
      <c r="H8" s="2024"/>
      <c r="I8" s="2024"/>
      <c r="J8" s="2040"/>
      <c r="K8" s="2041"/>
      <c r="L8" s="2026"/>
      <c r="M8" s="2026"/>
      <c r="N8" s="2027"/>
      <c r="O8" s="2028"/>
      <c r="P8" s="2027"/>
      <c r="Q8" s="2027"/>
      <c r="R8" s="2027"/>
    </row>
    <row r="9" spans="1:19" ht="18" customHeight="1" thickBot="1">
      <c r="A9" s="2038" t="s">
        <v>1780</v>
      </c>
      <c r="B9" s="2057" t="s">
        <v>3051</v>
      </c>
      <c r="C9" s="2058"/>
      <c r="D9" s="3032"/>
      <c r="E9" s="2057"/>
      <c r="F9" s="2059"/>
      <c r="G9" s="2060"/>
      <c r="H9" s="2060"/>
      <c r="I9" s="2060"/>
      <c r="J9" s="2040"/>
      <c r="K9" s="2052"/>
      <c r="L9" s="2026"/>
      <c r="M9" s="2026"/>
      <c r="N9" s="2027"/>
      <c r="O9" s="2028"/>
      <c r="P9" s="2027"/>
      <c r="Q9" s="2027"/>
      <c r="R9" s="2027"/>
    </row>
    <row r="10" spans="1:19" ht="18" customHeight="1" thickTop="1">
      <c r="A10" s="2061" t="s">
        <v>1781</v>
      </c>
      <c r="B10" s="2062" t="s">
        <v>3052</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3053</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3054</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v>61614</v>
      </c>
      <c r="E13" s="2078"/>
      <c r="F13" s="2078"/>
      <c r="G13" s="2078"/>
      <c r="H13" s="2078"/>
      <c r="I13" s="1047"/>
      <c r="J13" s="2040"/>
      <c r="K13" s="2052"/>
      <c r="L13" s="2026"/>
      <c r="M13" s="2026"/>
      <c r="N13" s="2027"/>
      <c r="O13" s="2028"/>
      <c r="P13" s="2027"/>
      <c r="Q13" s="2027"/>
      <c r="R13" s="2027"/>
    </row>
    <row r="14" spans="1:19" ht="18" customHeight="1">
      <c r="A14" s="2075"/>
      <c r="B14" s="2076"/>
      <c r="C14" s="2077" t="s">
        <v>1793</v>
      </c>
      <c r="D14" s="1050">
        <v>70</v>
      </c>
      <c r="E14" s="1050"/>
      <c r="F14" s="1050"/>
      <c r="G14" s="1050"/>
      <c r="H14" s="1050"/>
      <c r="I14" s="1050"/>
      <c r="J14" s="2040"/>
      <c r="K14" s="2079"/>
      <c r="L14" s="2026"/>
      <c r="M14" s="2026"/>
      <c r="N14" s="2027"/>
      <c r="O14" s="2028"/>
      <c r="P14" s="2027"/>
      <c r="Q14" s="2027"/>
      <c r="R14" s="2027"/>
    </row>
    <row r="15" spans="1:19" ht="18" customHeight="1">
      <c r="A15" s="2061"/>
      <c r="B15" s="2080"/>
      <c r="C15" s="2077" t="s">
        <v>1794</v>
      </c>
      <c r="D15" s="1049">
        <f>IF(B12="出让",IF(D13="","",ROUNDDOWN(MIN((D13-$D$3)/365,D14),2)),D14)</f>
        <v>48.49</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38"/>
      <c r="C16" s="3039"/>
      <c r="D16" s="3040"/>
      <c r="E16" s="2084" t="s">
        <v>1796</v>
      </c>
      <c r="F16" s="3041"/>
      <c r="G16" s="3042"/>
      <c r="H16" s="3042"/>
      <c r="I16" s="3043"/>
      <c r="J16" s="2027"/>
      <c r="K16" s="2081"/>
      <c r="L16" s="2082"/>
      <c r="M16" s="2082"/>
      <c r="N16" s="2083"/>
      <c r="O16" s="2082"/>
      <c r="P16" s="2083"/>
      <c r="Q16" s="2027"/>
      <c r="R16" s="2027"/>
    </row>
    <row r="17" spans="1:22" ht="18" customHeight="1">
      <c r="A17" s="2085" t="s">
        <v>1797</v>
      </c>
      <c r="B17" s="2033" t="s">
        <v>1798</v>
      </c>
      <c r="C17" s="1054">
        <f>'数据-汇总表'!E3</f>
        <v>4457.2</v>
      </c>
      <c r="D17" s="2086" t="s">
        <v>1799</v>
      </c>
      <c r="E17" s="3044" t="s">
        <v>1800</v>
      </c>
      <c r="F17" s="3045"/>
      <c r="G17" s="3045"/>
      <c r="H17" s="3045"/>
      <c r="I17" s="3046"/>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3">
        <f>'数据-汇总表'!D3</f>
        <v>1587.11</v>
      </c>
      <c r="D18" s="2089" t="s">
        <v>1799</v>
      </c>
      <c r="E18" s="3047" t="s">
        <v>1803</v>
      </c>
      <c r="F18" s="3048"/>
      <c r="G18" s="3048"/>
      <c r="H18" s="3048"/>
      <c r="I18" s="3049"/>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34" t="s">
        <v>1808</v>
      </c>
      <c r="C20" s="3035"/>
      <c r="D20" s="3036" t="s">
        <v>1809</v>
      </c>
      <c r="E20" s="3037"/>
      <c r="F20" s="2096" t="s">
        <v>1810</v>
      </c>
      <c r="G20" s="2040"/>
      <c r="H20" s="2040"/>
      <c r="I20" s="2040"/>
      <c r="J20" s="2040"/>
      <c r="K20" s="3033"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3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3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51"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51"/>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51"/>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52"/>
      <c r="B30" s="2033" t="s">
        <v>1827</v>
      </c>
      <c r="C30" s="3053"/>
      <c r="D30" s="3054"/>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55"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56"/>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56"/>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50" t="s">
        <v>1837</v>
      </c>
      <c r="T34" s="2133" t="str">
        <f>NUMBERSTRING(7-K34,1)&amp;"通"</f>
        <v>七通</v>
      </c>
      <c r="U34" s="2027"/>
      <c r="V34" s="2027"/>
    </row>
    <row r="35" spans="1:22" ht="18" customHeight="1">
      <c r="A35" s="2134"/>
      <c r="B35" s="3057" t="s">
        <v>1838</v>
      </c>
      <c r="C35" s="3057"/>
      <c r="D35" s="3057"/>
      <c r="E35" s="3057"/>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0"/>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t="s">
        <v>523</v>
      </c>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t="s">
        <v>204</v>
      </c>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8671875" defaultRowHeight="13.8"/>
  <cols>
    <col min="1" max="1" width="10.6640625" style="2158" customWidth="1"/>
    <col min="2" max="2" width="11" style="2158" customWidth="1"/>
    <col min="3" max="3" width="10.33203125" style="2158" customWidth="1"/>
    <col min="4" max="4" width="9.109375" style="2158" customWidth="1"/>
    <col min="5" max="6" width="10" style="2221" customWidth="1"/>
    <col min="7" max="8" width="10" style="2158" customWidth="1"/>
    <col min="9" max="9" width="10.6640625" style="2158" customWidth="1"/>
    <col min="10" max="10" width="9.44140625" style="2158" customWidth="1"/>
    <col min="11" max="11" width="11" style="2158" customWidth="1"/>
    <col min="12" max="14" width="9.44140625" style="2158" customWidth="1"/>
    <col min="15" max="15" width="9.88671875" style="2158" customWidth="1"/>
    <col min="16" max="16" width="9.77734375" style="2158" customWidth="1"/>
    <col min="17" max="17" width="9.33203125" style="2158" customWidth="1"/>
    <col min="18" max="18" width="9.21875" style="2158" customWidth="1"/>
    <col min="19" max="19" width="10.88671875" style="2158" customWidth="1"/>
    <col min="20" max="21" width="10.77734375" style="2158" customWidth="1"/>
    <col min="22" max="22" width="10.88671875" style="2158" customWidth="1"/>
    <col min="23" max="27" width="10.77734375" style="2158" customWidth="1"/>
    <col min="28" max="28" width="10.88671875" style="2158" customWidth="1"/>
    <col min="29" max="29" width="11" style="2158" bestFit="1" customWidth="1"/>
    <col min="30" max="30" width="10" style="2158" bestFit="1" customWidth="1"/>
    <col min="31" max="31" width="9.77734375" style="2158" customWidth="1"/>
    <col min="32"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1870</v>
      </c>
      <c r="AZ2" s="1269"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v>1587.11</v>
      </c>
      <c r="B3" s="14">
        <f>IF(C3="否",G5-AT5,G5)</f>
        <v>4457.2</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1874</v>
      </c>
      <c r="B5" s="1802"/>
      <c r="C5" s="1802"/>
      <c r="D5" s="1805"/>
      <c r="E5" s="16" t="s">
        <v>1</v>
      </c>
      <c r="F5" s="16">
        <f>SUM(F13:F587)</f>
        <v>0</v>
      </c>
      <c r="G5" s="16">
        <f>SUM(G13:G587)</f>
        <v>4457.2</v>
      </c>
      <c r="H5" s="16">
        <f t="shared" ref="H5:AT5" si="0">SUM(H13:H656)</f>
        <v>4457.2</v>
      </c>
      <c r="I5" s="16">
        <f t="shared" si="0"/>
        <v>4457.2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4457.2</v>
      </c>
      <c r="BA5" s="18">
        <f t="shared" si="1"/>
        <v>4457.2</v>
      </c>
      <c r="BB5" s="18">
        <f t="shared" si="1"/>
        <v>4457.2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3.2">
      <c r="A6" s="15" t="s">
        <v>1875</v>
      </c>
      <c r="B6" s="2173"/>
      <c r="C6" s="2173"/>
      <c r="D6" s="2174"/>
      <c r="E6" s="16">
        <f>H6+AC6+AT6</f>
        <v>1587.11</v>
      </c>
      <c r="F6" s="16" t="s">
        <v>1</v>
      </c>
      <c r="G6" s="16" t="s">
        <v>2</v>
      </c>
      <c r="H6" s="20">
        <f>SUMIF(I$12:AB$12,"总值",I6:AB6)</f>
        <v>1587.11</v>
      </c>
      <c r="I6" s="16">
        <f t="shared" ref="I6:AB6" si="2">ROUND($A$3*I5/$B$3,2)</f>
        <v>1587.11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1587.11</v>
      </c>
      <c r="AZ6" s="16" t="s">
        <v>3</v>
      </c>
      <c r="BA6" s="16">
        <f>ROUND($AY$6*BA5/$AZ$5,2)</f>
        <v>1587.11</v>
      </c>
      <c r="BB6" s="16">
        <f>ROUND($AY$6*BB5/$AZ$5,2)</f>
        <v>1587.11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5.2">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1" t="s">
        <v>1890</v>
      </c>
      <c r="AU8" s="2181" t="s">
        <v>1891</v>
      </c>
      <c r="AV8" s="1291"/>
      <c r="AW8" s="2164"/>
      <c r="AX8" s="1291"/>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3.2">
      <c r="A9" s="2181"/>
      <c r="B9" s="2181"/>
      <c r="C9" s="2181"/>
      <c r="D9" s="2181"/>
      <c r="E9" s="2181"/>
      <c r="F9" s="2181"/>
      <c r="G9" s="1291"/>
      <c r="H9" s="2189" t="s">
        <v>1894</v>
      </c>
      <c r="I9" s="2190" t="s">
        <v>3056</v>
      </c>
      <c r="J9" s="981"/>
      <c r="K9" s="2190"/>
      <c r="L9" s="981"/>
      <c r="M9" s="2190"/>
      <c r="N9" s="981"/>
      <c r="O9" s="2190"/>
      <c r="P9" s="981"/>
      <c r="Q9" s="2190"/>
      <c r="R9" s="981"/>
      <c r="S9" s="2190"/>
      <c r="T9" s="981"/>
      <c r="U9" s="2190"/>
      <c r="V9" s="981"/>
      <c r="W9" s="2190"/>
      <c r="X9" s="2191"/>
      <c r="Y9" s="2190"/>
      <c r="Z9" s="981"/>
      <c r="AA9" s="2190"/>
      <c r="AB9" s="981"/>
      <c r="AC9" s="2182"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92"/>
      <c r="AT9" s="2181"/>
      <c r="AU9" s="2181" t="s">
        <v>1897</v>
      </c>
      <c r="AV9" s="1291"/>
      <c r="AW9" s="2164"/>
      <c r="AX9" s="1291"/>
      <c r="AY9" s="28"/>
      <c r="AZ9" s="28" t="s">
        <v>1887</v>
      </c>
      <c r="BA9" s="2193" t="s">
        <v>1898</v>
      </c>
      <c r="BB9" s="2194"/>
      <c r="BC9" s="1337"/>
      <c r="BD9" s="1337"/>
      <c r="BE9" s="1337"/>
      <c r="BF9" s="1337"/>
      <c r="BG9" s="1337"/>
      <c r="BH9" s="1337"/>
      <c r="BI9" s="1337"/>
      <c r="BJ9" s="1337"/>
      <c r="BK9" s="2195"/>
      <c r="BL9" s="15" t="s">
        <v>1899</v>
      </c>
      <c r="BM9" s="1817"/>
      <c r="BN9" s="2184"/>
      <c r="BO9" s="1817"/>
      <c r="BP9" s="1817"/>
      <c r="BQ9" s="1817"/>
      <c r="BR9" s="1817"/>
      <c r="BS9" s="1817"/>
      <c r="BT9" s="26"/>
    </row>
    <row r="10" spans="1:72" s="2188" customFormat="1" ht="13.2">
      <c r="A10" s="2181"/>
      <c r="B10" s="2181"/>
      <c r="C10" s="2181"/>
      <c r="D10" s="2181"/>
      <c r="E10" s="2181"/>
      <c r="F10" s="2181"/>
      <c r="G10" s="1291"/>
      <c r="H10" s="28"/>
      <c r="I10" s="2190"/>
      <c r="J10" s="981"/>
      <c r="K10" s="2196"/>
      <c r="L10" s="981"/>
      <c r="M10" s="2196"/>
      <c r="N10" s="981"/>
      <c r="O10" s="2196"/>
      <c r="P10" s="981"/>
      <c r="Q10" s="2196"/>
      <c r="R10" s="981"/>
      <c r="S10" s="2196"/>
      <c r="T10" s="981"/>
      <c r="U10" s="2196"/>
      <c r="V10" s="981"/>
      <c r="W10" s="2196"/>
      <c r="X10" s="981"/>
      <c r="Y10" s="2196"/>
      <c r="Z10" s="981"/>
      <c r="AA10" s="2196"/>
      <c r="AB10" s="981"/>
      <c r="AC10" s="1291"/>
      <c r="AD10" s="15" t="s">
        <v>1900</v>
      </c>
      <c r="AE10" s="2197"/>
      <c r="AF10" s="15" t="s">
        <v>1900</v>
      </c>
      <c r="AG10" s="2197"/>
      <c r="AH10" s="15" t="s">
        <v>1901</v>
      </c>
      <c r="AI10" s="2197"/>
      <c r="AJ10" s="15" t="s">
        <v>1901</v>
      </c>
      <c r="AK10" s="2197"/>
      <c r="AL10" s="15" t="s">
        <v>1902</v>
      </c>
      <c r="AM10" s="1297"/>
      <c r="AN10" s="15" t="s">
        <v>1902</v>
      </c>
      <c r="AO10" s="1297"/>
      <c r="AP10" s="15" t="s">
        <v>1903</v>
      </c>
      <c r="AQ10" s="1297"/>
      <c r="AR10" s="15" t="s">
        <v>1903</v>
      </c>
      <c r="AS10" s="1297"/>
      <c r="AT10" s="2181"/>
      <c r="AU10" s="2181"/>
      <c r="AV10" s="1291"/>
      <c r="AW10" s="2164"/>
      <c r="AX10" s="1291"/>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3.2">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1"/>
      <c r="AW11" s="2164"/>
      <c r="AX11" s="1291"/>
      <c r="AY11" s="28"/>
      <c r="AZ11" s="28"/>
      <c r="BA11" s="28"/>
      <c r="BB11" s="2186">
        <f>I10</f>
        <v>0</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3.2">
      <c r="A13" s="1271"/>
      <c r="B13" s="1271"/>
      <c r="C13" s="1271"/>
      <c r="D13" s="2212" t="s">
        <v>3055</v>
      </c>
      <c r="E13" s="16">
        <f>IF($C$3="是",ROUND($A$3*G13/$B$3,2),ROUND($A$3*(G13-AT13)/$B$3,2))</f>
        <v>23.15</v>
      </c>
      <c r="F13" s="32"/>
      <c r="G13" s="33">
        <f>H13+AC13+AT13</f>
        <v>65</v>
      </c>
      <c r="H13" s="20">
        <f>SUMIF(I$12:AB$12,"总值",I13:AB13)</f>
        <v>65</v>
      </c>
      <c r="I13" s="2213">
        <f>Sheet1!C2</f>
        <v>65</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5">
        <f>ROUND($AY$6*AZ13/$AZ$5,2)</f>
        <v>23.15</v>
      </c>
      <c r="AZ13" s="16">
        <f>BA13+BL13</f>
        <v>65</v>
      </c>
      <c r="BA13" s="16">
        <f>SUM(BB13:BK13)</f>
        <v>65</v>
      </c>
      <c r="BB13" s="16">
        <f>IF($D13="是",I13-J13,0)</f>
        <v>65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2">
      <c r="A14" s="1271"/>
      <c r="B14" s="1271"/>
      <c r="C14" s="2152"/>
      <c r="D14" s="2212" t="s">
        <v>3055</v>
      </c>
      <c r="E14" s="16">
        <f>IF($C$3="是",ROUND($A$3*G14/$B$3,2),ROUND($A$3*(G14-AT14)/$B$3,2))</f>
        <v>1563.96</v>
      </c>
      <c r="F14" s="32"/>
      <c r="G14" s="33">
        <f>H14+AC14+AT14</f>
        <v>4392.2</v>
      </c>
      <c r="H14" s="20">
        <f>SUMIF(I$12:AB$12,"总值",I14:AB14)</f>
        <v>4392.2</v>
      </c>
      <c r="I14" s="2213">
        <f>Sheet1!C70-'数据-基础表'!I13</f>
        <v>4392.2</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1563.96</v>
      </c>
      <c r="AZ14" s="16">
        <f>BA14+BL14</f>
        <v>4392.2</v>
      </c>
      <c r="BA14" s="16">
        <f>SUM(BB14:BK14)</f>
        <v>4392.2</v>
      </c>
      <c r="BB14" s="16">
        <f>IF($D14="是",I14-J14,0)</f>
        <v>4392.2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2">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2">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3.2">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8" t="s">
        <v>0</v>
      </c>
      <c r="B1" s="3058" t="s">
        <v>4</v>
      </c>
      <c r="C1" s="3058" t="s">
        <v>5</v>
      </c>
      <c r="D1" s="3059" t="s">
        <v>53</v>
      </c>
      <c r="E1" s="3059" t="s">
        <v>54</v>
      </c>
      <c r="F1" s="3059"/>
      <c r="G1" s="3059"/>
      <c r="H1" s="3059"/>
      <c r="I1" s="3059"/>
      <c r="J1" s="3059"/>
      <c r="K1" s="3059"/>
      <c r="L1" s="3059"/>
      <c r="M1" s="3059"/>
    </row>
    <row r="2" spans="1:13" ht="27" customHeight="1">
      <c r="A2" s="3058"/>
      <c r="B2" s="3058"/>
      <c r="C2" s="3058"/>
      <c r="D2" s="3059"/>
      <c r="E2" s="3059" t="s">
        <v>37</v>
      </c>
      <c r="F2" s="3059" t="s">
        <v>38</v>
      </c>
      <c r="G2" s="3059"/>
      <c r="H2" s="3059"/>
      <c r="I2" s="3059"/>
      <c r="J2" s="3059" t="s">
        <v>39</v>
      </c>
      <c r="K2" s="3059"/>
      <c r="L2" s="3059"/>
      <c r="M2" s="3059"/>
    </row>
    <row r="3" spans="1:13" ht="46.8">
      <c r="A3" s="3058"/>
      <c r="B3" s="3058"/>
      <c r="C3" s="3058"/>
      <c r="D3" s="3059"/>
      <c r="E3" s="305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9" t="s">
        <v>55</v>
      </c>
      <c r="B9" s="3059"/>
      <c r="C9" s="30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1933</v>
      </c>
      <c r="B1" s="1391"/>
      <c r="C1" s="1391"/>
      <c r="D1" s="1391"/>
      <c r="E1" s="1391"/>
      <c r="F1" s="1391"/>
      <c r="G1" s="1391"/>
      <c r="H1" s="1391"/>
      <c r="I1" s="1391"/>
      <c r="J1" s="1391"/>
      <c r="K1" s="1391"/>
      <c r="L1" s="1391"/>
      <c r="M1" s="1391"/>
      <c r="N1" s="1391"/>
      <c r="O1" s="1391"/>
      <c r="P1" s="1391"/>
    </row>
    <row r="2" spans="1:16" ht="14.4">
      <c r="A2" s="3069" t="s">
        <v>1934</v>
      </c>
      <c r="B2" s="3069"/>
      <c r="C2" s="3069"/>
      <c r="D2" s="967" t="s">
        <v>1910</v>
      </c>
      <c r="E2" s="2226" t="s">
        <v>1911</v>
      </c>
      <c r="F2" s="1391"/>
      <c r="G2" s="2227"/>
      <c r="H2" s="2228"/>
      <c r="I2" s="2229" t="s">
        <v>1935</v>
      </c>
      <c r="J2" s="1391"/>
      <c r="K2" s="1391"/>
      <c r="L2" s="1391"/>
      <c r="M2" s="1391"/>
      <c r="N2" s="1426"/>
      <c r="O2" s="1391"/>
      <c r="P2" s="1391"/>
    </row>
    <row r="3" spans="1:16" ht="15" thickBot="1">
      <c r="A3" s="3070" t="s">
        <v>1908</v>
      </c>
      <c r="B3" s="3070"/>
      <c r="C3" s="3070"/>
      <c r="D3" s="46">
        <f>'数据-基础表'!AY6</f>
        <v>1587.11</v>
      </c>
      <c r="E3" s="46">
        <f>'数据-基础表'!AZ5</f>
        <v>4457.2</v>
      </c>
      <c r="F3" s="1391"/>
      <c r="G3" s="1398"/>
      <c r="H3" s="1246" t="s">
        <v>1909</v>
      </c>
      <c r="I3" s="55">
        <f>ROUND('数据-基础表'!B3/'数据-基础表'!A3,2)</f>
        <v>2.81</v>
      </c>
      <c r="J3" s="1391"/>
      <c r="K3" s="1391"/>
      <c r="L3" s="1391"/>
      <c r="M3" s="1391"/>
      <c r="N3" s="1426"/>
      <c r="O3" s="1391"/>
      <c r="P3" s="1391"/>
    </row>
    <row r="4" spans="1:16" ht="14.4">
      <c r="A4" s="3071"/>
      <c r="B4" s="3072"/>
      <c r="C4" s="3073"/>
      <c r="D4" s="2230" t="s">
        <v>1910</v>
      </c>
      <c r="E4" s="2231" t="s">
        <v>1911</v>
      </c>
      <c r="F4" s="1391"/>
      <c r="G4" s="2232" t="s">
        <v>1936</v>
      </c>
      <c r="H4" s="1246" t="s">
        <v>1916</v>
      </c>
      <c r="I4" s="55">
        <f>ROUND(SUMIF('数据-基础表'!I9:AS9,"地上",'数据-基础表'!I5:AS5)/'数据-基础表'!A3,2)</f>
        <v>2.81</v>
      </c>
      <c r="J4" s="1391"/>
      <c r="K4" s="1391"/>
      <c r="L4" s="1391"/>
      <c r="M4" s="1391"/>
      <c r="N4" s="1426"/>
      <c r="O4" s="1391"/>
      <c r="P4" s="1391"/>
    </row>
    <row r="5" spans="1:16" ht="14.4">
      <c r="A5" s="47" t="s">
        <v>1912</v>
      </c>
      <c r="B5" s="3074" t="s">
        <v>1913</v>
      </c>
      <c r="C5" s="3074"/>
      <c r="D5" s="48">
        <f>ROUND($D$3*E5/$E$3,2)</f>
        <v>0</v>
      </c>
      <c r="E5" s="49">
        <f>SUMIF('数据-基础表'!$11:$11,"住宅",'数据-基础表'!$5:$5)</f>
        <v>0</v>
      </c>
      <c r="F5" s="1391"/>
      <c r="G5" s="1398"/>
      <c r="H5" s="1246" t="s">
        <v>1909</v>
      </c>
      <c r="I5" s="55">
        <f>ROUND(E31/D31,2)</f>
        <v>2.81</v>
      </c>
      <c r="J5" s="1391"/>
      <c r="K5" s="1391"/>
      <c r="L5" s="1391"/>
      <c r="M5" s="1391"/>
      <c r="N5" s="1391"/>
      <c r="O5" s="1391"/>
      <c r="P5" s="1391"/>
    </row>
    <row r="6" spans="1:16" ht="15" thickBot="1">
      <c r="A6" s="2233"/>
      <c r="B6" s="3074" t="s">
        <v>1914</v>
      </c>
      <c r="C6" s="3074"/>
      <c r="D6" s="48">
        <f>ROUND($D$3*E6/$E$3,2)</f>
        <v>1587.11</v>
      </c>
      <c r="E6" s="49">
        <f>E3-E5</f>
        <v>4457.2</v>
      </c>
      <c r="F6" s="1391"/>
      <c r="G6" s="2234" t="s">
        <v>1915</v>
      </c>
      <c r="H6" s="1398" t="s">
        <v>1916</v>
      </c>
      <c r="I6" s="939">
        <f>ROUND(F31/D31,2)</f>
        <v>2.81</v>
      </c>
      <c r="J6" s="1391"/>
      <c r="K6" s="1391"/>
      <c r="L6" s="1391"/>
      <c r="M6" s="1391"/>
      <c r="N6" s="1391"/>
      <c r="O6" s="1391"/>
      <c r="P6" s="1391"/>
    </row>
    <row r="7" spans="1:16" ht="14.4">
      <c r="A7" s="3066"/>
      <c r="B7" s="3067"/>
      <c r="C7" s="3068"/>
      <c r="D7" s="2230" t="s">
        <v>1910</v>
      </c>
      <c r="E7" s="2235" t="s">
        <v>1917</v>
      </c>
      <c r="F7" s="1391"/>
      <c r="G7" s="2227" t="s">
        <v>1918</v>
      </c>
      <c r="H7" s="64"/>
      <c r="I7" s="420"/>
      <c r="J7" s="1391"/>
      <c r="K7" s="1391"/>
      <c r="L7" s="1391"/>
      <c r="M7" s="1391"/>
      <c r="N7" s="1391"/>
      <c r="O7" s="1391"/>
      <c r="P7" s="1391"/>
    </row>
    <row r="8" spans="1:16" ht="14.4">
      <c r="A8" s="47" t="s">
        <v>1919</v>
      </c>
      <c r="B8" s="50" t="s">
        <v>1920</v>
      </c>
      <c r="C8" s="48" t="s">
        <v>1921</v>
      </c>
      <c r="D8" s="48">
        <f t="shared" ref="D8:D15" si="0">ROUND($D$3*E8/$E$3,2)</f>
        <v>1587.11</v>
      </c>
      <c r="E8" s="51">
        <f>SUMIF('数据-基础表'!BB10:BK10,"地上",'数据-基础表'!BB5:BK5)</f>
        <v>4457.2</v>
      </c>
      <c r="F8" s="1391"/>
      <c r="G8" s="2236"/>
      <c r="H8" s="2236"/>
      <c r="I8" s="1391"/>
      <c r="J8" s="1391"/>
      <c r="K8" s="1391"/>
      <c r="L8" s="1391"/>
      <c r="M8" s="1391"/>
      <c r="N8" s="1391"/>
      <c r="O8" s="1391"/>
      <c r="P8" s="1391"/>
    </row>
    <row r="9" spans="1:16" ht="14.4">
      <c r="A9" s="2237"/>
      <c r="B9" s="2238"/>
      <c r="C9" s="48" t="s">
        <v>1922</v>
      </c>
      <c r="D9" s="48">
        <f t="shared" si="0"/>
        <v>0</v>
      </c>
      <c r="E9" s="52">
        <v>0</v>
      </c>
      <c r="F9" s="1391"/>
      <c r="G9" s="2236"/>
      <c r="H9" s="2236"/>
      <c r="I9" s="1391"/>
      <c r="J9" s="1391"/>
      <c r="K9" s="1391"/>
      <c r="L9" s="1391"/>
      <c r="M9" s="1391"/>
      <c r="N9" s="1391"/>
      <c r="O9" s="1391"/>
      <c r="P9" s="1391"/>
    </row>
    <row r="10" spans="1:16" ht="14.4">
      <c r="A10" s="2237"/>
      <c r="B10" s="2238"/>
      <c r="C10" s="48" t="s">
        <v>1931</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ht="14.4">
      <c r="A11" s="2237"/>
      <c r="B11" s="2238"/>
      <c r="C11" s="48" t="s">
        <v>1923</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ht="14.4">
      <c r="A12" s="2237"/>
      <c r="B12" s="2238"/>
      <c r="C12" s="48" t="s">
        <v>1924</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ht="14.4">
      <c r="A13" s="2237"/>
      <c r="B13" s="2238"/>
      <c r="C13" s="48" t="s">
        <v>1925</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ht="14.4">
      <c r="A14" s="2237"/>
      <c r="B14" s="2238"/>
      <c r="C14" s="48" t="s">
        <v>1937</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1932</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 thickBot="1">
      <c r="A16" s="2233"/>
      <c r="B16" s="2238"/>
      <c r="C16" s="50" t="s">
        <v>1926</v>
      </c>
      <c r="D16" s="50">
        <f>SUM(D8:D15)</f>
        <v>1587.11</v>
      </c>
      <c r="E16" s="53">
        <f>SUM(E8:E15)</f>
        <v>4457.2</v>
      </c>
      <c r="F16" s="1391"/>
      <c r="G16" s="2236"/>
      <c r="H16" s="2239" t="s">
        <v>1938</v>
      </c>
      <c r="I16" s="2240"/>
      <c r="J16" s="1391"/>
      <c r="K16" s="3063" t="s">
        <v>1938</v>
      </c>
      <c r="L16" s="3064"/>
      <c r="M16" s="3064"/>
      <c r="N16" s="3064"/>
      <c r="O16" s="3064"/>
      <c r="P16" s="3065"/>
    </row>
    <row r="17" spans="1:19" ht="14.4">
      <c r="A17" s="2241" t="s">
        <v>1939</v>
      </c>
      <c r="B17" s="2242" t="s">
        <v>1940</v>
      </c>
      <c r="C17" s="2243" t="s">
        <v>1941</v>
      </c>
      <c r="D17" s="2244" t="s">
        <v>1929</v>
      </c>
      <c r="E17" s="2245" t="s">
        <v>1930</v>
      </c>
      <c r="F17" s="2246"/>
      <c r="G17" s="2247"/>
      <c r="H17" s="2248" t="s">
        <v>1942</v>
      </c>
      <c r="I17" s="2249" t="s">
        <v>1927</v>
      </c>
      <c r="J17" s="1391"/>
      <c r="K17" s="3060" t="s">
        <v>1943</v>
      </c>
      <c r="L17" s="3061"/>
      <c r="M17" s="3062"/>
      <c r="N17" s="3060" t="s">
        <v>1944</v>
      </c>
      <c r="O17" s="3061"/>
      <c r="P17" s="3062"/>
      <c r="R17" s="2227" t="s">
        <v>1945</v>
      </c>
      <c r="S17" s="64"/>
    </row>
    <row r="18" spans="1:19" ht="14.4">
      <c r="A18" s="2237"/>
      <c r="B18" s="2250"/>
      <c r="C18" s="2251"/>
      <c r="D18" s="2252"/>
      <c r="E18" s="2253" t="s">
        <v>1946</v>
      </c>
      <c r="F18" s="2254" t="s">
        <v>1947</v>
      </c>
      <c r="G18" s="2255" t="s">
        <v>1948</v>
      </c>
      <c r="H18" s="1261" t="s">
        <v>1949</v>
      </c>
      <c r="I18" s="2256" t="s">
        <v>1950</v>
      </c>
      <c r="J18" s="1391"/>
      <c r="K18" s="1261" t="s">
        <v>1951</v>
      </c>
      <c r="L18" s="2257" t="s">
        <v>1952</v>
      </c>
      <c r="M18" s="1046" t="s">
        <v>1953</v>
      </c>
      <c r="N18" s="1261" t="s">
        <v>1951</v>
      </c>
      <c r="O18" s="2257" t="s">
        <v>1952</v>
      </c>
      <c r="P18" s="1046" t="s">
        <v>1953</v>
      </c>
      <c r="R18" s="1246" t="s">
        <v>1954</v>
      </c>
      <c r="S18" s="1246" t="s">
        <v>1955</v>
      </c>
    </row>
    <row r="19" spans="1:19" ht="14.4">
      <c r="A19" s="2258"/>
      <c r="B19" s="50" t="s">
        <v>1928</v>
      </c>
      <c r="C19" s="2953" t="s">
        <v>3058</v>
      </c>
      <c r="D19" s="48">
        <f>ROUND($D$3*E19/$E$3,2)</f>
        <v>23.15</v>
      </c>
      <c r="E19" s="56">
        <f t="shared" ref="E19:E26" si="1">SUM(F19:G19)</f>
        <v>65</v>
      </c>
      <c r="F19" s="57">
        <f>'数据-基础表'!I13</f>
        <v>65</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23.15</v>
      </c>
      <c r="S19" s="1247">
        <f t="shared" si="5"/>
        <v>65</v>
      </c>
    </row>
    <row r="20" spans="1:19" ht="14.4">
      <c r="A20" s="2262"/>
      <c r="B20" s="50" t="s">
        <v>1956</v>
      </c>
      <c r="C20" s="2953" t="s">
        <v>3189</v>
      </c>
      <c r="D20" s="48">
        <f t="shared" ref="D20:D26" si="6">ROUND($D$3*E20/$E$3,2)</f>
        <v>1563.96</v>
      </c>
      <c r="E20" s="56">
        <f t="shared" si="1"/>
        <v>4392.2</v>
      </c>
      <c r="F20" s="57">
        <f>'数据-基础表'!I14</f>
        <v>4392.2</v>
      </c>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1563.96</v>
      </c>
      <c r="S20" s="1247">
        <f t="shared" si="5"/>
        <v>4392.2</v>
      </c>
    </row>
    <row r="21" spans="1:19" ht="14.4">
      <c r="A21" s="2262"/>
      <c r="B21" s="50" t="s">
        <v>1956</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ht="14.4">
      <c r="A22" s="2262"/>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ht="14.4">
      <c r="A23" s="2262"/>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ht="14.4">
      <c r="A24" s="2262"/>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ht="14.4">
      <c r="A25" s="2262"/>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ht="14.4">
      <c r="A26" s="2262"/>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 thickBot="1">
      <c r="A27" s="2262"/>
      <c r="B27" s="48"/>
      <c r="C27" s="2265" t="s">
        <v>1957</v>
      </c>
      <c r="D27" s="1392">
        <f>SUM(D19:D26)</f>
        <v>1587.1100000000001</v>
      </c>
      <c r="E27" s="1393">
        <f>IF(SUM(E19:E26)='数据-基础表'!BA5,SUM(E19:E26),IF(F27="地上面积有误","面积有误","地下面积有误"))</f>
        <v>4457.2</v>
      </c>
      <c r="F27" s="1392">
        <f>IF(SUM(F19:F26)=E8,SUM(F19:F26),"地上面积有误")</f>
        <v>4457.2</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1587.1100000000001</v>
      </c>
      <c r="S27" s="1246">
        <f>IF(SUM(S19:S26)=$E$3,SUM(S19:S26),SUM(S19:S26)&amp;"误差"&amp;ROUND(SUM(S19:S26)-E3,2))</f>
        <v>4457.2</v>
      </c>
    </row>
    <row r="28" spans="1:19" ht="14.4">
      <c r="A28" s="2262"/>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62"/>
      <c r="B29" s="50" t="s">
        <v>1958</v>
      </c>
      <c r="C29" s="2266"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62"/>
      <c r="B30" s="50"/>
      <c r="C30" s="2267" t="s">
        <v>1957</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8"/>
      <c r="B31" s="2269"/>
      <c r="C31" s="1007" t="s">
        <v>1961</v>
      </c>
      <c r="D31" s="729">
        <f>D27+D30</f>
        <v>1587.1100000000001</v>
      </c>
      <c r="E31" s="729">
        <f>E27+E30</f>
        <v>4457.2</v>
      </c>
      <c r="F31" s="730">
        <f>F27+F30</f>
        <v>4457.2</v>
      </c>
      <c r="G31" s="731">
        <f>G27+G30</f>
        <v>0</v>
      </c>
      <c r="H31" s="1391"/>
      <c r="I31" s="1391"/>
      <c r="J31" s="1391"/>
      <c r="K31" s="1391"/>
      <c r="L31" s="1391"/>
      <c r="M31" s="1391"/>
      <c r="N31" s="1391"/>
      <c r="O31" s="1391"/>
      <c r="P31" s="1391"/>
    </row>
    <row r="32" spans="1:19" ht="14.4">
      <c r="A32" s="2232"/>
      <c r="B32" s="2232" t="s">
        <v>1962</v>
      </c>
      <c r="C32" s="2232"/>
      <c r="D32" s="2232"/>
      <c r="E32" s="1273">
        <f>SUMIF(C19:C26,"*住宅*",E19:E26)</f>
        <v>4457.2</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27" sqref="F27"/>
    </sheetView>
  </sheetViews>
  <sheetFormatPr defaultColWidth="13.77734375" defaultRowHeight="13.2"/>
  <cols>
    <col min="1" max="1" width="20.88671875" style="2344" customWidth="1"/>
    <col min="2" max="2" width="12" style="2274" customWidth="1"/>
    <col min="3" max="3" width="10.77734375" style="2274" customWidth="1"/>
    <col min="4" max="4" width="9.109375" style="2345" customWidth="1"/>
    <col min="5" max="5" width="15" style="2274" bestFit="1" customWidth="1"/>
    <col min="6" max="10" width="8.88671875" style="2274" customWidth="1"/>
    <col min="11" max="12" width="12.33203125" style="2188" customWidth="1"/>
    <col min="13" max="13" width="8.6640625" style="2274" customWidth="1"/>
    <col min="14" max="14" width="11.88671875" style="2274" customWidth="1"/>
    <col min="15" max="15" width="8.44140625" style="2274" customWidth="1"/>
    <col min="16" max="17" width="10.88671875" style="2274" customWidth="1"/>
    <col min="18" max="19" width="12.44140625" style="2274" customWidth="1"/>
    <col min="20" max="20" width="12.109375" style="2274" customWidth="1"/>
    <col min="21" max="21" width="7.44140625" style="2274" customWidth="1"/>
    <col min="22" max="22" width="6.33203125" style="2274" customWidth="1"/>
    <col min="23" max="30" width="6.77734375" style="2274" customWidth="1"/>
    <col min="31" max="31" width="8" style="2274" customWidth="1"/>
    <col min="32" max="34" width="7.21875" style="2274" customWidth="1"/>
    <col min="35" max="39" width="8" style="2274" customWidth="1"/>
    <col min="40" max="40" width="13.77734375" style="2273"/>
    <col min="41" max="41" width="11.6640625" style="2273" customWidth="1"/>
    <col min="42" max="42" width="9.77734375" style="2273" customWidth="1"/>
    <col min="43" max="67" width="13.77734375" style="2273"/>
    <col min="68" max="16384" width="13.77734375" style="2274"/>
  </cols>
  <sheetData>
    <row r="1" spans="1:67" ht="18"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5" t="s">
        <v>1964</v>
      </c>
      <c r="B2" s="1265">
        <f>项目基本情况!D3</f>
        <v>43915</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4.4"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57.6">
      <c r="A5" s="2288" t="s">
        <v>1971</v>
      </c>
      <c r="B5" s="2289" t="s">
        <v>1972</v>
      </c>
      <c r="C5" s="2290" t="s">
        <v>1973</v>
      </c>
      <c r="D5" s="2291" t="s">
        <v>1974</v>
      </c>
      <c r="E5" s="1267" t="s">
        <v>1975</v>
      </c>
      <c r="F5" s="2292" t="s">
        <v>1976</v>
      </c>
      <c r="G5" s="1267" t="s">
        <v>1977</v>
      </c>
      <c r="H5" s="1267" t="s">
        <v>1978</v>
      </c>
      <c r="I5" s="1267" t="s">
        <v>1979</v>
      </c>
      <c r="J5" s="2293" t="s">
        <v>1980</v>
      </c>
      <c r="K5" s="2294" t="s">
        <v>1981</v>
      </c>
      <c r="L5" s="2295" t="s">
        <v>1982</v>
      </c>
      <c r="M5" s="2296" t="s">
        <v>1983</v>
      </c>
      <c r="N5" s="2297" t="s">
        <v>3080</v>
      </c>
      <c r="O5" s="2295" t="s">
        <v>1984</v>
      </c>
      <c r="P5" s="2298" t="s">
        <v>1985</v>
      </c>
      <c r="Q5" s="69" t="s">
        <v>1986</v>
      </c>
      <c r="R5" s="2299" t="s">
        <v>1987</v>
      </c>
      <c r="S5" s="2300" t="s">
        <v>1988</v>
      </c>
      <c r="T5" s="2301" t="s">
        <v>1989</v>
      </c>
      <c r="U5" s="1266" t="s">
        <v>1990</v>
      </c>
      <c r="V5" s="1267" t="s">
        <v>1991</v>
      </c>
      <c r="W5" s="1267" t="s">
        <v>1992</v>
      </c>
      <c r="X5" s="71"/>
      <c r="Y5" s="70" t="s">
        <v>1993</v>
      </c>
      <c r="Z5" s="2302" t="s">
        <v>1990</v>
      </c>
      <c r="AA5" s="1267" t="s">
        <v>1991</v>
      </c>
      <c r="AB5" s="1267" t="s">
        <v>1992</v>
      </c>
      <c r="AC5" s="71"/>
      <c r="AD5" s="71" t="s">
        <v>1993</v>
      </c>
      <c r="AE5" s="1266" t="s">
        <v>1994</v>
      </c>
      <c r="AF5" s="1267" t="s">
        <v>1995</v>
      </c>
      <c r="AG5" s="70" t="s">
        <v>1996</v>
      </c>
      <c r="AH5" s="1266" t="s">
        <v>1997</v>
      </c>
      <c r="AI5" s="2302" t="s">
        <v>1998</v>
      </c>
      <c r="AJ5" s="2302" t="s">
        <v>1999</v>
      </c>
      <c r="AK5" s="1267" t="s">
        <v>2000</v>
      </c>
      <c r="AL5" s="1267" t="s">
        <v>2001</v>
      </c>
      <c r="AM5" s="70" t="s">
        <v>2002</v>
      </c>
      <c r="AN5" s="2303" t="s">
        <v>2003</v>
      </c>
      <c r="AO5" s="2073" t="s">
        <v>2004</v>
      </c>
      <c r="AP5" s="1248"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3.8">
      <c r="A6" s="2305" t="str">
        <f>'数据-汇总表'!C19</f>
        <v>住宅</v>
      </c>
      <c r="B6" s="2306" t="str">
        <f>IF(A6=0,"","经营性")</f>
        <v>经营性</v>
      </c>
      <c r="C6" s="2307" t="s">
        <v>3057</v>
      </c>
      <c r="D6" s="1051">
        <f>SUMIF(项目基本情况!D$12:I$12,C6,项目基本情况!D$14:I$14)</f>
        <v>70</v>
      </c>
      <c r="E6" s="1048">
        <f>IF(B6="","",SUMIF(项目基本情况!D$12:I$12,C6,项目基本情况!D$13:I$13))</f>
        <v>61614</v>
      </c>
      <c r="F6" s="72">
        <f>SUMIF(项目基本情况!D$12:I$12,C6,项目基本情况!D$15:I$15)</f>
        <v>48.49</v>
      </c>
      <c r="G6" s="73">
        <f>IF(ISERROR(ROUND(POWER(1+H6,D6-F6)*(POWER(1+H6,F6)-1)/(POWER(1+H6,D6)-1),3)),0,ROUND(POWER(1+H6,D6-F6)*(POWER(1+H6,F6)-1)/(POWER(1+H6,D6)-1),3))</f>
        <v>0.92400000000000004</v>
      </c>
      <c r="H6" s="802">
        <v>4.4999999999999998E-2</v>
      </c>
      <c r="I6" s="802">
        <v>0.05</v>
      </c>
      <c r="J6" s="74">
        <v>0.08</v>
      </c>
      <c r="K6" s="1250">
        <f>SUMIF('数据-汇总表'!C$19:C$33,A6,'数据-汇总表'!E$19:E$33)</f>
        <v>65</v>
      </c>
      <c r="L6" s="803">
        <v>2800</v>
      </c>
      <c r="M6" s="75">
        <f t="shared" ref="M6:M14" si="0">ROUND(K6*L6/10000,0)</f>
        <v>18</v>
      </c>
      <c r="N6" s="801">
        <f>N21/2</f>
        <v>0.69</v>
      </c>
      <c r="O6" s="75" t="str">
        <f>IF($N$5="成新度","——",ROUND(M6*N6,0))</f>
        <v>——</v>
      </c>
      <c r="P6" s="76" t="str">
        <f>IF($N$5="成新度","——",M6-O6)</f>
        <v>——</v>
      </c>
      <c r="Q6" s="804">
        <v>0.2</v>
      </c>
      <c r="R6" s="77">
        <f ca="1">SUMIF('数据-汇总表'!C$19:C$33,A6,'数据-汇总表'!R$19:R$27)</f>
        <v>23.15</v>
      </c>
      <c r="S6" s="54">
        <f>IF('数据-汇总表'!$I$17="按面积比例",SUMIF('数据-汇总表'!C$19:C$33,A6,'数据-汇总表'!K$19:K$33),SUMIF('数据-汇总表'!C$19:C$33,A6,'数据-汇总表'!N$19:N$33))</f>
        <v>0</v>
      </c>
      <c r="T6" s="1442">
        <f>ROUND($L$14*S6/10000,0)</f>
        <v>0</v>
      </c>
      <c r="U6" s="78">
        <v>3</v>
      </c>
      <c r="V6" s="79">
        <v>0.02</v>
      </c>
      <c r="W6" s="79">
        <v>0.1</v>
      </c>
      <c r="X6" s="1260"/>
      <c r="Y6" s="80">
        <f>N6</f>
        <v>0.69</v>
      </c>
      <c r="Z6" s="81"/>
      <c r="AA6" s="74"/>
      <c r="AB6" s="74"/>
      <c r="AC6" s="1260"/>
      <c r="AD6" s="82"/>
      <c r="AE6" s="1261">
        <f ca="1">IF(AN6="",0,SUMIF(INDIRECT("'"&amp;AN6&amp;"'"&amp;"!E:E"),$AE$5,INDIRECT("'"&amp;AN6&amp;"'"&amp;"!F:F")))</f>
        <v>48.49</v>
      </c>
      <c r="AF6" s="1803"/>
      <c r="AG6" s="147">
        <f>IF(AF6="",0,AE6-AF6)</f>
        <v>0</v>
      </c>
      <c r="AH6" s="83"/>
      <c r="AI6" s="85">
        <v>365</v>
      </c>
      <c r="AJ6" s="86"/>
      <c r="AK6" s="87">
        <v>1.4999999999999999E-2</v>
      </c>
      <c r="AL6" s="88">
        <v>1.5E-3</v>
      </c>
      <c r="AM6" s="89">
        <v>0.02</v>
      </c>
      <c r="AN6" s="2308" t="s">
        <v>3081</v>
      </c>
      <c r="AO6" s="55">
        <f ca="1">SUMIF(INDIRECT("'"&amp;AN6&amp;"'"&amp;"!A:A"),"总价",INDIRECT("'"&amp;AN6&amp;"'"&amp;"!B:B"))</f>
        <v>101</v>
      </c>
      <c r="AP6" s="2309">
        <f>IF(C6="住宅",K6*L6,0)</f>
        <v>182000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3.8">
      <c r="A7" s="2305" t="str">
        <f>'数据-汇总表'!C20</f>
        <v>住宅-其余</v>
      </c>
      <c r="B7" s="2306" t="str">
        <f t="shared" ref="B7:B13" si="1">IF(A7=0,"","经营性")</f>
        <v>经营性</v>
      </c>
      <c r="C7" s="2307"/>
      <c r="D7" s="1051">
        <f>SUMIF(项目基本情况!D$12:I$12,C7,项目基本情况!D$14:I$14)</f>
        <v>0</v>
      </c>
      <c r="E7" s="1048">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4392.2</v>
      </c>
      <c r="L7" s="803"/>
      <c r="M7" s="75">
        <f t="shared" si="0"/>
        <v>0</v>
      </c>
      <c r="N7" s="801"/>
      <c r="O7" s="75" t="str">
        <f t="shared" ref="O7:O14" si="3">IF($N$5="成新度","——",ROUND(M7*N7,0))</f>
        <v>——</v>
      </c>
      <c r="P7" s="76" t="str">
        <f t="shared" ref="P7:P14" si="4">IF($N$5="成新度","——",M7-O7)</f>
        <v>——</v>
      </c>
      <c r="Q7" s="804"/>
      <c r="R7" s="77">
        <f ca="1">SUMIF('数据-汇总表'!C$19:C$33,A7,'数据-汇总表'!R$19:R$27)</f>
        <v>1563.96</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3.8">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3.8">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3.8">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3.8">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3.8">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3.8">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4">
      <c r="A14" s="2310" t="s">
        <v>2008</v>
      </c>
      <c r="B14" s="2306" t="s">
        <v>2009</v>
      </c>
      <c r="C14" s="2311" t="s">
        <v>2008</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8.8">
      <c r="A15" s="2310" t="s">
        <v>2010</v>
      </c>
      <c r="B15" s="2306" t="s">
        <v>2009</v>
      </c>
      <c r="C15" s="2311" t="s">
        <v>2011</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 thickBot="1">
      <c r="A16" s="2312" t="s">
        <v>2012</v>
      </c>
      <c r="B16" s="97"/>
      <c r="C16" s="1005"/>
      <c r="D16" s="2313"/>
      <c r="E16" s="97"/>
      <c r="F16" s="97"/>
      <c r="G16" s="98">
        <f>ROUND(SUMPRODUCT(G6:G13,K6:K13)/SUMPRODUCT((G6:G13&gt;0)*(K6:K13)),3)</f>
        <v>0.92400000000000004</v>
      </c>
      <c r="H16" s="99">
        <f>ROUND(SUMPRODUCT(H6:H13,K6:K13)/SUMPRODUCT((H6:H13&gt;0)*(K6:K13)),3)</f>
        <v>4.4999999999999998E-2</v>
      </c>
      <c r="I16" s="100"/>
      <c r="J16" s="100"/>
      <c r="K16" s="101">
        <f>SUM(K6:K15)</f>
        <v>4457.2</v>
      </c>
      <c r="L16" s="102">
        <f>ROUND(M16*10000/SUM(K6:K14),0)</f>
        <v>40</v>
      </c>
      <c r="M16" s="102">
        <f>SUM(M6:M14)</f>
        <v>18</v>
      </c>
      <c r="N16" s="103">
        <f>ROUND(SUMPRODUCT(M6:M14,N6:N14)/M16,3)</f>
        <v>0.69</v>
      </c>
      <c r="O16" s="102">
        <f>SUM(O6:O14)</f>
        <v>0</v>
      </c>
      <c r="P16" s="102">
        <f>SUM(P6:P14)</f>
        <v>0</v>
      </c>
      <c r="Q16" s="104">
        <f>ROUND(SUMPRODUCT(Q6:Q13,K6:K13)/SUMPRODUCT((Q6:Q13&gt;0)*(K6:K13)),2)</f>
        <v>0.2</v>
      </c>
      <c r="R16" s="1254">
        <f ca="1">SUM(R6:R13)</f>
        <v>1587.1100000000001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8"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5" t="s">
        <v>2014</v>
      </c>
      <c r="B19" s="112">
        <v>0</v>
      </c>
      <c r="C19" s="2276" t="s">
        <v>2015</v>
      </c>
      <c r="D19" s="2277"/>
      <c r="E19" s="2276"/>
      <c r="F19" s="2276"/>
      <c r="G19" s="2276"/>
      <c r="H19" s="2276"/>
      <c r="I19" s="2276"/>
      <c r="J19" s="2276"/>
      <c r="K19" s="168"/>
      <c r="L19" s="168"/>
      <c r="M19" s="1580"/>
      <c r="N19" s="1580">
        <f>ROUND(1-(1-2%)*(2020-1996)/50,2)</f>
        <v>0.53</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6" t="s">
        <v>2016</v>
      </c>
      <c r="B20" s="113">
        <v>2</v>
      </c>
      <c r="C20" s="2276" t="s">
        <v>2017</v>
      </c>
      <c r="D20" s="2277"/>
      <c r="E20" s="2276"/>
      <c r="F20" s="2276"/>
      <c r="G20" s="2276"/>
      <c r="H20" s="2276"/>
      <c r="I20" s="2276"/>
      <c r="J20" s="2276"/>
      <c r="K20" s="168"/>
      <c r="L20" s="168"/>
      <c r="M20" s="1580"/>
      <c r="N20" s="1580">
        <v>0.85</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7" t="s">
        <v>2018</v>
      </c>
      <c r="B21" s="113">
        <v>2</v>
      </c>
      <c r="C21" s="2276"/>
      <c r="D21" s="2277"/>
      <c r="E21" s="2276"/>
      <c r="F21" s="2276"/>
      <c r="G21" s="2276"/>
      <c r="H21" s="2276"/>
      <c r="I21" s="2276"/>
      <c r="J21" s="2276"/>
      <c r="K21" s="168"/>
      <c r="L21" s="168"/>
      <c r="M21" s="1580"/>
      <c r="N21" s="1580">
        <f>N19+N20</f>
        <v>1.38</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6" t="s">
        <v>2019</v>
      </c>
      <c r="B22" s="114">
        <f>B19+B20</f>
        <v>2</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7" t="s">
        <v>2020</v>
      </c>
      <c r="B23" s="114">
        <f>B19+B21</f>
        <v>2</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2021</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2022</v>
      </c>
      <c r="B26" s="2319" t="s">
        <v>2023</v>
      </c>
      <c r="C26" s="2320" t="s">
        <v>2024</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8.8">
      <c r="A27" s="2321" t="s">
        <v>2025</v>
      </c>
      <c r="B27" s="116">
        <v>160</v>
      </c>
      <c r="C27" s="1763" t="s">
        <v>2026</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8.8">
      <c r="A28" s="2324" t="s">
        <v>2027</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9.4" thickBot="1">
      <c r="A29" s="2326" t="s">
        <v>2028</v>
      </c>
      <c r="B29" s="121"/>
      <c r="C29" s="1763" t="s">
        <v>2029</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8.8">
      <c r="A30" s="2327" t="s">
        <v>2030</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8.8">
      <c r="A31" s="2324" t="s">
        <v>2031</v>
      </c>
      <c r="B31" s="120">
        <f>B30-B32</f>
        <v>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9.4" thickBot="1">
      <c r="A32" s="2328" t="s">
        <v>2032</v>
      </c>
      <c r="B32" s="725">
        <v>200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4">
      <c r="A33" s="2321" t="s">
        <v>2033</v>
      </c>
      <c r="B33" s="726">
        <v>0.03</v>
      </c>
      <c r="C33" s="1762" t="s">
        <v>2034</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4">
      <c r="A34" s="2324" t="s">
        <v>2035</v>
      </c>
      <c r="B34" s="122">
        <v>0.05</v>
      </c>
      <c r="C34" s="1762" t="s">
        <v>2036</v>
      </c>
      <c r="D34" s="2277" t="s">
        <v>2037</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4">
      <c r="A35" s="2324" t="s">
        <v>2038</v>
      </c>
      <c r="B35" s="119">
        <v>200</v>
      </c>
      <c r="C35" s="1762" t="s">
        <v>2039</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2040</v>
      </c>
      <c r="B36" s="123">
        <v>1.4999999999999999E-2</v>
      </c>
      <c r="C36" s="1762" t="s">
        <v>2041</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7" t="s">
        <v>2042</v>
      </c>
      <c r="B37" s="124">
        <v>0.02</v>
      </c>
      <c r="C37" s="1762" t="s">
        <v>2043</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4" t="s">
        <v>2044</v>
      </c>
      <c r="B38" s="122">
        <v>0.02</v>
      </c>
      <c r="C38" s="1762" t="s">
        <v>2043</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8" t="s">
        <v>2045</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2046</v>
      </c>
      <c r="B40" s="1299">
        <f ca="1">存贷款利率!G1</f>
        <v>4.7500000000000001E-2</v>
      </c>
      <c r="C40" s="1762" t="s">
        <v>2047</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1" t="s">
        <v>2048</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9" t="s">
        <v>2049</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9" t="s">
        <v>2050</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1" t="s">
        <v>2051</v>
      </c>
      <c r="B44" s="128">
        <v>7.0000000000000007E-2</v>
      </c>
      <c r="C44" s="1762" t="s">
        <v>2052</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1" t="s">
        <v>2053</v>
      </c>
      <c r="B45" s="126">
        <v>0.03</v>
      </c>
      <c r="C45" s="1763" t="s">
        <v>2054</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1" t="s">
        <v>2055</v>
      </c>
      <c r="B46" s="126">
        <v>0.02</v>
      </c>
      <c r="C46" s="1763" t="s">
        <v>2056</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2057</v>
      </c>
      <c r="B47" s="129"/>
      <c r="C47" s="1763" t="s">
        <v>2058</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3" t="s">
        <v>2059</v>
      </c>
      <c r="B48" s="130">
        <v>0.03</v>
      </c>
      <c r="C48" s="1770" t="s">
        <v>2060</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2061</v>
      </c>
      <c r="B49" s="126">
        <v>5.0000000000000001E-4</v>
      </c>
      <c r="C49" s="1770" t="s">
        <v>2062</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4" t="s">
        <v>2063</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2064</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4" t="s">
        <v>2065</v>
      </c>
      <c r="B52" s="133">
        <f>SUMIF(A54:A63,B53,B54:B63)</f>
        <v>3</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4" t="s">
        <v>2066</v>
      </c>
      <c r="B53" s="2335" t="s">
        <v>523</v>
      </c>
      <c r="C53" s="1426" t="s">
        <v>2067</v>
      </c>
      <c r="D53" s="2336" t="s">
        <v>2068</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7" t="s">
        <v>2069</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7" t="s">
        <v>2070</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7" t="s">
        <v>2071</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7" t="s">
        <v>2072</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7" t="s">
        <v>2073</v>
      </c>
      <c r="B58" s="84">
        <v>3</v>
      </c>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7" t="s">
        <v>2074</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7" t="s">
        <v>2075</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7" t="s">
        <v>2076</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7" t="s">
        <v>2077</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2078</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075" t="s">
        <v>2079</v>
      </c>
      <c r="B1" s="3076"/>
      <c r="C1" s="3076"/>
      <c r="D1" s="3076"/>
      <c r="E1" s="3076"/>
      <c r="F1" s="3076"/>
      <c r="G1" s="3076"/>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2080</v>
      </c>
      <c r="D2" s="2364"/>
      <c r="E2" s="2365"/>
      <c r="F2" s="2285"/>
      <c r="G2" s="2363" t="s">
        <v>2081</v>
      </c>
      <c r="H2" s="2366"/>
      <c r="I2" s="2366"/>
      <c r="J2" s="2366"/>
      <c r="K2" s="2366"/>
      <c r="L2" s="2366"/>
      <c r="M2" s="2366"/>
      <c r="N2" s="2366"/>
      <c r="O2" s="2366"/>
      <c r="P2" s="2366"/>
      <c r="Q2" s="2366"/>
      <c r="R2" s="2366"/>
    </row>
    <row r="3" spans="1:29" ht="57.6">
      <c r="A3" s="415" t="s">
        <v>2082</v>
      </c>
      <c r="B3" s="1267" t="s">
        <v>2083</v>
      </c>
      <c r="C3" s="2368" t="s">
        <v>2084</v>
      </c>
      <c r="D3" s="2369"/>
      <c r="E3" s="431" t="s">
        <v>2082</v>
      </c>
      <c r="F3" s="2370" t="s">
        <v>2085</v>
      </c>
      <c r="G3" s="2371" t="s">
        <v>2086</v>
      </c>
      <c r="H3" s="2366"/>
      <c r="I3" s="2366"/>
      <c r="J3" s="2366"/>
      <c r="K3" s="2366"/>
      <c r="L3" s="2366"/>
      <c r="M3" s="2366"/>
      <c r="N3" s="2366"/>
      <c r="O3" s="2366"/>
      <c r="P3" s="2366"/>
      <c r="Q3" s="2366"/>
      <c r="R3" s="2366"/>
    </row>
    <row r="4" spans="1:29" ht="43.2">
      <c r="A4" s="431"/>
      <c r="B4" s="1794" t="s">
        <v>2087</v>
      </c>
      <c r="C4" s="2372" t="s">
        <v>2088</v>
      </c>
      <c r="D4" s="2369"/>
      <c r="E4" s="2373"/>
      <c r="F4" s="42" t="s">
        <v>2089</v>
      </c>
      <c r="G4" s="2374" t="s">
        <v>2090</v>
      </c>
      <c r="H4" s="2366"/>
      <c r="I4" s="2366"/>
      <c r="J4" s="2366"/>
      <c r="K4" s="2366"/>
      <c r="L4" s="2366"/>
      <c r="M4" s="2366"/>
      <c r="N4" s="2366"/>
      <c r="O4" s="2366"/>
      <c r="P4" s="2366"/>
      <c r="Q4" s="2366"/>
      <c r="R4" s="2366"/>
    </row>
    <row r="5" spans="1:29" ht="43.2">
      <c r="A5" s="431"/>
      <c r="B5" s="1794" t="s">
        <v>2091</v>
      </c>
      <c r="C5" s="2372" t="s">
        <v>2092</v>
      </c>
      <c r="D5" s="2369"/>
      <c r="E5" s="2373"/>
      <c r="F5" s="1794" t="s">
        <v>2093</v>
      </c>
      <c r="G5" s="2374" t="s">
        <v>2094</v>
      </c>
      <c r="H5" s="2366"/>
      <c r="I5" s="2366"/>
      <c r="J5" s="2366"/>
      <c r="K5" s="2366"/>
      <c r="L5" s="2366"/>
      <c r="M5" s="2366"/>
      <c r="N5" s="2366"/>
      <c r="O5" s="2366"/>
      <c r="P5" s="2366"/>
      <c r="Q5" s="2366"/>
      <c r="R5" s="2366"/>
    </row>
    <row r="6" spans="1:29" ht="57.6">
      <c r="A6" s="431"/>
      <c r="B6" s="1794" t="s">
        <v>2095</v>
      </c>
      <c r="C6" s="2374" t="s">
        <v>2090</v>
      </c>
      <c r="D6" s="2369"/>
      <c r="E6" s="2373"/>
      <c r="F6" s="1794" t="s">
        <v>2096</v>
      </c>
      <c r="G6" s="2374" t="s">
        <v>2097</v>
      </c>
      <c r="H6" s="2366"/>
      <c r="I6" s="2366"/>
      <c r="J6" s="2366"/>
      <c r="K6" s="2366"/>
      <c r="L6" s="2366"/>
      <c r="M6" s="2366"/>
      <c r="N6" s="2366"/>
      <c r="O6" s="2366"/>
      <c r="P6" s="2366"/>
      <c r="Q6" s="2366"/>
      <c r="R6" s="2366"/>
    </row>
    <row r="7" spans="1:29" ht="43.8" thickBot="1">
      <c r="A7" s="431"/>
      <c r="B7" s="1794" t="s">
        <v>2093</v>
      </c>
      <c r="C7" s="2374" t="s">
        <v>2094</v>
      </c>
      <c r="D7" s="2375"/>
      <c r="E7" s="2376"/>
      <c r="F7" s="2377" t="s">
        <v>2098</v>
      </c>
      <c r="G7" s="2378" t="s">
        <v>2099</v>
      </c>
      <c r="H7" s="2366"/>
      <c r="I7" s="2366"/>
      <c r="J7" s="2366"/>
      <c r="K7" s="2366"/>
      <c r="L7" s="2366"/>
      <c r="M7" s="2366"/>
      <c r="N7" s="2366"/>
      <c r="O7" s="2366"/>
      <c r="P7" s="2366"/>
      <c r="Q7" s="2366"/>
      <c r="R7" s="2366"/>
    </row>
    <row r="8" spans="1:29" ht="28.8">
      <c r="A8" s="431"/>
      <c r="B8" s="1794" t="s">
        <v>2096</v>
      </c>
      <c r="C8" s="2374" t="s">
        <v>2097</v>
      </c>
      <c r="D8" s="2375"/>
      <c r="E8" s="2375"/>
      <c r="F8" s="1133"/>
      <c r="G8" s="1133"/>
      <c r="H8" s="2366"/>
      <c r="I8" s="2366"/>
      <c r="J8" s="2366"/>
      <c r="K8" s="2366"/>
      <c r="L8" s="2366"/>
      <c r="M8" s="2366"/>
      <c r="N8" s="2366"/>
      <c r="O8" s="2366"/>
      <c r="P8" s="2366"/>
      <c r="Q8" s="2366"/>
      <c r="R8" s="2366"/>
    </row>
    <row r="9" spans="1:29" ht="43.2">
      <c r="A9" s="431"/>
      <c r="B9" s="1794" t="s">
        <v>2100</v>
      </c>
      <c r="C9" s="2372" t="s">
        <v>2101</v>
      </c>
      <c r="D9" s="2369"/>
      <c r="E9" s="2375"/>
      <c r="F9" s="1133"/>
      <c r="G9" s="1133"/>
      <c r="H9" s="2366"/>
      <c r="I9" s="2366"/>
      <c r="J9" s="2366"/>
      <c r="K9" s="2366"/>
      <c r="L9" s="2366"/>
      <c r="M9" s="2366"/>
      <c r="N9" s="2366"/>
      <c r="O9" s="2366"/>
      <c r="P9" s="2366"/>
      <c r="Q9" s="2366"/>
      <c r="R9" s="2366"/>
    </row>
    <row r="10" spans="1:29" s="117" customFormat="1" ht="15" thickBot="1">
      <c r="A10" s="2379"/>
      <c r="B10" s="2380" t="s">
        <v>2102</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2103</v>
      </c>
      <c r="B13" s="2386"/>
      <c r="C13" s="2386"/>
      <c r="D13" s="2393"/>
      <c r="E13" s="2386"/>
      <c r="F13" s="2386"/>
      <c r="G13" s="2386"/>
    </row>
    <row r="14" spans="1:29" ht="15" thickBot="1">
      <c r="A14" s="2397"/>
      <c r="B14" s="2398"/>
      <c r="C14" s="2399" t="s">
        <v>2104</v>
      </c>
      <c r="D14" s="2369"/>
      <c r="E14" s="2400"/>
      <c r="F14" s="2400"/>
      <c r="G14" s="2363" t="s">
        <v>2105</v>
      </c>
    </row>
    <row r="15" spans="1:29" ht="55.2">
      <c r="A15" s="68" t="s">
        <v>2106</v>
      </c>
      <c r="B15" s="1266" t="s">
        <v>2083</v>
      </c>
      <c r="C15" s="2401" t="str">
        <f>C3</f>
        <v>估价对象周边居住用地比例、居住小区规模和社区发展完善程度，综合评价居住社区成熟度一般</v>
      </c>
      <c r="D15" s="2369"/>
      <c r="E15" s="2402" t="s">
        <v>2107</v>
      </c>
      <c r="F15" s="1266" t="s">
        <v>2108</v>
      </c>
      <c r="G15" s="135" t="str">
        <f>G3</f>
        <v>估价对象位于XX开发区，园区建设成熟度XX，产业集聚程度XX</v>
      </c>
    </row>
    <row r="16" spans="1:29" ht="41.4">
      <c r="A16" s="645"/>
      <c r="B16" s="2403" t="s">
        <v>2087</v>
      </c>
      <c r="C16" s="2404" t="str">
        <f>C4</f>
        <v>估价对象位于XX商圈，周边商业氛围成熟，人流量大，商业繁华度好</v>
      </c>
      <c r="D16" s="2369"/>
      <c r="E16" s="2405"/>
      <c r="F16" s="2406" t="s">
        <v>2089</v>
      </c>
      <c r="G16" s="136" t="str">
        <f>G4</f>
        <v>估价对象周边道路状况、公共交通通达情况、停车便捷程度，综合评价交通便捷度较好</v>
      </c>
    </row>
    <row r="17" spans="1:18" ht="41.4">
      <c r="A17" s="645"/>
      <c r="B17" s="2403" t="s">
        <v>2091</v>
      </c>
      <c r="C17" s="2404" t="str">
        <f>C5</f>
        <v>估价对象位于XX商圈，周边办公楼项目较多，入驻率高，办公集聚程度较好</v>
      </c>
      <c r="D17" s="2375"/>
      <c r="E17" s="2405"/>
      <c r="F17" s="2406" t="s">
        <v>2109</v>
      </c>
      <c r="G17" s="1568"/>
    </row>
    <row r="18" spans="1:18" ht="55.2">
      <c r="A18" s="645"/>
      <c r="B18" s="2406" t="s">
        <v>2095</v>
      </c>
      <c r="C18" s="136" t="str">
        <f>C6</f>
        <v>估价对象周边道路状况、公共交通通达情况、停车便捷程度，综合评价交通便捷度较好</v>
      </c>
      <c r="D18" s="2375"/>
      <c r="E18" s="2405"/>
      <c r="F18" s="2406" t="s">
        <v>2098</v>
      </c>
      <c r="G18" s="136" t="str">
        <f>G7</f>
        <v>该园区内是否有污染型企业，绿化情况，卫生条件，整体环境状况判断</v>
      </c>
    </row>
    <row r="19" spans="1:18" ht="27.6">
      <c r="A19" s="645"/>
      <c r="B19" s="2406" t="s">
        <v>2110</v>
      </c>
      <c r="C19" s="1568"/>
      <c r="D19" s="2369"/>
      <c r="E19" s="2405"/>
      <c r="F19" s="1794" t="s">
        <v>2093</v>
      </c>
      <c r="G19" s="136" t="str">
        <f>G5</f>
        <v>估价对象所在区域公共配套设施齐备情况</v>
      </c>
    </row>
    <row r="20" spans="1:18" ht="41.4">
      <c r="A20" s="645"/>
      <c r="B20" s="2406" t="s">
        <v>2111</v>
      </c>
      <c r="C20" s="2404" t="str">
        <f>C9</f>
        <v>区域自然环境：；人文环境；综合评价环境状况一般</v>
      </c>
      <c r="D20" s="2375"/>
      <c r="E20" s="2405"/>
      <c r="F20" s="1794" t="s">
        <v>2112</v>
      </c>
      <c r="G20" s="136" t="str">
        <f>G6</f>
        <v>估价对象所在区域基础设施水平</v>
      </c>
    </row>
    <row r="21" spans="1:18" ht="27.6">
      <c r="A21" s="645"/>
      <c r="B21" s="1794" t="s">
        <v>2093</v>
      </c>
      <c r="C21" s="136" t="str">
        <f>C7</f>
        <v>估价对象所在区域公共配套设施齐备情况</v>
      </c>
      <c r="D21" s="2369"/>
      <c r="E21" s="2405"/>
      <c r="F21" s="2406" t="s">
        <v>2113</v>
      </c>
      <c r="G21" s="2407"/>
    </row>
    <row r="22" spans="1:18" ht="13.5" customHeight="1">
      <c r="A22" s="645"/>
      <c r="B22" s="1794" t="s">
        <v>2096</v>
      </c>
      <c r="C22" s="136" t="str">
        <f>C8</f>
        <v>估价对象所在区域基础设施水平</v>
      </c>
      <c r="D22" s="2369"/>
      <c r="E22" s="2405"/>
      <c r="F22" s="2406" t="s">
        <v>2102</v>
      </c>
      <c r="G22" s="1568"/>
    </row>
    <row r="23" spans="1:18" s="2366" customFormat="1" ht="1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6" customFormat="1" ht="1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25" sqref="F25"/>
    </sheetView>
  </sheetViews>
  <sheetFormatPr defaultColWidth="9" defaultRowHeight="14.4"/>
  <cols>
    <col min="1" max="1" width="23.33203125" style="1737" customWidth="1"/>
    <col min="2" max="9" width="15.77734375" style="1737" customWidth="1"/>
    <col min="10" max="16384" width="9" style="1737"/>
  </cols>
  <sheetData>
    <row r="1" spans="1:10" ht="16.2">
      <c r="A1" s="1742" t="s">
        <v>1360</v>
      </c>
      <c r="B1" s="1742">
        <f>SUM(B14:B23)</f>
        <v>4457.2</v>
      </c>
      <c r="C1" s="1741"/>
      <c r="D1" s="1741"/>
      <c r="E1" s="1741"/>
      <c r="F1" s="1741"/>
      <c r="G1" s="1739"/>
    </row>
    <row r="2" spans="1:10" ht="16.2">
      <c r="A2" s="1742" t="s">
        <v>1348</v>
      </c>
      <c r="B2" s="1742">
        <f>SUM(C14:C23)</f>
        <v>1587.11</v>
      </c>
      <c r="C2" s="1741"/>
      <c r="D2" s="1741"/>
      <c r="E2" s="1741"/>
      <c r="F2" s="1741"/>
      <c r="G2" s="1739"/>
    </row>
    <row r="3" spans="1:10" ht="15.6">
      <c r="A3" s="1742" t="s">
        <v>1357</v>
      </c>
      <c r="B3" s="1743">
        <f>项目基本情况!D3</f>
        <v>43915</v>
      </c>
      <c r="C3" s="1741"/>
      <c r="D3" s="1741"/>
      <c r="E3" s="1741"/>
      <c r="F3" s="1741"/>
      <c r="G3" s="1739"/>
    </row>
    <row r="4" spans="1:10" ht="31.2">
      <c r="A4" s="1742" t="s">
        <v>1356</v>
      </c>
      <c r="B4" s="1742" t="s">
        <v>1355</v>
      </c>
      <c r="C4" s="1742" t="s">
        <v>1354</v>
      </c>
      <c r="D4" s="1742" t="s">
        <v>1353</v>
      </c>
      <c r="E4" s="1741"/>
      <c r="F4" s="1739"/>
      <c r="G4" s="1739"/>
    </row>
    <row r="5" spans="1:10" ht="15.6">
      <c r="A5" s="1742" t="s">
        <v>1352</v>
      </c>
      <c r="B5" s="1742">
        <f ca="1">SUM(D14:D23)</f>
        <v>33814</v>
      </c>
      <c r="C5" s="1742">
        <f ca="1">ROUND(B5*10000/$B$1,0)</f>
        <v>75864</v>
      </c>
      <c r="D5" s="1742">
        <f ca="1">ROUND(B5*10000/$B$2,0)</f>
        <v>213054</v>
      </c>
      <c r="E5" s="1741"/>
      <c r="F5" s="1739"/>
      <c r="G5" s="1739"/>
    </row>
    <row r="6" spans="1:10" ht="15.6">
      <c r="A6" s="1742" t="s">
        <v>1351</v>
      </c>
      <c r="B6" s="1742">
        <f ca="1">SUM(G14:G23)</f>
        <v>33814</v>
      </c>
      <c r="C6" s="1742">
        <f ca="1">ROUND(B6*10000/$B$1,0)</f>
        <v>75864</v>
      </c>
      <c r="D6" s="1742">
        <f ca="1">ROUND(B6*10000/$B$2,0)</f>
        <v>213054</v>
      </c>
      <c r="E6" s="1741"/>
      <c r="F6" s="1739"/>
      <c r="G6" s="1739"/>
    </row>
    <row r="7" spans="1:10" ht="15.6">
      <c r="A7" s="1742" t="s">
        <v>1359</v>
      </c>
      <c r="B7" s="1742">
        <f>SUM(H14:H23)</f>
        <v>0</v>
      </c>
      <c r="C7" s="1742">
        <f>ROUND(B7*10000/$B$1,0)</f>
        <v>0</v>
      </c>
      <c r="D7" s="1742">
        <f>ROUND(B7*10000/$B$2,0)</f>
        <v>0</v>
      </c>
      <c r="E7" s="1741"/>
      <c r="F7" s="1739"/>
      <c r="G7" s="1739"/>
    </row>
    <row r="8" spans="1:10" ht="15.6">
      <c r="A8" s="1742" t="s">
        <v>1280</v>
      </c>
      <c r="B8" s="1742">
        <f>SUM(I14:I23)</f>
        <v>0</v>
      </c>
      <c r="C8" s="1742">
        <f>ROUND(B8*10000/$B$1,0)</f>
        <v>0</v>
      </c>
      <c r="D8" s="1742">
        <f>ROUND(B8*10000/$B$2,0)</f>
        <v>0</v>
      </c>
      <c r="E8" s="1741"/>
      <c r="F8" s="1739"/>
      <c r="G8" s="1739"/>
    </row>
    <row r="9" spans="1:10" ht="15.6">
      <c r="A9" s="1742" t="s">
        <v>1350</v>
      </c>
      <c r="B9" s="1744"/>
      <c r="C9" s="1741"/>
      <c r="D9" s="1741"/>
      <c r="E9" s="1741"/>
      <c r="F9" s="1739"/>
      <c r="G9" s="1739"/>
    </row>
    <row r="10" spans="1:10" ht="15.6">
      <c r="A10" s="1742" t="s">
        <v>1349</v>
      </c>
      <c r="B10" s="1744"/>
      <c r="C10" s="1741"/>
      <c r="D10" s="1741"/>
      <c r="E10" s="1741"/>
      <c r="F10" s="1739"/>
      <c r="G10" s="1739"/>
    </row>
    <row r="11" spans="1:10" ht="15.6">
      <c r="A11" s="1742" t="s">
        <v>1365</v>
      </c>
      <c r="B11" s="1744"/>
      <c r="C11" s="1741"/>
      <c r="D11" s="1741"/>
      <c r="E11" s="1741"/>
      <c r="F11" s="1739"/>
      <c r="G11" s="1739"/>
    </row>
    <row r="12" spans="1:10" ht="15.6">
      <c r="A12" s="1741"/>
      <c r="B12" s="1741"/>
      <c r="C12" s="1741"/>
      <c r="D12" s="1741"/>
      <c r="E12" s="1741"/>
      <c r="F12" s="1739"/>
      <c r="G12" s="1739"/>
    </row>
    <row r="13" spans="1:10" ht="31.8">
      <c r="A13" s="1747" t="s">
        <v>1364</v>
      </c>
      <c r="B13" s="1740" t="s">
        <v>1361</v>
      </c>
      <c r="C13" s="1740" t="s">
        <v>1363</v>
      </c>
      <c r="D13" s="1740" t="s">
        <v>1362</v>
      </c>
      <c r="E13" s="1742" t="s">
        <v>1354</v>
      </c>
      <c r="F13" s="1742" t="s">
        <v>1353</v>
      </c>
      <c r="G13" s="1740" t="s">
        <v>1347</v>
      </c>
      <c r="H13" s="1740" t="s">
        <v>1358</v>
      </c>
      <c r="I13" s="1740" t="s">
        <v>1346</v>
      </c>
      <c r="J13" s="1739"/>
    </row>
    <row r="14" spans="1:10" ht="15.6">
      <c r="A14" s="1738" t="s">
        <v>1345</v>
      </c>
      <c r="B14" s="1740">
        <f>结果表!B118</f>
        <v>4457.2</v>
      </c>
      <c r="C14" s="1740">
        <f>结果表!C118</f>
        <v>1587.11</v>
      </c>
      <c r="D14" s="1740">
        <f ca="1">结果表!H118</f>
        <v>33814</v>
      </c>
      <c r="E14" s="1740">
        <f ca="1">ROUND(D14*10000/B14,0)</f>
        <v>75864</v>
      </c>
      <c r="F14" s="1740">
        <f ca="1">ROUND(D14*10000/C14,0)</f>
        <v>213054</v>
      </c>
      <c r="G14" s="1740">
        <f ca="1">结果表!D122</f>
        <v>33814</v>
      </c>
      <c r="H14" s="1740" t="str">
        <f>结果表!D124</f>
        <v>——</v>
      </c>
      <c r="I14" s="1740" t="str">
        <f>结果表!D126</f>
        <v>——</v>
      </c>
      <c r="J14" s="1739"/>
    </row>
    <row r="15" spans="1:10" ht="15.6">
      <c r="A15" s="1738" t="s">
        <v>1344</v>
      </c>
      <c r="B15" s="1745"/>
      <c r="C15" s="1745"/>
      <c r="D15" s="1745"/>
      <c r="E15" s="1740" t="e">
        <f t="shared" ref="E15:E23" si="0">ROUND(D15*10000/B15,0)</f>
        <v>#DIV/0!</v>
      </c>
      <c r="F15" s="1740" t="e">
        <f t="shared" ref="F15:F23" si="1">ROUND(D15*10000/C15,0)</f>
        <v>#DIV/0!</v>
      </c>
      <c r="G15" s="1746">
        <f>D15</f>
        <v>0</v>
      </c>
      <c r="H15" s="1746"/>
      <c r="I15" s="1745"/>
      <c r="J15" s="1739"/>
    </row>
    <row r="16" spans="1:10" ht="15.6">
      <c r="A16" s="1738" t="s">
        <v>1343</v>
      </c>
      <c r="B16" s="1745"/>
      <c r="C16" s="1745"/>
      <c r="D16" s="1745"/>
      <c r="E16" s="1740" t="e">
        <f t="shared" si="0"/>
        <v>#DIV/0!</v>
      </c>
      <c r="F16" s="1740" t="e">
        <f t="shared" si="1"/>
        <v>#DIV/0!</v>
      </c>
      <c r="G16" s="1746"/>
      <c r="H16" s="1746"/>
      <c r="I16" s="1745"/>
    </row>
    <row r="17" spans="1:9" ht="15.6">
      <c r="A17" s="1738" t="s">
        <v>1342</v>
      </c>
      <c r="B17" s="1745"/>
      <c r="C17" s="1745"/>
      <c r="D17" s="1745"/>
      <c r="E17" s="1740" t="e">
        <f t="shared" si="0"/>
        <v>#DIV/0!</v>
      </c>
      <c r="F17" s="1740" t="e">
        <f t="shared" si="1"/>
        <v>#DIV/0!</v>
      </c>
      <c r="G17" s="1746"/>
      <c r="H17" s="1746"/>
      <c r="I17" s="1745"/>
    </row>
    <row r="18" spans="1:9" ht="15.6">
      <c r="A18" s="1738" t="s">
        <v>1341</v>
      </c>
      <c r="B18" s="1745"/>
      <c r="C18" s="1745"/>
      <c r="D18" s="1745"/>
      <c r="E18" s="1740" t="e">
        <f t="shared" si="0"/>
        <v>#DIV/0!</v>
      </c>
      <c r="F18" s="1740" t="e">
        <f t="shared" si="1"/>
        <v>#DIV/0!</v>
      </c>
      <c r="G18" s="1745"/>
      <c r="H18" s="1745"/>
      <c r="I18" s="1745"/>
    </row>
    <row r="19" spans="1:9" ht="15.6">
      <c r="A19" s="1738" t="s">
        <v>1340</v>
      </c>
      <c r="B19" s="1745"/>
      <c r="C19" s="1745"/>
      <c r="D19" s="1745"/>
      <c r="E19" s="1740" t="e">
        <f t="shared" si="0"/>
        <v>#DIV/0!</v>
      </c>
      <c r="F19" s="1740" t="e">
        <f t="shared" si="1"/>
        <v>#DIV/0!</v>
      </c>
      <c r="G19" s="1745"/>
      <c r="H19" s="1745"/>
      <c r="I19" s="1745"/>
    </row>
    <row r="20" spans="1:9" ht="15.6">
      <c r="A20" s="1738" t="s">
        <v>1339</v>
      </c>
      <c r="B20" s="1745"/>
      <c r="C20" s="1745"/>
      <c r="D20" s="1745"/>
      <c r="E20" s="1740" t="e">
        <f t="shared" si="0"/>
        <v>#DIV/0!</v>
      </c>
      <c r="F20" s="1740" t="e">
        <f t="shared" si="1"/>
        <v>#DIV/0!</v>
      </c>
      <c r="G20" s="1745"/>
      <c r="H20" s="1745"/>
      <c r="I20" s="1745"/>
    </row>
    <row r="21" spans="1:9" ht="15.6">
      <c r="A21" s="1738" t="s">
        <v>1338</v>
      </c>
      <c r="B21" s="1745"/>
      <c r="C21" s="1745"/>
      <c r="D21" s="1745"/>
      <c r="E21" s="1740" t="e">
        <f t="shared" si="0"/>
        <v>#DIV/0!</v>
      </c>
      <c r="F21" s="1740" t="e">
        <f t="shared" si="1"/>
        <v>#DIV/0!</v>
      </c>
      <c r="G21" s="1745"/>
      <c r="H21" s="1745"/>
      <c r="I21" s="1745"/>
    </row>
    <row r="22" spans="1:9" ht="15.6">
      <c r="A22" s="1738" t="s">
        <v>1337</v>
      </c>
      <c r="B22" s="1745"/>
      <c r="C22" s="1745"/>
      <c r="D22" s="1745"/>
      <c r="E22" s="1740" t="e">
        <f t="shared" si="0"/>
        <v>#DIV/0!</v>
      </c>
      <c r="F22" s="1740" t="e">
        <f t="shared" si="1"/>
        <v>#DIV/0!</v>
      </c>
      <c r="G22" s="1745"/>
      <c r="H22" s="1745"/>
      <c r="I22" s="1745"/>
    </row>
    <row r="23" spans="1:9" ht="15.6">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9" sqref="H29"/>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4" t="s">
        <v>2116</v>
      </c>
      <c r="B1" s="2417"/>
      <c r="C1" s="2418"/>
      <c r="D1" s="2417"/>
      <c r="E1" s="2417"/>
      <c r="F1" s="2419" t="s">
        <v>2117</v>
      </c>
      <c r="G1" s="2069" t="s">
        <v>3098</v>
      </c>
      <c r="H1" s="2420" t="str">
        <f>IF(G1="现房","——","估价对象范围")</f>
        <v>——</v>
      </c>
      <c r="I1" s="2421"/>
    </row>
    <row r="2" spans="1:12" ht="21.75" customHeight="1" thickBot="1">
      <c r="A2" s="3149" t="str">
        <f>项目基本情况!S2</f>
        <v>北京市房地产</v>
      </c>
      <c r="B2" s="3150"/>
      <c r="C2" s="3150"/>
      <c r="D2" s="3150"/>
      <c r="E2" s="3150"/>
      <c r="F2" s="3150"/>
      <c r="G2" s="3150"/>
      <c r="H2" s="3150"/>
      <c r="I2" s="3151"/>
    </row>
    <row r="3" spans="1:12" ht="13.2">
      <c r="A3" s="3152" t="s">
        <v>2118</v>
      </c>
      <c r="B3" s="3153"/>
      <c r="C3" s="3153"/>
      <c r="D3" s="3153"/>
      <c r="E3" s="3153"/>
      <c r="F3" s="3153"/>
      <c r="G3" s="3153"/>
      <c r="H3" s="3153"/>
      <c r="I3" s="3153"/>
    </row>
    <row r="4" spans="1:12" ht="14.4">
      <c r="A4" s="2424" t="s">
        <v>2119</v>
      </c>
      <c r="B4" s="2425" t="s">
        <v>2120</v>
      </c>
      <c r="C4" s="2426" t="s">
        <v>3188</v>
      </c>
      <c r="D4" s="2426" t="s">
        <v>3188</v>
      </c>
      <c r="E4" s="3133" t="s">
        <v>2121</v>
      </c>
      <c r="F4" s="3146"/>
      <c r="G4" s="3146"/>
      <c r="H4" s="3146"/>
      <c r="I4" s="3134"/>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124" t="s">
        <v>2122</v>
      </c>
      <c r="B5" s="3050">
        <v>25</v>
      </c>
      <c r="C5" s="3154"/>
      <c r="D5" s="3142"/>
      <c r="E5" s="140" t="s">
        <v>2123</v>
      </c>
      <c r="F5" s="2428"/>
      <c r="G5" s="2428"/>
      <c r="H5" s="2428"/>
      <c r="I5" s="1830"/>
    </row>
    <row r="6" spans="1:12" ht="13.2">
      <c r="A6" s="3124"/>
      <c r="B6" s="3050"/>
      <c r="C6" s="3156"/>
      <c r="D6" s="3142"/>
      <c r="E6" s="140" t="s">
        <v>2124</v>
      </c>
      <c r="F6" s="2428"/>
      <c r="G6" s="2428"/>
      <c r="H6" s="2428"/>
      <c r="I6" s="1830"/>
    </row>
    <row r="7" spans="1:12" ht="13.2">
      <c r="A7" s="3124"/>
      <c r="B7" s="3050"/>
      <c r="C7" s="3155"/>
      <c r="D7" s="3142"/>
      <c r="E7" s="140" t="s">
        <v>2125</v>
      </c>
      <c r="F7" s="2428"/>
      <c r="G7" s="2428"/>
      <c r="H7" s="2428"/>
      <c r="I7" s="1830"/>
    </row>
    <row r="8" spans="1:12" ht="13.2">
      <c r="A8" s="3124" t="s">
        <v>2126</v>
      </c>
      <c r="B8" s="3050">
        <v>15</v>
      </c>
      <c r="C8" s="3154"/>
      <c r="D8" s="3142"/>
      <c r="E8" s="140" t="s">
        <v>2127</v>
      </c>
      <c r="F8" s="2428"/>
      <c r="G8" s="2428"/>
      <c r="H8" s="2428"/>
      <c r="I8" s="1830"/>
    </row>
    <row r="9" spans="1:12" ht="13.2">
      <c r="A9" s="3124"/>
      <c r="B9" s="3050"/>
      <c r="C9" s="3155"/>
      <c r="D9" s="3142"/>
      <c r="E9" s="140" t="s">
        <v>2128</v>
      </c>
      <c r="F9" s="2428"/>
      <c r="G9" s="2428"/>
      <c r="H9" s="2428"/>
      <c r="I9" s="1830"/>
    </row>
    <row r="10" spans="1:12" ht="13.2">
      <c r="A10" s="3124" t="s">
        <v>2129</v>
      </c>
      <c r="B10" s="3050">
        <v>15</v>
      </c>
      <c r="C10" s="3154"/>
      <c r="D10" s="3142"/>
      <c r="E10" s="140" t="s">
        <v>2130</v>
      </c>
      <c r="F10" s="2428"/>
      <c r="G10" s="2428"/>
      <c r="H10" s="2428"/>
      <c r="I10" s="1830"/>
    </row>
    <row r="11" spans="1:12" ht="13.2">
      <c r="A11" s="3124"/>
      <c r="B11" s="3050"/>
      <c r="C11" s="3155"/>
      <c r="D11" s="3142"/>
      <c r="E11" s="140" t="s">
        <v>2131</v>
      </c>
      <c r="F11" s="2428"/>
      <c r="G11" s="2428"/>
      <c r="H11" s="2428"/>
      <c r="I11" s="1830"/>
    </row>
    <row r="12" spans="1:12" ht="13.2">
      <c r="A12" s="3124" t="s">
        <v>2132</v>
      </c>
      <c r="B12" s="3050">
        <v>15</v>
      </c>
      <c r="C12" s="3154"/>
      <c r="D12" s="3142"/>
      <c r="E12" s="140" t="s">
        <v>2133</v>
      </c>
      <c r="F12" s="2428"/>
      <c r="G12" s="2428"/>
      <c r="H12" s="2428"/>
      <c r="I12" s="1830"/>
    </row>
    <row r="13" spans="1:12" ht="13.2">
      <c r="A13" s="3124"/>
      <c r="B13" s="3050"/>
      <c r="C13" s="3155"/>
      <c r="D13" s="3142"/>
      <c r="E13" s="140" t="s">
        <v>2134</v>
      </c>
      <c r="F13" s="2428"/>
      <c r="G13" s="2428"/>
      <c r="H13" s="2428"/>
      <c r="I13" s="1830"/>
    </row>
    <row r="14" spans="1:12" ht="13.2">
      <c r="A14" s="3124" t="s">
        <v>2135</v>
      </c>
      <c r="B14" s="3050">
        <v>30</v>
      </c>
      <c r="C14" s="3154">
        <v>1</v>
      </c>
      <c r="D14" s="3142">
        <v>0</v>
      </c>
      <c r="E14" s="140" t="s">
        <v>2136</v>
      </c>
      <c r="F14" s="2428"/>
      <c r="G14" s="2428"/>
      <c r="H14" s="2428"/>
      <c r="I14" s="1830"/>
    </row>
    <row r="15" spans="1:12" ht="13.2">
      <c r="A15" s="3124"/>
      <c r="B15" s="3050"/>
      <c r="C15" s="3156"/>
      <c r="D15" s="3142"/>
      <c r="E15" s="140" t="s">
        <v>2137</v>
      </c>
      <c r="F15" s="2428"/>
      <c r="G15" s="2428"/>
      <c r="H15" s="2428"/>
      <c r="I15" s="1830"/>
    </row>
    <row r="16" spans="1:12" ht="13.2">
      <c r="A16" s="3124"/>
      <c r="B16" s="3050"/>
      <c r="C16" s="3155"/>
      <c r="D16" s="3142"/>
      <c r="E16" s="140" t="s">
        <v>2138</v>
      </c>
      <c r="F16" s="2428"/>
      <c r="G16" s="2428"/>
      <c r="H16" s="2428"/>
      <c r="I16" s="1830"/>
    </row>
    <row r="17" spans="1:35" ht="14.4">
      <c r="A17" s="2429" t="s">
        <v>2139</v>
      </c>
      <c r="B17" s="64"/>
      <c r="C17" s="141">
        <f>SUM(C5:C16)</f>
        <v>1</v>
      </c>
      <c r="D17" s="141">
        <f>SUM(D5:D16)</f>
        <v>0</v>
      </c>
      <c r="E17" s="138"/>
      <c r="F17" s="138"/>
      <c r="G17" s="138"/>
      <c r="H17" s="138"/>
      <c r="I17" s="138"/>
      <c r="K17" s="2427"/>
      <c r="L17" s="2430" t="s">
        <v>2140</v>
      </c>
      <c r="M17" s="2430" t="s">
        <v>2141</v>
      </c>
    </row>
    <row r="18" spans="1:35" ht="15" thickBot="1">
      <c r="A18" s="2431" t="s">
        <v>2142</v>
      </c>
      <c r="B18" s="2432"/>
      <c r="C18" s="142">
        <f>ROUND(C17/SUM(C17:D17),2)</f>
        <v>1</v>
      </c>
      <c r="D18" s="142">
        <f>1-C18</f>
        <v>0</v>
      </c>
      <c r="E18" s="138"/>
      <c r="F18" s="138"/>
      <c r="G18" s="138"/>
      <c r="H18" s="138"/>
      <c r="I18" s="138"/>
      <c r="K18" s="2427" t="s">
        <v>2143</v>
      </c>
      <c r="L18" s="2427">
        <f>IF(C1="",'数据-汇总表'!E3,SUMIF(项目类型,C1,'数据-汇总表'!E17:E26)+SUMIF(项目类型,C1,'数据-汇总表'!I17:I26))</f>
        <v>4457.2</v>
      </c>
      <c r="M18" s="2427">
        <f>IF(C1="",'数据-汇总表'!E3,SUMIF(项目类型,C1,'数据-汇总表'!E17:E26))</f>
        <v>4457.2</v>
      </c>
    </row>
    <row r="19" spans="1:35" ht="14.4">
      <c r="A19" s="2433" t="s">
        <v>2144</v>
      </c>
      <c r="B19" s="2434" t="s">
        <v>2145</v>
      </c>
      <c r="C19" s="143">
        <f ca="1">SUMIF(INDIRECT("'"&amp;C4&amp;"'"&amp;"!A:A"),结果表!B19,INDIRECT("'"&amp;C4&amp;"'"&amp;"!B:B"))</f>
        <v>33814</v>
      </c>
      <c r="D19" s="144">
        <f ca="1">SUMIF(INDIRECT("'"&amp;D4&amp;"'"&amp;"!A:A"),结果表!B19,INDIRECT("'"&amp;D4&amp;"'"&amp;"!B:B"))</f>
        <v>33814</v>
      </c>
      <c r="E19" s="2433" t="s">
        <v>2146</v>
      </c>
      <c r="F19" s="2434" t="s">
        <v>2145</v>
      </c>
      <c r="G19" s="145">
        <f ca="1">ROUND(C19*$C$18+D19*$D$18,0)</f>
        <v>33814</v>
      </c>
      <c r="H19" s="2435" t="s">
        <v>2147</v>
      </c>
      <c r="I19" s="138"/>
      <c r="K19" s="2427" t="s">
        <v>2148</v>
      </c>
      <c r="L19" s="2427">
        <f>IF(C1="",'数据-汇总表'!D3,SUMIF(项目类型,C1,'数据-汇总表'!D17:D26)+SUMIF(项目类型,C1,'数据-汇总表'!H17:H27))</f>
        <v>1587.11</v>
      </c>
      <c r="M19" s="2427">
        <f>IF(C1="",'数据-汇总表'!D3,SUMIF(项目类型,C1,'数据-汇总表'!D17:D26))</f>
        <v>1587.11</v>
      </c>
    </row>
    <row r="20" spans="1:35" ht="14.4">
      <c r="A20" s="2436"/>
      <c r="B20" s="1246" t="s">
        <v>2149</v>
      </c>
      <c r="C20" s="146">
        <f ca="1">SUMIF(INDIRECT("'"&amp;C4&amp;"'"&amp;"!A:A"),结果表!B20,INDIRECT("'"&amp;C4&amp;"'"&amp;"!B:B"))</f>
        <v>75864</v>
      </c>
      <c r="D20" s="147">
        <f ca="1">SUMIF(INDIRECT("'"&amp;D4&amp;"'"&amp;"!A:A"),结果表!B20,INDIRECT("'"&amp;D4&amp;"'"&amp;"!B:B"))</f>
        <v>75864</v>
      </c>
      <c r="E20" s="2436"/>
      <c r="F20" s="1246" t="s">
        <v>2149</v>
      </c>
      <c r="G20" s="148">
        <f ca="1">ROUND(C20*$C$18+D20*$D$18,0)</f>
        <v>75864</v>
      </c>
      <c r="H20" s="980" t="s">
        <v>2150</v>
      </c>
      <c r="I20" s="138"/>
    </row>
    <row r="21" spans="1:35" ht="15" customHeight="1" thickBot="1">
      <c r="A21" s="1000"/>
      <c r="B21" s="2437" t="s">
        <v>2151</v>
      </c>
      <c r="C21" s="789">
        <f ca="1">ROUND(C19*10000/L19,0)</f>
        <v>213054</v>
      </c>
      <c r="D21" s="790">
        <f ca="1">ROUND(D19*10000/L19,0)</f>
        <v>213054</v>
      </c>
      <c r="E21" s="1000"/>
      <c r="F21" s="2437" t="s">
        <v>2151</v>
      </c>
      <c r="G21" s="149">
        <f ca="1">ROUND(G19*10000/L19,0)</f>
        <v>213054</v>
      </c>
      <c r="H21" s="2438" t="s">
        <v>2150</v>
      </c>
      <c r="I21" s="138"/>
    </row>
    <row r="22" spans="1:35" ht="15" thickBot="1">
      <c r="A22" s="2280" t="s">
        <v>2152</v>
      </c>
      <c r="B22" s="2439"/>
      <c r="C22" s="2440"/>
      <c r="D22" s="791">
        <f ca="1">IF(C19&lt;D19,D19/C19-1,C19/D19-1)</f>
        <v>0</v>
      </c>
      <c r="E22" s="138"/>
      <c r="F22" s="138"/>
      <c r="G22" s="138"/>
      <c r="H22" s="138"/>
      <c r="I22" s="138"/>
    </row>
    <row r="23" spans="1:35" ht="13.8" thickBot="1">
      <c r="A23" s="2417"/>
      <c r="B23" s="2417"/>
      <c r="C23" s="2417"/>
      <c r="D23" s="2417"/>
      <c r="E23" s="138"/>
      <c r="F23" s="138"/>
      <c r="G23" s="138"/>
      <c r="H23" s="138"/>
      <c r="I23" s="138"/>
    </row>
    <row r="24" spans="1:35" ht="14.4">
      <c r="A24" s="3163" t="s">
        <v>2153</v>
      </c>
      <c r="B24" s="2434" t="s">
        <v>2145</v>
      </c>
      <c r="C24" s="145">
        <f>IF(B30=0,0,D30)</f>
        <v>0</v>
      </c>
      <c r="D24" s="2441"/>
      <c r="E24" s="138"/>
      <c r="F24" s="138"/>
      <c r="G24" s="138"/>
      <c r="H24" s="138"/>
      <c r="I24" s="138"/>
    </row>
    <row r="25" spans="1:35" ht="14.4">
      <c r="A25" s="3164"/>
      <c r="B25" s="1246"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2158</v>
      </c>
      <c r="B30" s="151"/>
      <c r="C30" s="151"/>
      <c r="D30" s="151"/>
      <c r="E30" s="2915" t="s">
        <v>3027</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2159</v>
      </c>
      <c r="B32" s="2447"/>
      <c r="C32" s="153">
        <f ca="1">IF(D32="总价",G19-C24,G20-C25)</f>
        <v>33814</v>
      </c>
      <c r="D32" s="2448" t="s">
        <v>2160</v>
      </c>
      <c r="E32" s="138"/>
      <c r="F32" s="138"/>
      <c r="G32" s="138"/>
      <c r="H32" s="138"/>
      <c r="I32" s="138"/>
    </row>
    <row r="33" spans="1:15" ht="14.4">
      <c r="A33" s="957" t="s">
        <v>2161</v>
      </c>
      <c r="B33" s="2449"/>
      <c r="C33" s="2450" t="s">
        <v>3185</v>
      </c>
      <c r="D33" s="2451" t="s">
        <v>3186</v>
      </c>
      <c r="E33" s="2452" t="s">
        <v>2162</v>
      </c>
      <c r="F33" s="2453" t="str">
        <f>IF(D32="楼面单价","取值（单价）","取值（总价）")</f>
        <v>取值（总价）</v>
      </c>
      <c r="G33" s="138"/>
      <c r="H33" s="138"/>
      <c r="I33" s="138"/>
    </row>
    <row r="34" spans="1:15" ht="14.4">
      <c r="A34" s="2454"/>
      <c r="B34" s="2455" t="s">
        <v>2163</v>
      </c>
      <c r="C34" s="157">
        <f ca="1">IF(C33="自定义",F34,C32-C35)</f>
        <v>22250</v>
      </c>
      <c r="D34" s="1055">
        <f ca="1">IF(C33="自定义",ROUND(C34/C32,3),IF(C33="收益比率",SUMIF(INDIRECT("'"&amp;D33&amp;"'"&amp;"!b:b"),"土地收益比率",INDIRECT("'"&amp;D33&amp;"'"&amp;"!c:c")),SUMIF(INDIRECT("'"&amp;D33&amp;"'"&amp;"!b:b"),"土地成本比率",INDIRECT("'"&amp;D33&amp;"'"&amp;"!c:c"))))</f>
        <v>0.65799999999999992</v>
      </c>
      <c r="E34" s="2456" t="s">
        <v>2164</v>
      </c>
      <c r="F34" s="1735"/>
      <c r="G34" s="138"/>
      <c r="H34" s="138"/>
      <c r="I34" s="138"/>
    </row>
    <row r="35" spans="1:15" ht="15" thickBot="1">
      <c r="A35" s="2457"/>
      <c r="B35" s="2458" t="s">
        <v>2165</v>
      </c>
      <c r="C35" s="1440">
        <f ca="1">IF(C33="自定义",F35,ROUND(C32*D35,0))</f>
        <v>11564</v>
      </c>
      <c r="D35" s="1441">
        <f ca="1">IF(C33="自定义",ROUND(C35/C32,3),IF(C33="收益比率",SUMIF(INDIRECT("'"&amp;D33&amp;"'"&amp;"!b:b"),"建筑物收益比率",INDIRECT("'"&amp;D33&amp;"'"&amp;"!c:c")),SUMIF(INDIRECT("'"&amp;D33&amp;"'"&amp;"!b:b"),"建筑物成本比率",INDIRECT("'"&amp;D33&amp;"'"&amp;"!c:c"))))</f>
        <v>0.34200000000000003</v>
      </c>
      <c r="E35" s="2459" t="s">
        <v>2166</v>
      </c>
      <c r="F35" s="163"/>
      <c r="G35" s="138"/>
      <c r="H35" s="138"/>
      <c r="I35" s="138"/>
    </row>
    <row r="36" spans="1:15" ht="15" thickBot="1">
      <c r="A36" s="3143" t="s">
        <v>2167</v>
      </c>
      <c r="B36" s="2460" t="s">
        <v>2168</v>
      </c>
      <c r="C36" s="154"/>
      <c r="D36" s="2461"/>
      <c r="E36" s="2462"/>
      <c r="F36" s="2463"/>
      <c r="G36" s="138"/>
      <c r="H36" s="138"/>
      <c r="I36" s="138"/>
    </row>
    <row r="37" spans="1:15" ht="15" thickBot="1">
      <c r="A37" s="3144"/>
      <c r="B37" s="2266" t="s">
        <v>2169</v>
      </c>
      <c r="C37" s="156"/>
      <c r="D37" s="1391"/>
      <c r="E37" s="1391"/>
      <c r="F37" s="2463"/>
      <c r="G37" s="138"/>
      <c r="H37" s="138"/>
      <c r="I37" s="138"/>
    </row>
    <row r="38" spans="1:15" ht="15" thickBot="1">
      <c r="A38" s="3145"/>
      <c r="B38" s="2464" t="s">
        <v>2170</v>
      </c>
      <c r="C38" s="727"/>
      <c r="D38" s="2465" t="s">
        <v>2171</v>
      </c>
      <c r="E38" s="1391"/>
      <c r="F38" s="2463"/>
      <c r="G38" s="138"/>
      <c r="H38" s="138"/>
      <c r="I38" s="138"/>
    </row>
    <row r="39" spans="1:15" ht="14.4">
      <c r="A39" s="2436" t="s">
        <v>2172</v>
      </c>
      <c r="B39" s="2466" t="s">
        <v>2173</v>
      </c>
      <c r="C39" s="2467" t="s">
        <v>2174</v>
      </c>
      <c r="D39" s="2467" t="s">
        <v>2175</v>
      </c>
      <c r="E39" s="2468" t="s">
        <v>2176</v>
      </c>
      <c r="F39" s="2463"/>
      <c r="G39" s="138"/>
      <c r="H39" s="138"/>
      <c r="I39" s="138"/>
    </row>
    <row r="40" spans="1:15" ht="13.8">
      <c r="A40" s="2469" t="s">
        <v>2177</v>
      </c>
      <c r="B40" s="158"/>
      <c r="C40" s="159"/>
      <c r="D40" s="159"/>
      <c r="E40" s="160"/>
      <c r="F40" s="2463"/>
      <c r="G40" s="138"/>
      <c r="H40" s="138"/>
      <c r="I40" s="138"/>
    </row>
    <row r="41" spans="1:15" ht="13.8">
      <c r="A41" s="2469" t="s">
        <v>2178</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4"/>
      <c r="B43" s="2164"/>
      <c r="C43" s="2164"/>
      <c r="D43" s="2164"/>
      <c r="E43" s="2164"/>
      <c r="F43" s="2471"/>
      <c r="G43" s="2471"/>
      <c r="H43" s="2471"/>
      <c r="I43" s="2472"/>
    </row>
    <row r="44" spans="1:15" ht="17.399999999999999">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60" t="s">
        <v>2181</v>
      </c>
      <c r="B45" s="3161"/>
      <c r="C45" s="3162"/>
      <c r="D45" s="164">
        <f ca="1">ROUND(H101*F45,0)</f>
        <v>33814</v>
      </c>
      <c r="E45" s="165" t="s">
        <v>2182</v>
      </c>
      <c r="F45" s="166">
        <v>1</v>
      </c>
      <c r="G45" s="167" t="s">
        <v>2183</v>
      </c>
      <c r="H45" s="138"/>
      <c r="I45" s="138"/>
      <c r="J45" s="3079" t="s">
        <v>2184</v>
      </c>
      <c r="K45" s="3079"/>
      <c r="L45" s="3079"/>
      <c r="M45" s="3079"/>
      <c r="N45" s="3079"/>
      <c r="O45" s="3079"/>
    </row>
    <row r="46" spans="1:15" ht="14.25" customHeight="1">
      <c r="A46" s="3157" t="s">
        <v>2185</v>
      </c>
      <c r="B46" s="3158"/>
      <c r="C46" s="3158"/>
      <c r="D46" s="3158"/>
      <c r="E46" s="3158"/>
      <c r="F46" s="3158"/>
      <c r="G46" s="3159"/>
      <c r="H46" s="2479"/>
      <c r="I46" s="168"/>
      <c r="J46" s="1808">
        <v>1</v>
      </c>
      <c r="K46" s="3079" t="s">
        <v>2186</v>
      </c>
      <c r="L46" s="3079"/>
      <c r="M46" s="3080"/>
      <c r="N46" s="3080"/>
      <c r="O46" s="3080"/>
    </row>
    <row r="47" spans="1:15" ht="12" customHeight="1">
      <c r="A47" s="169" t="s">
        <v>2187</v>
      </c>
      <c r="B47" s="170"/>
      <c r="C47" s="171"/>
      <c r="D47" s="172" t="s">
        <v>2188</v>
      </c>
      <c r="E47" s="24" t="s">
        <v>2189</v>
      </c>
      <c r="F47" s="173" t="s">
        <v>2190</v>
      </c>
      <c r="G47" s="174" t="s">
        <v>2191</v>
      </c>
      <c r="H47" s="2479"/>
      <c r="I47" s="168"/>
      <c r="J47" s="1808">
        <v>2</v>
      </c>
      <c r="K47" s="3079" t="s">
        <v>2192</v>
      </c>
      <c r="L47" s="3079"/>
      <c r="M47" s="3081">
        <f>'数据-取费表'!B2</f>
        <v>43915</v>
      </c>
      <c r="N47" s="3081"/>
      <c r="O47" s="3081"/>
    </row>
    <row r="48" spans="1:15" ht="39.6">
      <c r="A48" s="3147" t="s">
        <v>2193</v>
      </c>
      <c r="B48" s="3148"/>
      <c r="C48" s="3148"/>
      <c r="D48" s="140">
        <f ca="1">IF(H48="情况1",0,IF(H48="情况2",D52,IF(H48="情况3",D53,IF(H48="情况4",D54))))</f>
        <v>1736</v>
      </c>
      <c r="E48" s="1797" t="str">
        <f>IF(H48="情况4","(销售额-原购置价)×税（费）率","销售额×税（费）率")</f>
        <v>(销售额-原购置价)×税（费）率</v>
      </c>
      <c r="F48" s="175">
        <f>IF(H48="情况1","免征",'数据-取费表'!B41)</f>
        <v>5.6000000000000001E-2</v>
      </c>
      <c r="G48" s="2480" t="s">
        <v>2194</v>
      </c>
      <c r="H48" s="2481" t="s">
        <v>3097</v>
      </c>
      <c r="I48" s="2479"/>
      <c r="J48" s="1808">
        <v>3</v>
      </c>
      <c r="K48" s="3079" t="s">
        <v>2195</v>
      </c>
      <c r="L48" s="3079"/>
      <c r="M48" s="3082">
        <f ca="1">H101</f>
        <v>33814</v>
      </c>
      <c r="N48" s="3082"/>
      <c r="O48" s="3082"/>
    </row>
    <row r="49" spans="1:35" ht="25.5" customHeight="1">
      <c r="A49" s="176" t="s">
        <v>2196</v>
      </c>
      <c r="B49" s="3127" t="s">
        <v>2197</v>
      </c>
      <c r="C49" s="3127"/>
      <c r="D49" s="177">
        <v>0</v>
      </c>
      <c r="E49" s="23" t="s">
        <v>2198</v>
      </c>
      <c r="F49" s="28" t="s">
        <v>34</v>
      </c>
      <c r="G49" s="3108"/>
      <c r="H49" s="138"/>
      <c r="I49" s="2482"/>
      <c r="J49" s="1808">
        <v>4</v>
      </c>
      <c r="K49" s="3079" t="str">
        <f>IF(项目基本情况!E8="房地产抵押价值","房地产抵押价值","抵押担保权已注销时的房地产抵押价值")</f>
        <v>房地产抵押价值</v>
      </c>
      <c r="L49" s="3079"/>
      <c r="M49" s="3082">
        <f ca="1">IF(项目基本情况!E8="房地产抵押价值",H107,H109)</f>
        <v>33814</v>
      </c>
      <c r="N49" s="3082"/>
      <c r="O49" s="3082"/>
    </row>
    <row r="50" spans="1:35" ht="25.5" customHeight="1">
      <c r="A50" s="178"/>
      <c r="B50" s="3127" t="s">
        <v>2199</v>
      </c>
      <c r="C50" s="3127"/>
      <c r="D50" s="179"/>
      <c r="E50" s="31"/>
      <c r="F50" s="180"/>
      <c r="G50" s="3109"/>
      <c r="H50" s="138"/>
      <c r="I50" s="2482"/>
      <c r="J50" s="3079" t="s">
        <v>2200</v>
      </c>
      <c r="K50" s="3079"/>
      <c r="L50" s="3079"/>
      <c r="M50" s="3079"/>
      <c r="N50" s="3079"/>
      <c r="O50" s="3079"/>
    </row>
    <row r="51" spans="1:35" ht="12" customHeight="1">
      <c r="A51" s="181"/>
      <c r="B51" s="3127" t="s">
        <v>2201</v>
      </c>
      <c r="C51" s="3127"/>
      <c r="D51" s="182"/>
      <c r="E51" s="30"/>
      <c r="F51" s="180"/>
      <c r="G51" s="3110"/>
      <c r="H51" s="138"/>
      <c r="I51" s="2482"/>
      <c r="J51" s="2483" t="s">
        <v>2202</v>
      </c>
      <c r="K51" s="3079" t="s">
        <v>2203</v>
      </c>
      <c r="L51" s="3079"/>
      <c r="M51" s="2483" t="s">
        <v>2204</v>
      </c>
      <c r="N51" s="2483" t="s">
        <v>2205</v>
      </c>
      <c r="O51" s="2483" t="s">
        <v>2206</v>
      </c>
    </row>
    <row r="52" spans="1:35" ht="24" customHeight="1">
      <c r="A52" s="183" t="s">
        <v>2207</v>
      </c>
      <c r="B52" s="3127" t="s">
        <v>2208</v>
      </c>
      <c r="C52" s="3127"/>
      <c r="D52" s="182">
        <f ca="1">ROUND(D45*'数据-取费表'!B41/(1+'数据-取费表'!C42),0)</f>
        <v>1803</v>
      </c>
      <c r="E52" s="11" t="s">
        <v>2209</v>
      </c>
      <c r="F52" s="184">
        <f>'数据-取费表'!B41</f>
        <v>5.6000000000000001E-2</v>
      </c>
      <c r="G52" s="2484"/>
      <c r="H52" s="138"/>
      <c r="I52" s="2482"/>
      <c r="J52" s="1808">
        <v>1</v>
      </c>
      <c r="K52" s="3102" t="s">
        <v>2210</v>
      </c>
      <c r="L52" s="3102"/>
      <c r="M52" s="1750">
        <f ca="1">D48</f>
        <v>1736</v>
      </c>
      <c r="N52" s="1808" t="str">
        <f>E48</f>
        <v>(销售额-原购置价)×税（费）率</v>
      </c>
      <c r="O52" s="1751">
        <f>F48</f>
        <v>5.6000000000000001E-2</v>
      </c>
    </row>
    <row r="53" spans="1:35" ht="12" customHeight="1">
      <c r="A53" s="183" t="s">
        <v>2211</v>
      </c>
      <c r="B53" s="3128" t="s">
        <v>2212</v>
      </c>
      <c r="C53" s="3129"/>
      <c r="D53" s="182">
        <f ca="1">ROUND(D45*'数据-取费表'!B41/(1+'数据-取费表'!C42),0)</f>
        <v>1803</v>
      </c>
      <c r="E53" s="11" t="s">
        <v>2209</v>
      </c>
      <c r="F53" s="184">
        <f>'数据-取费表'!B41</f>
        <v>5.6000000000000001E-2</v>
      </c>
      <c r="G53" s="2484"/>
      <c r="H53" s="138"/>
      <c r="I53" s="2482"/>
      <c r="J53" s="1808">
        <v>2</v>
      </c>
      <c r="K53" s="3102" t="s">
        <v>2213</v>
      </c>
      <c r="L53" s="3102"/>
      <c r="M53" s="1750">
        <f t="shared" ref="M53:O54" ca="1" si="0">D55</f>
        <v>17</v>
      </c>
      <c r="N53" s="1808" t="str">
        <f t="shared" si="0"/>
        <v>销售额×税（费）率</v>
      </c>
      <c r="O53" s="1751">
        <f t="shared" si="0"/>
        <v>5.0000000000000001E-4</v>
      </c>
    </row>
    <row r="54" spans="1:35" ht="12" customHeight="1">
      <c r="A54" s="183" t="s">
        <v>2214</v>
      </c>
      <c r="B54" s="3128" t="s">
        <v>2215</v>
      </c>
      <c r="C54" s="3129"/>
      <c r="D54" s="182">
        <f ca="1">C68</f>
        <v>1736</v>
      </c>
      <c r="E54" s="30" t="s">
        <v>2216</v>
      </c>
      <c r="F54" s="184">
        <f>'数据-取费表'!B41</f>
        <v>5.6000000000000001E-2</v>
      </c>
      <c r="G54" s="2484"/>
      <c r="H54" s="2485"/>
      <c r="I54" s="2482"/>
      <c r="J54" s="1808">
        <v>3</v>
      </c>
      <c r="K54" s="3102" t="s">
        <v>2217</v>
      </c>
      <c r="L54" s="3102"/>
      <c r="M54" s="1750">
        <f t="shared" ca="1" si="0"/>
        <v>17961</v>
      </c>
      <c r="N54" s="1808" t="str">
        <f t="shared" si="0"/>
        <v>增值额×税（费）率</v>
      </c>
      <c r="O54" s="1752" t="str">
        <f t="shared" si="0"/>
        <v>——</v>
      </c>
    </row>
    <row r="55" spans="1:35" ht="24" customHeight="1">
      <c r="A55" s="3166" t="s">
        <v>2218</v>
      </c>
      <c r="B55" s="3148"/>
      <c r="C55" s="3148"/>
      <c r="D55" s="185">
        <f ca="1">IF(H55="个人住宅",0,ROUND(D45*I55,0))</f>
        <v>17</v>
      </c>
      <c r="E55" s="11" t="s">
        <v>2219</v>
      </c>
      <c r="F55" s="184">
        <f>IF(H55="正常",I55,"免征")</f>
        <v>5.0000000000000001E-4</v>
      </c>
      <c r="G55" s="2484"/>
      <c r="H55" s="2481" t="s">
        <v>2220</v>
      </c>
      <c r="I55" s="186">
        <f>'数据-取费表'!B49</f>
        <v>5.0000000000000001E-4</v>
      </c>
      <c r="J55" s="1808" t="str">
        <f>IF(H59="非个人房产","",4)</f>
        <v/>
      </c>
      <c r="K55" s="3102" t="str">
        <f>IF(H59="非个人房产","——","个人所得税")</f>
        <v>——</v>
      </c>
      <c r="L55" s="3102"/>
      <c r="M55" s="1753" t="str">
        <f>D59</f>
        <v>——</v>
      </c>
      <c r="N55" s="1806" t="str">
        <f>E59</f>
        <v>——</v>
      </c>
      <c r="O55" s="1754" t="str">
        <f>F59</f>
        <v>——</v>
      </c>
    </row>
    <row r="56" spans="1:35" ht="25.2">
      <c r="A56" s="3166" t="s">
        <v>2221</v>
      </c>
      <c r="B56" s="3148"/>
      <c r="C56" s="3148"/>
      <c r="D56" s="185">
        <f ca="1">IF(H56="个人住宅",D57,D58)</f>
        <v>17961</v>
      </c>
      <c r="E56" s="11" t="s">
        <v>2222</v>
      </c>
      <c r="F56" s="184" t="str">
        <f>IF(H56="正常",F58,"免征")</f>
        <v>——</v>
      </c>
      <c r="G56" s="2486" t="s">
        <v>2223</v>
      </c>
      <c r="H56" s="2487" t="s">
        <v>2220</v>
      </c>
      <c r="I56" s="2488"/>
      <c r="J56" s="1808" t="str">
        <f>IF(项目基本情况!K6="上海银行",IF(J55="",4,J55+1),"")</f>
        <v/>
      </c>
      <c r="K56" s="3085" t="str">
        <f>IF(项目基本情况!K6="上海银行","其他处置费用","")</f>
        <v/>
      </c>
      <c r="L56" s="3086"/>
      <c r="M56" s="1750" t="str">
        <f>IF(项目基本情况!K6="上海银行",M69,"")</f>
        <v/>
      </c>
      <c r="N56" s="3088" t="str">
        <f>IF(项目基本情况!K6="上海银行","包含处置中涉及的律师、诉讼、拍卖、评估等费用","")</f>
        <v/>
      </c>
      <c r="O56" s="3089"/>
    </row>
    <row r="57" spans="1:35" ht="13.2">
      <c r="A57" s="183" t="s">
        <v>2196</v>
      </c>
      <c r="B57" s="3133" t="s">
        <v>2224</v>
      </c>
      <c r="C57" s="3134"/>
      <c r="D57" s="187">
        <v>0</v>
      </c>
      <c r="E57" s="23" t="s">
        <v>2198</v>
      </c>
      <c r="F57" s="155"/>
      <c r="G57" s="2484"/>
      <c r="H57" s="2488"/>
      <c r="I57" s="2488"/>
      <c r="J57" s="3102">
        <f>IF(AND(J55="",J56=""),4,IF(项目基本情况!K6="上海银行",结果表!J56+1,结果表!J55+1))</f>
        <v>4</v>
      </c>
      <c r="K57" s="3102" t="s">
        <v>2225</v>
      </c>
      <c r="L57" s="2489" t="s">
        <v>2226</v>
      </c>
      <c r="M57" s="1755"/>
      <c r="N57" s="1756">
        <f ca="1">SUMIF(M52:M56,"&lt;9e307")</f>
        <v>19714</v>
      </c>
      <c r="O57" s="2490"/>
      <c r="P57" s="1749">
        <f ca="1">N57/M49</f>
        <v>0.58301295321464486</v>
      </c>
    </row>
    <row r="58" spans="1:35" ht="25.2">
      <c r="A58" s="183" t="s">
        <v>2207</v>
      </c>
      <c r="B58" s="3133" t="s">
        <v>2227</v>
      </c>
      <c r="C58" s="3146"/>
      <c r="D58" s="185">
        <f ca="1">IF(H58="转让取得",C81,C97)</f>
        <v>17961</v>
      </c>
      <c r="E58" s="11" t="s">
        <v>2222</v>
      </c>
      <c r="F58" s="24" t="s">
        <v>34</v>
      </c>
      <c r="G58" s="2484"/>
      <c r="H58" s="2487" t="s">
        <v>3094</v>
      </c>
      <c r="I58" s="2488"/>
      <c r="J58" s="3102"/>
      <c r="K58" s="3102"/>
      <c r="L58" s="2489" t="s">
        <v>2228</v>
      </c>
      <c r="M58" s="1757"/>
      <c r="N58" s="2491" t="str">
        <f ca="1">NUMBERSTRING(INT(N57*10000),2)&amp;"元整"</f>
        <v>壹亿玖仟柒佰壹拾肆万元整</v>
      </c>
      <c r="O58" s="2492"/>
    </row>
    <row r="59" spans="1:35" ht="24.6" thickBot="1">
      <c r="A59" s="3106" t="s">
        <v>2229</v>
      </c>
      <c r="B59" s="3107"/>
      <c r="C59" s="3107"/>
      <c r="D59" s="188" t="str">
        <f>IF(H59="非个人房产","——",IF(H59="个人住宅",0,ROUND(D45*I59,0)))</f>
        <v>——</v>
      </c>
      <c r="E59" s="189" t="str">
        <f>IF(H59="非个人房产","——","销售额×税（费）率")</f>
        <v>——</v>
      </c>
      <c r="F59" s="190" t="str">
        <f>IF(H59="非个人房产","——",IF(H59="个人住宅","免征",I59))</f>
        <v>——</v>
      </c>
      <c r="G59" s="2493" t="s">
        <v>2223</v>
      </c>
      <c r="H59" s="2487" t="s">
        <v>3095</v>
      </c>
      <c r="I59" s="191">
        <v>0.01</v>
      </c>
      <c r="J59" s="3104">
        <f>J57+1</f>
        <v>5</v>
      </c>
      <c r="K59" s="3102" t="s">
        <v>2230</v>
      </c>
      <c r="L59" s="1808" t="s">
        <v>2226</v>
      </c>
      <c r="M59" s="1758"/>
      <c r="N59" s="1759">
        <f ca="1">M49-N57</f>
        <v>14100</v>
      </c>
      <c r="O59" s="2494"/>
    </row>
    <row r="60" spans="1:35" ht="12" customHeight="1">
      <c r="A60" s="2495"/>
      <c r="B60" s="2417"/>
      <c r="C60" s="2417"/>
      <c r="D60" s="2417"/>
      <c r="E60" s="2165"/>
      <c r="F60" s="2488"/>
      <c r="G60" s="2488"/>
      <c r="H60" s="2496"/>
      <c r="I60" s="138"/>
      <c r="J60" s="3105"/>
      <c r="K60" s="3102"/>
      <c r="L60" s="2489" t="s">
        <v>2228</v>
      </c>
      <c r="M60" s="1757"/>
      <c r="N60" s="2491" t="str">
        <f ca="1">NUMBERSTRING(INT(N59*10000),2)&amp;"元整"</f>
        <v>壹亿肆仟壹佰万元整</v>
      </c>
      <c r="O60" s="2492"/>
    </row>
    <row r="61" spans="1:35" ht="13.8" thickBot="1">
      <c r="A61" s="3165" t="s">
        <v>2231</v>
      </c>
      <c r="B61" s="3165"/>
      <c r="C61" s="3165"/>
      <c r="D61" s="3165"/>
      <c r="E61" s="3165"/>
      <c r="F61" s="2488"/>
      <c r="G61" s="2488"/>
      <c r="H61" s="2496"/>
      <c r="I61" s="138"/>
      <c r="J61" s="1808">
        <f>J59+1</f>
        <v>6</v>
      </c>
      <c r="K61" s="3102" t="s">
        <v>2232</v>
      </c>
      <c r="L61" s="3102"/>
      <c r="M61" s="1760"/>
      <c r="N61" s="1761">
        <f ca="1">ROUND(N59*10000/'数据-汇总表'!E3,0)</f>
        <v>31634</v>
      </c>
      <c r="O61" s="2497"/>
    </row>
    <row r="62" spans="1:35" ht="13.2">
      <c r="A62" s="3122" t="s">
        <v>2233</v>
      </c>
      <c r="B62" s="3123"/>
      <c r="C62" s="1800"/>
      <c r="D62" s="1800" t="s">
        <v>2234</v>
      </c>
      <c r="E62" s="192" t="s">
        <v>2235</v>
      </c>
      <c r="F62" s="2488"/>
      <c r="G62" s="2488"/>
      <c r="H62" s="2496"/>
      <c r="I62" s="138"/>
    </row>
    <row r="63" spans="1:35" ht="13.2">
      <c r="A63" s="203" t="s">
        <v>775</v>
      </c>
      <c r="B63" s="193" t="s">
        <v>2236</v>
      </c>
      <c r="C63" s="194">
        <f ca="1">ROUND((C64+C65)/(1+'数据-取费表'!C42),0)</f>
        <v>32204</v>
      </c>
      <c r="D63" s="195"/>
      <c r="E63" s="196"/>
      <c r="F63" s="2488"/>
      <c r="G63" s="2488"/>
      <c r="H63" s="2496"/>
      <c r="I63" s="138"/>
      <c r="J63" s="3087" t="s">
        <v>2237</v>
      </c>
      <c r="K63" s="2498" t="s">
        <v>2238</v>
      </c>
      <c r="L63" s="1748">
        <f ca="1">IF(M49&gt;10000,M49*0.5%,IF(AND(M49&gt;1000,M49&lt;=10000),M49*1%,IF(AND(M49&gt;100,M49&lt;=1000),M49*3%,IF(AND(M49&gt;10,M49&lt;=100),M49*5%,M49*8%))))</f>
        <v>169.07</v>
      </c>
      <c r="M63" s="24">
        <f ca="1">ROUND(L63,1)</f>
        <v>169.1</v>
      </c>
      <c r="Z63" s="2422"/>
      <c r="AI63" s="2423"/>
    </row>
    <row r="64" spans="1:35" ht="14.25" customHeight="1">
      <c r="A64" s="197" t="s">
        <v>770</v>
      </c>
      <c r="B64" s="198" t="s">
        <v>2239</v>
      </c>
      <c r="C64" s="199">
        <f ca="1">D45</f>
        <v>33814</v>
      </c>
      <c r="D64" s="200" t="s">
        <v>32</v>
      </c>
      <c r="E64" s="201"/>
      <c r="F64" s="2488"/>
      <c r="G64" s="2488"/>
      <c r="H64" s="2496"/>
      <c r="I64" s="138"/>
      <c r="J64" s="3087"/>
      <c r="K64" s="2498" t="s">
        <v>2240</v>
      </c>
      <c r="L64" s="1748">
        <f ca="1">IF(M49&gt;2000,M49*0.5%,IF(AND(M49&gt;1000,M49&lt;=2000),M49*0.6%,IF(AND(M49&gt;500,M49&lt;=1000),M49*0.7%,IF(AND(M49&gt;200,M49&lt;=500),M49*0.8%,IF(AND(M49&gt;100,M49&lt;=200),M49*0.9%,IF(AND(M49&gt;50,M49&lt;=100),M49*1%,IF(AND(M49&gt;20,M49&lt;=50),M49*1.5%,IF(AND(M49&gt;10,M49&lt;=20),M49*2%,IF(AND(M49&gt;1,M49&lt;=10),M49*2.5%)))))))))</f>
        <v>169.07</v>
      </c>
      <c r="M64" s="24">
        <f t="shared" ref="M64:M65" ca="1" si="1">ROUND(L64,1)</f>
        <v>169.1</v>
      </c>
      <c r="N64" s="138" t="s">
        <v>2241</v>
      </c>
      <c r="Z64" s="2422"/>
      <c r="AI64" s="2423"/>
    </row>
    <row r="65" spans="1:35" ht="14.25" customHeight="1">
      <c r="A65" s="197" t="s">
        <v>771</v>
      </c>
      <c r="B65" s="198" t="s">
        <v>2242</v>
      </c>
      <c r="C65" s="202">
        <v>0</v>
      </c>
      <c r="D65" s="200"/>
      <c r="E65" s="201"/>
      <c r="F65" s="2488"/>
      <c r="G65" s="2488"/>
      <c r="H65" s="2496"/>
      <c r="I65" s="138"/>
      <c r="J65" s="3087"/>
      <c r="K65" s="2498" t="s">
        <v>2243</v>
      </c>
      <c r="L65" s="1748">
        <f ca="1">IF(M49&gt;1000,M49*0.1%,IF(AND(M49&gt;500,M49&lt;=1000),M49*0.5%,IF(AND(M49&gt;50,M49&lt;=500),M49*1%,IF(AND(M49&gt;1,M49&lt;=50),M49*1.5%))))</f>
        <v>33.814</v>
      </c>
      <c r="M65" s="24">
        <f t="shared" ca="1" si="1"/>
        <v>33.799999999999997</v>
      </c>
      <c r="N65" s="138" t="s">
        <v>2241</v>
      </c>
      <c r="Z65" s="2422"/>
      <c r="AI65" s="2423"/>
    </row>
    <row r="66" spans="1:35" ht="14.25" customHeight="1">
      <c r="A66" s="203" t="s">
        <v>772</v>
      </c>
      <c r="B66" s="204" t="s">
        <v>2244</v>
      </c>
      <c r="C66" s="205">
        <v>1203.444</v>
      </c>
      <c r="D66" s="206" t="s">
        <v>32</v>
      </c>
      <c r="E66" s="1772" t="s">
        <v>1366</v>
      </c>
      <c r="F66" s="2488"/>
      <c r="G66" s="2488"/>
      <c r="H66" s="2496"/>
      <c r="I66" s="138"/>
      <c r="J66" s="3087"/>
      <c r="K66" s="2498" t="s">
        <v>2245</v>
      </c>
      <c r="L66" s="1748">
        <f ca="1">M49*0.5%</f>
        <v>169.07</v>
      </c>
      <c r="M66" s="24">
        <f ca="1">IF(L66&gt;0.5,0.5,ROUND(L66,0))</f>
        <v>0.5</v>
      </c>
      <c r="N66" s="138" t="s">
        <v>2246</v>
      </c>
      <c r="Z66" s="2422"/>
      <c r="AI66" s="2423"/>
    </row>
    <row r="67" spans="1:35" ht="14.25" customHeight="1">
      <c r="A67" s="203" t="s">
        <v>773</v>
      </c>
      <c r="B67" s="204" t="s">
        <v>2247</v>
      </c>
      <c r="C67" s="207">
        <f ca="1">C63-C66</f>
        <v>31000.556</v>
      </c>
      <c r="D67" s="200" t="s">
        <v>32</v>
      </c>
      <c r="E67" s="201"/>
      <c r="F67" s="2488"/>
      <c r="G67" s="2488"/>
      <c r="H67" s="2496"/>
      <c r="I67" s="138"/>
      <c r="J67" s="3087"/>
      <c r="K67" s="2498" t="s">
        <v>2248</v>
      </c>
      <c r="L67" s="1748">
        <f ca="1">IF(M49&gt;=10000,(8.25+(M49-10000)*0.01%),IF(AND(M49&gt;=8000,M49&lt;10000),(7.85+(M49-8000)*0.02%),IF(AND(M49&gt;=5000,M49&lt;8000),(6.65+(M49-5000)*0.04%),IF(AND(M49&gt;=2000,M49&lt;5000),(4.25+(PM49-2000)*0.08%),IF(AND(M49&gt;=1000,M49&lt;2000),(2.75+(M49-1000)*0.15%),IF(AND(M49&gt;=100,M49&lt;1000),(0.5+(M49-100)*0.25%),IF(AND(M49&gt;0,M49&lt;100),M49*0.5%)))))))</f>
        <v>10.631399999999999</v>
      </c>
      <c r="M67" s="24">
        <f ca="1">ROUND(L67*0.9,1)</f>
        <v>9.6</v>
      </c>
      <c r="Z67" s="2422"/>
      <c r="AI67" s="2423"/>
    </row>
    <row r="68" spans="1:35" ht="14.25" customHeight="1" thickBot="1">
      <c r="A68" s="208" t="s">
        <v>774</v>
      </c>
      <c r="B68" s="209" t="s">
        <v>2249</v>
      </c>
      <c r="C68" s="210">
        <f ca="1">IF(C67&lt;=0,0,ROUND(C67*D68,0))</f>
        <v>1736</v>
      </c>
      <c r="D68" s="211">
        <f>'数据-取费表'!B41</f>
        <v>5.6000000000000001E-2</v>
      </c>
      <c r="E68" s="212"/>
      <c r="F68" s="2488"/>
      <c r="G68" s="2488"/>
      <c r="H68" s="2496"/>
      <c r="I68" s="138"/>
      <c r="J68" s="3087"/>
      <c r="K68" s="2498" t="s">
        <v>2250</v>
      </c>
      <c r="L68" s="1748">
        <f ca="1">IF(M49&gt;10000,M49*0.5%,IF(AND(M49&gt;5000,M49&lt;=10000),M49*1%,IF(AND(M49&gt;1000,M49&lt;=5000),M49*2%,IF(AND(M49&gt;200,M49&lt;=1000),M49*3%,M49*5%))))</f>
        <v>169.07</v>
      </c>
      <c r="M68" s="24">
        <f ca="1">ROUND(L68,1)</f>
        <v>169.1</v>
      </c>
      <c r="Z68" s="2422"/>
      <c r="AI68" s="2423"/>
    </row>
    <row r="69" spans="1:35" s="2445" customFormat="1" ht="16.5" customHeight="1">
      <c r="A69" s="2499"/>
      <c r="B69" s="2500"/>
      <c r="C69" s="2501"/>
      <c r="D69" s="2502"/>
      <c r="E69" s="2503"/>
      <c r="F69" s="2165"/>
      <c r="G69" s="2165"/>
      <c r="H69" s="2164"/>
      <c r="I69" s="2417"/>
      <c r="J69" s="3087"/>
      <c r="K69" s="2498" t="s">
        <v>2251</v>
      </c>
      <c r="L69" s="2504"/>
      <c r="M69" s="24">
        <f ca="1">ROUND(SUM(M63:M68),0)</f>
        <v>551</v>
      </c>
      <c r="N69" s="1749">
        <f ca="1">M69/M49</f>
        <v>1.6295025728987993E-2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31" t="s">
        <v>2252</v>
      </c>
      <c r="B70" s="3132"/>
      <c r="C70" s="3132"/>
      <c r="D70" s="3132"/>
      <c r="E70" s="3132"/>
      <c r="F70" s="3132"/>
      <c r="G70" s="3132"/>
      <c r="H70" s="313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22" t="s">
        <v>2233</v>
      </c>
      <c r="B71" s="3123"/>
      <c r="C71" s="1800"/>
      <c r="D71" s="1800" t="s">
        <v>2234</v>
      </c>
      <c r="E71" s="213" t="s">
        <v>2235</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2253</v>
      </c>
      <c r="C72" s="207">
        <f ca="1">ROUND(D45/(1+'数据-取费表'!C42),0)</f>
        <v>32204</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2254</v>
      </c>
      <c r="C73" s="207">
        <f ca="1">C74+C78</f>
        <v>1433</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2255</v>
      </c>
      <c r="C74" s="200">
        <f>ROUND(IF(G77="2016年5月1日后购买",C75/(1+'数据-取费表'!C42)+C76+C77,C75+C76+C77),0)</f>
        <v>1240</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2256</v>
      </c>
      <c r="C75" s="218">
        <v>1203.444</v>
      </c>
      <c r="D75" s="200" t="s">
        <v>32</v>
      </c>
      <c r="E75" s="219" t="s">
        <v>2257</v>
      </c>
      <c r="F75" s="2510" t="s">
        <v>2258</v>
      </c>
      <c r="G75" s="219" t="s">
        <v>2259</v>
      </c>
      <c r="H75" s="220">
        <v>0</v>
      </c>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2260</v>
      </c>
      <c r="C76" s="200">
        <f>IF(F75="购房发票",ROUND(C75*H75*D76,0),0)</f>
        <v>0</v>
      </c>
      <c r="D76" s="222">
        <v>0.05</v>
      </c>
      <c r="E76" s="3128" t="s">
        <v>2261</v>
      </c>
      <c r="F76" s="3127"/>
      <c r="G76" s="3127"/>
      <c r="H76" s="313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2262</v>
      </c>
      <c r="C77" s="200">
        <f>ROUND(IF(G77="个人住宅",0,IF(G77="2016年5月1日前购买",C75*D77,C75*D77/(1+'数据-取费表'!C42))),0)</f>
        <v>37</v>
      </c>
      <c r="D77" s="223">
        <f>'数据-取费表'!B48+'数据-取费表'!B49</f>
        <v>3.0499999999999999E-2</v>
      </c>
      <c r="E77" s="15" t="s">
        <v>2263</v>
      </c>
      <c r="F77" s="224"/>
      <c r="G77" s="2512" t="s">
        <v>3096</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2264</v>
      </c>
      <c r="C78" s="225">
        <f ca="1">ROUND(D45*D78/(1+'数据-取费表'!C42),0)</f>
        <v>193</v>
      </c>
      <c r="D78" s="226">
        <f>'数据-取费表'!B43</f>
        <v>6.000000000000001E-3</v>
      </c>
      <c r="E78" s="3119" t="s">
        <v>2265</v>
      </c>
      <c r="F78" s="3120"/>
      <c r="G78" s="3120"/>
      <c r="H78" s="312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2266</v>
      </c>
      <c r="C79" s="207">
        <f ca="1">C72-C73</f>
        <v>30771</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2267</v>
      </c>
      <c r="C80" s="227">
        <f ca="1">IF(C79&lt;=0,0,C79/C73)</f>
        <v>21.473133286810885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2268</v>
      </c>
      <c r="C81" s="228">
        <f ca="1">ROUND(IF(C79&lt;=0,0,IF(C80&gt;=200%,C79*60%-C73*35%,IF(C80&gt;=100%,C79*50%-C73*15%,IF(C80&gt;=50%,C79*40%-C73*5%,IF(C80&lt;50%,C79*30%,0))))),0)</f>
        <v>17961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31" t="s">
        <v>2269</v>
      </c>
      <c r="B83" s="3132"/>
      <c r="C83" s="3132"/>
      <c r="D83" s="3132"/>
      <c r="E83" s="3132"/>
      <c r="F83" s="3132"/>
      <c r="G83" s="3132"/>
      <c r="H83" s="313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22" t="s">
        <v>2233</v>
      </c>
      <c r="B84" s="3123"/>
      <c r="C84" s="1800"/>
      <c r="D84" s="1800" t="s">
        <v>2234</v>
      </c>
      <c r="E84" s="213" t="s">
        <v>2235</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2253</v>
      </c>
      <c r="C85" s="207">
        <f ca="1">ROUND(D45/(1+'数据-取费表'!C42),0)</f>
        <v>32204</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2254</v>
      </c>
      <c r="C86" s="207">
        <f ca="1">IF(H88="仅含出让金",C87+C90+C91+C92+C93+C94,C87+C91+C92+C93+C94)</f>
        <v>193</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2270</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2271</v>
      </c>
      <c r="C88" s="236"/>
      <c r="D88" s="226"/>
      <c r="E88" s="237" t="s">
        <v>2272</v>
      </c>
      <c r="F88" s="1796"/>
      <c r="G88" s="238" t="s">
        <v>2273</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2262</v>
      </c>
      <c r="C89" s="225">
        <f>ROUND(C88*D89,0)</f>
        <v>0</v>
      </c>
      <c r="D89" s="226">
        <f>'数据-取费表'!B48+'数据-取费表'!B49</f>
        <v>3.0499999999999999E-2</v>
      </c>
      <c r="E89" s="237" t="s">
        <v>2274</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2275</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2276</v>
      </c>
      <c r="B91" s="198" t="s">
        <v>2277</v>
      </c>
      <c r="C91" s="225">
        <f>IF(H91="——",成本法!C33,I91)</f>
        <v>0</v>
      </c>
      <c r="D91" s="226"/>
      <c r="E91" s="3119" t="s">
        <v>2278</v>
      </c>
      <c r="F91" s="3120"/>
      <c r="G91" s="3120"/>
      <c r="H91" s="2517" t="s">
        <v>2279</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2280</v>
      </c>
      <c r="B92" s="198" t="s">
        <v>2281</v>
      </c>
      <c r="C92" s="225">
        <f>ROUND((C87+C90+C91)*D92,0)</f>
        <v>0</v>
      </c>
      <c r="D92" s="226">
        <v>0.1</v>
      </c>
      <c r="E92" s="3119" t="s">
        <v>2282</v>
      </c>
      <c r="F92" s="3120"/>
      <c r="G92" s="3120"/>
      <c r="H92" s="312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2283</v>
      </c>
      <c r="B93" s="198" t="s">
        <v>2264</v>
      </c>
      <c r="C93" s="225">
        <f ca="1">ROUND(D45*D93/(1+'数据-取费表'!C42),0)</f>
        <v>193</v>
      </c>
      <c r="D93" s="226">
        <f>'数据-取费表'!B43</f>
        <v>6.000000000000001E-3</v>
      </c>
      <c r="E93" s="3119" t="s">
        <v>2265</v>
      </c>
      <c r="F93" s="3120"/>
      <c r="G93" s="3120"/>
      <c r="H93" s="312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2284</v>
      </c>
      <c r="B94" s="198" t="s">
        <v>2285</v>
      </c>
      <c r="C94" s="236">
        <f>ROUND((C87+C90+C91)*D94,0)</f>
        <v>0</v>
      </c>
      <c r="D94" s="226">
        <v>0.2</v>
      </c>
      <c r="E94" s="3167" t="s">
        <v>2286</v>
      </c>
      <c r="F94" s="3168"/>
      <c r="G94" s="3168"/>
      <c r="H94" s="316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2266</v>
      </c>
      <c r="C95" s="207">
        <f ca="1">ROUND(C85-C86,0)</f>
        <v>32011</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2267</v>
      </c>
      <c r="C96" s="227">
        <f ca="1">IF(C95&lt;=0,0,C95/C86)</f>
        <v>165.86010362694302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2268</v>
      </c>
      <c r="C97" s="228">
        <f ca="1">ROUND(IF(C95&lt;=0,0,IF(C96&gt;=200%,C95*60%-C86*35%,IF(C96&gt;=100%,C95*50%-C86*15%,IF(C96&gt;=50%,C95*40%-C86*5%,IF(C96&lt;50%,C95*30%,0))))),0)</f>
        <v>19139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2287</v>
      </c>
      <c r="B99" s="2417"/>
      <c r="C99" s="2417"/>
      <c r="D99" s="2417"/>
      <c r="E99" s="2165"/>
      <c r="F99" s="2165"/>
      <c r="G99" s="2165"/>
      <c r="H99" s="2164"/>
      <c r="I99" s="138"/>
    </row>
    <row r="100" spans="1:35" ht="18.75" customHeight="1">
      <c r="A100" s="3071" t="s">
        <v>2288</v>
      </c>
      <c r="B100" s="3072"/>
      <c r="C100" s="3072"/>
      <c r="D100" s="3103"/>
      <c r="E100" s="3072" t="s">
        <v>2289</v>
      </c>
      <c r="F100" s="3072"/>
      <c r="G100" s="3072"/>
      <c r="H100" s="3103"/>
      <c r="I100" s="138"/>
    </row>
    <row r="101" spans="1:35" ht="18.75" customHeight="1">
      <c r="A101" s="3111" t="s">
        <v>2290</v>
      </c>
      <c r="B101" s="3112"/>
      <c r="C101" s="736" t="str">
        <f>C4</f>
        <v>典型户型修正</v>
      </c>
      <c r="D101" s="737" t="str">
        <f>D4</f>
        <v>典型户型修正</v>
      </c>
      <c r="E101" s="3083" t="s">
        <v>2291</v>
      </c>
      <c r="F101" s="3084"/>
      <c r="G101" s="2519" t="s">
        <v>2292</v>
      </c>
      <c r="H101" s="1045">
        <f ca="1">H118</f>
        <v>33814</v>
      </c>
      <c r="I101" s="138"/>
    </row>
    <row r="102" spans="1:35" ht="18.75" customHeight="1">
      <c r="A102" s="3113" t="s">
        <v>2293</v>
      </c>
      <c r="B102" s="2519" t="s">
        <v>2292</v>
      </c>
      <c r="C102" s="736">
        <f ca="1">C19</f>
        <v>33814</v>
      </c>
      <c r="D102" s="737">
        <f ca="1">D19</f>
        <v>33814</v>
      </c>
      <c r="E102" s="3083"/>
      <c r="F102" s="3084"/>
      <c r="G102" s="2519" t="s">
        <v>2294</v>
      </c>
      <c r="H102" s="371">
        <f ca="1">I118</f>
        <v>75864</v>
      </c>
      <c r="I102" s="138"/>
    </row>
    <row r="103" spans="1:35" ht="42.75" customHeight="1">
      <c r="A103" s="3113"/>
      <c r="B103" s="2519" t="s">
        <v>2294</v>
      </c>
      <c r="C103" s="738">
        <f ca="1">C20</f>
        <v>75864</v>
      </c>
      <c r="D103" s="739">
        <f ca="1">D20</f>
        <v>75864</v>
      </c>
      <c r="E103" s="3077" t="s">
        <v>2295</v>
      </c>
      <c r="F103" s="3078"/>
      <c r="G103" s="2520" t="s">
        <v>2296</v>
      </c>
      <c r="H103" s="1045">
        <f>IF(D36="正常操作",H104+H105+H106,H105+H106)</f>
        <v>0</v>
      </c>
      <c r="I103" s="138"/>
    </row>
    <row r="104" spans="1:35" ht="18.75" customHeight="1">
      <c r="A104" s="3113" t="s">
        <v>2297</v>
      </c>
      <c r="B104" s="2521" t="s">
        <v>2292</v>
      </c>
      <c r="C104" s="740">
        <f ca="1">H118</f>
        <v>33814</v>
      </c>
      <c r="D104" s="741"/>
      <c r="E104" s="2266" t="s">
        <v>2298</v>
      </c>
      <c r="F104" s="2257"/>
      <c r="G104" s="2520" t="s">
        <v>2296</v>
      </c>
      <c r="H104" s="1046">
        <f>IF(D36="同一抵押权人同一抵押物续贷",C36&amp;"（未扣减，详见特别提示）",C36)</f>
        <v>0</v>
      </c>
      <c r="I104" s="138"/>
    </row>
    <row r="105" spans="1:35" ht="18.75" customHeight="1" thickBot="1">
      <c r="A105" s="3125"/>
      <c r="B105" s="2522" t="s">
        <v>2294</v>
      </c>
      <c r="C105" s="742">
        <f ca="1">I118</f>
        <v>75864</v>
      </c>
      <c r="D105" s="743"/>
      <c r="E105" s="2266" t="s">
        <v>2299</v>
      </c>
      <c r="F105" s="2257"/>
      <c r="G105" s="2520" t="s">
        <v>2296</v>
      </c>
      <c r="H105" s="1046">
        <f>C37</f>
        <v>0</v>
      </c>
      <c r="I105" s="138"/>
    </row>
    <row r="106" spans="1:35" ht="18.75" customHeight="1">
      <c r="A106" s="2417" t="s">
        <v>2300</v>
      </c>
      <c r="B106" s="2417"/>
      <c r="C106" s="2417"/>
      <c r="D106" s="2417"/>
      <c r="E106" s="2523" t="s">
        <v>2301</v>
      </c>
      <c r="F106" s="2257"/>
      <c r="G106" s="2520" t="s">
        <v>2296</v>
      </c>
      <c r="H106" s="1046">
        <f>C38</f>
        <v>0</v>
      </c>
      <c r="I106" s="138"/>
    </row>
    <row r="107" spans="1:35" ht="18.75" customHeight="1">
      <c r="A107" s="138"/>
      <c r="B107" s="138"/>
      <c r="C107" s="138"/>
      <c r="D107" s="138"/>
      <c r="E107" s="3114" t="str">
        <f>IF(项目基本情况!E8="已注销","——","3.房地产抵押价值")</f>
        <v>3.房地产抵押价值</v>
      </c>
      <c r="F107" s="3084"/>
      <c r="G107" s="2519" t="s">
        <v>2292</v>
      </c>
      <c r="H107" s="1045">
        <f ca="1">IF(E107="——","——",H101-H103)</f>
        <v>33814</v>
      </c>
      <c r="I107" s="138"/>
    </row>
    <row r="108" spans="1:35" ht="18.75" customHeight="1">
      <c r="A108" s="138"/>
      <c r="B108" s="138"/>
      <c r="C108" s="138"/>
      <c r="D108" s="138"/>
      <c r="E108" s="3114"/>
      <c r="F108" s="3084"/>
      <c r="G108" s="2519" t="s">
        <v>2294</v>
      </c>
      <c r="H108" s="371">
        <f ca="1">ROUND(H107*10000/'数据-汇总表'!E3,0)</f>
        <v>75864</v>
      </c>
      <c r="I108" s="138"/>
    </row>
    <row r="109" spans="1:35" ht="18.75" customHeight="1">
      <c r="A109" s="138"/>
      <c r="B109" s="138"/>
      <c r="C109" s="138"/>
      <c r="D109" s="138"/>
      <c r="E109" s="3114" t="str">
        <f>IF(项目基本情况!E8="已注销及未注销","4.抵押担保权已注销时的房地产抵押价值",IF(项目基本情况!E8="已注销","3.抵押担保权已注销时的房地产抵押价值","——"))</f>
        <v>——</v>
      </c>
      <c r="F109" s="3084"/>
      <c r="G109" s="2519" t="s">
        <v>2292</v>
      </c>
      <c r="H109" s="348" t="str">
        <f>IF(E109="——","——",H101-H105-H106)</f>
        <v>——</v>
      </c>
      <c r="I109" s="138"/>
    </row>
    <row r="110" spans="1:35" ht="18.75" customHeight="1">
      <c r="A110" s="138"/>
      <c r="B110" s="138"/>
      <c r="C110" s="138"/>
      <c r="D110" s="138"/>
      <c r="E110" s="3114"/>
      <c r="F110" s="3084"/>
      <c r="G110" s="2519" t="s">
        <v>2294</v>
      </c>
      <c r="H110" s="371" t="str">
        <f>IF(H109="——","——",ROUND(H109*10000/'数据-汇总表'!E3,0))</f>
        <v>——</v>
      </c>
      <c r="I110" s="138"/>
    </row>
    <row r="111" spans="1:35" ht="18.75" customHeight="1">
      <c r="A111" s="138"/>
      <c r="B111" s="138"/>
      <c r="C111" s="138"/>
      <c r="D111" s="138"/>
      <c r="E111" s="3115" t="str">
        <f>IF(项目基本情况!E9="抵押净值",IF(OR(项目基本情况!E8="已注销",项目基本情况!E8="房地产抵押价值"),"4.抵押净值","5.抵押净值"),"——")</f>
        <v>——</v>
      </c>
      <c r="F111" s="3116"/>
      <c r="G111" s="2519" t="s">
        <v>2292</v>
      </c>
      <c r="H111" s="1045" t="str">
        <f>IF(E111="——","——",N59)</f>
        <v>——</v>
      </c>
      <c r="I111" s="138"/>
    </row>
    <row r="112" spans="1:35" ht="18.75" customHeight="1" thickBot="1">
      <c r="A112" s="138"/>
      <c r="B112" s="138"/>
      <c r="C112" s="138"/>
      <c r="D112" s="138"/>
      <c r="E112" s="3117"/>
      <c r="F112" s="3118"/>
      <c r="G112" s="2524" t="s">
        <v>2294</v>
      </c>
      <c r="H112" s="790" t="str">
        <f>IF(E111="——","——",N61)</f>
        <v>——</v>
      </c>
      <c r="I112" s="138"/>
    </row>
    <row r="113" spans="1:11" ht="18.75" customHeight="1">
      <c r="A113" s="138"/>
      <c r="B113" s="138"/>
      <c r="C113" s="138"/>
      <c r="D113" s="138"/>
      <c r="E113" s="3126" t="s">
        <v>2300</v>
      </c>
      <c r="F113" s="3126"/>
      <c r="G113" s="3126"/>
      <c r="H113" s="3126"/>
      <c r="I113" s="138"/>
    </row>
    <row r="114" spans="1:11" ht="3.75" customHeight="1">
      <c r="A114" s="2417"/>
      <c r="B114" s="2417"/>
      <c r="C114" s="2417"/>
      <c r="D114" s="2417"/>
      <c r="E114" s="2495"/>
      <c r="F114" s="2495"/>
      <c r="G114" s="2495"/>
      <c r="H114" s="2495"/>
      <c r="I114" s="2417"/>
    </row>
    <row r="115" spans="1:11" ht="18.75" customHeight="1">
      <c r="A115" s="3139" t="s">
        <v>2302</v>
      </c>
      <c r="B115" s="3140"/>
      <c r="C115" s="3140"/>
      <c r="D115" s="3140"/>
      <c r="E115" s="3140"/>
      <c r="F115" s="3140"/>
      <c r="G115" s="3140"/>
      <c r="H115" s="3140"/>
      <c r="I115" s="3141"/>
    </row>
    <row r="116" spans="1:11" ht="27" customHeight="1">
      <c r="A116" s="3050" t="s">
        <v>2303</v>
      </c>
      <c r="B116" s="3093" t="s">
        <v>2304</v>
      </c>
      <c r="C116" s="3093" t="s">
        <v>2305</v>
      </c>
      <c r="D116" s="3099" t="s">
        <v>2306</v>
      </c>
      <c r="E116" s="3100"/>
      <c r="F116" s="3135" t="s">
        <v>2307</v>
      </c>
      <c r="G116" s="3135"/>
      <c r="H116" s="3050" t="s">
        <v>2308</v>
      </c>
      <c r="I116" s="3050"/>
    </row>
    <row r="117" spans="1:11" ht="18.75" customHeight="1">
      <c r="A117" s="3050"/>
      <c r="B117" s="3094"/>
      <c r="C117" s="3094"/>
      <c r="D117" s="1794" t="s">
        <v>2309</v>
      </c>
      <c r="E117" s="1794" t="s">
        <v>2310</v>
      </c>
      <c r="F117" s="1794" t="s">
        <v>2309</v>
      </c>
      <c r="G117" s="1794" t="s">
        <v>2311</v>
      </c>
      <c r="H117" s="1794" t="s">
        <v>2309</v>
      </c>
      <c r="I117" s="1794" t="s">
        <v>2311</v>
      </c>
    </row>
    <row r="118" spans="1:11" ht="24.75" customHeight="1">
      <c r="A118" s="2525" t="str">
        <f>项目基本情况!S2</f>
        <v>北京市房地产</v>
      </c>
      <c r="B118" s="1794">
        <f>M18</f>
        <v>4457.2</v>
      </c>
      <c r="C118" s="1794">
        <f>M19</f>
        <v>1587.11</v>
      </c>
      <c r="D118" s="1794">
        <f ca="1">ROUND(IF(D32="总价",C34,E118*B118/10000),0)</f>
        <v>22250</v>
      </c>
      <c r="E118" s="1794">
        <f ca="1">ROUND(IF(C33="自定义",IF(D32="楼面单价",C34,D118*10000/B118),I118-G118),0)</f>
        <v>49919</v>
      </c>
      <c r="F118" s="1794">
        <f ca="1">ROUND(IF(D32="总价",C35,G118*B118/10000),0)</f>
        <v>11564</v>
      </c>
      <c r="G118" s="1794">
        <f ca="1">ROUND(IF(D32="楼面单价",C35,F118*10000/B118),0)</f>
        <v>25945</v>
      </c>
      <c r="H118" s="1794">
        <f ca="1">ROUND(IF(D32="总价",C32,I118*B118/10000),0)</f>
        <v>33814</v>
      </c>
      <c r="I118" s="1794">
        <f ca="1">ROUND(IF(D32="楼面单价",C32,H118*10000/B118),0)</f>
        <v>75864</v>
      </c>
    </row>
    <row r="119" spans="1:11" ht="18.75" customHeight="1">
      <c r="A119" s="3050" t="s">
        <v>2312</v>
      </c>
      <c r="B119" s="3050"/>
      <c r="C119" s="3050"/>
      <c r="D119" s="3095" t="str">
        <f ca="1">NUMBERSTRING(INT(D118*10000),2)&amp;"元整"</f>
        <v>贰亿贰仟贰佰伍拾万元整</v>
      </c>
      <c r="E119" s="3096"/>
      <c r="F119" s="3095" t="str">
        <f ca="1">NUMBERSTRING(INT(F118*10000),2)&amp;"元整"</f>
        <v>壹亿壹仟伍佰陆拾肆万元整</v>
      </c>
      <c r="G119" s="3096"/>
      <c r="H119" s="3095" t="str">
        <f ca="1">NUMBERSTRING(INT(H118*10000),2)&amp;"元整"</f>
        <v>叁亿叁仟捌佰壹拾肆万元整</v>
      </c>
      <c r="I119" s="3096"/>
    </row>
    <row r="120" spans="1:11" ht="18.75" customHeight="1">
      <c r="A120" s="3090" t="str">
        <f>IF(项目基本情况!B9="房地产市场价值","",MID(E103,3,LEN(E103)-2))</f>
        <v>估价师知悉的法定优先受偿款</v>
      </c>
      <c r="B120" s="3091"/>
      <c r="C120" s="3092"/>
      <c r="D120" s="3090">
        <f>H103</f>
        <v>0</v>
      </c>
      <c r="E120" s="3091"/>
      <c r="F120" s="3091"/>
      <c r="G120" s="3091"/>
      <c r="H120" s="3091"/>
      <c r="I120" s="3092"/>
      <c r="K120" s="2422" t="str">
        <f>IF(D120=0,"故，本次评估不存在"&amp;A120,"故，本次评估"&amp;A120&amp;"为人民币"&amp;D120&amp;"万元整。")</f>
        <v>故，本次评估不存在估价师知悉的法定优先受偿款</v>
      </c>
    </row>
    <row r="121" spans="1:11" ht="18.75" customHeight="1">
      <c r="A121" s="3136" t="s">
        <v>2312</v>
      </c>
      <c r="B121" s="3137"/>
      <c r="C121" s="3138"/>
      <c r="D121" s="3095" t="str">
        <f>IF(D120=0,"零元整",NUMBERSTRING(INT(D120*10000),2)&amp;"元整")</f>
        <v>零元整</v>
      </c>
      <c r="E121" s="3097"/>
      <c r="F121" s="3097"/>
      <c r="G121" s="3097"/>
      <c r="H121" s="3097"/>
      <c r="I121" s="3096"/>
    </row>
    <row r="122" spans="1:11" ht="18.75" customHeight="1">
      <c r="A122" s="3101" t="str">
        <f>IF(项目基本情况!B9="房地产市场价值","",MID(E107,3,LEN(E107)-2))</f>
        <v>房地产抵押价值</v>
      </c>
      <c r="B122" s="3101"/>
      <c r="C122" s="3101"/>
      <c r="D122" s="3090">
        <f ca="1">H107</f>
        <v>33814</v>
      </c>
      <c r="E122" s="3091"/>
      <c r="F122" s="3091"/>
      <c r="G122" s="3091"/>
      <c r="H122" s="3091"/>
      <c r="I122" s="3092"/>
    </row>
    <row r="123" spans="1:11" ht="18.75" customHeight="1">
      <c r="A123" s="3050" t="s">
        <v>2312</v>
      </c>
      <c r="B123" s="3050"/>
      <c r="C123" s="3050"/>
      <c r="D123" s="3095" t="str">
        <f ca="1">NUMBERSTRING(INT(D122*10000),2)&amp;"元整"</f>
        <v>叁亿叁仟捌佰壹拾肆万元整</v>
      </c>
      <c r="E123" s="3097"/>
      <c r="F123" s="3097"/>
      <c r="G123" s="3097"/>
      <c r="H123" s="3097"/>
      <c r="I123" s="3096"/>
    </row>
    <row r="124" spans="1:11" ht="18.75" customHeight="1">
      <c r="A124" s="3101" t="str">
        <f>IF(项目基本情况!B9="房地产市场价值","",MID(E109,3,LEN(E109)-2))</f>
        <v/>
      </c>
      <c r="B124" s="3101"/>
      <c r="C124" s="3101"/>
      <c r="D124" s="3090" t="str">
        <f>H109</f>
        <v>——</v>
      </c>
      <c r="E124" s="3091"/>
      <c r="F124" s="3091"/>
      <c r="G124" s="3091"/>
      <c r="H124" s="3091"/>
      <c r="I124" s="3092"/>
    </row>
    <row r="125" spans="1:11" ht="18.75" customHeight="1">
      <c r="A125" s="3050" t="s">
        <v>2312</v>
      </c>
      <c r="B125" s="3050"/>
      <c r="C125" s="3050"/>
      <c r="D125" s="3095" t="e">
        <f>NUMBERSTRING(INT(D124*10000),2)&amp;"元整"</f>
        <v>#VALUE!</v>
      </c>
      <c r="E125" s="3097"/>
      <c r="F125" s="3097"/>
      <c r="G125" s="3097"/>
      <c r="H125" s="3097"/>
      <c r="I125" s="3096"/>
    </row>
    <row r="126" spans="1:11" ht="18.75" customHeight="1">
      <c r="A126" s="3101" t="str">
        <f>IF(项目基本情况!B9="房地产市场价值","",MID(E111,3,LEN(E111)-2))</f>
        <v/>
      </c>
      <c r="B126" s="3101"/>
      <c r="C126" s="3101"/>
      <c r="D126" s="3090" t="str">
        <f>H111</f>
        <v>——</v>
      </c>
      <c r="E126" s="3091"/>
      <c r="F126" s="3091"/>
      <c r="G126" s="3091"/>
      <c r="H126" s="3091"/>
      <c r="I126" s="3092"/>
    </row>
    <row r="127" spans="1:11" ht="18.75" customHeight="1">
      <c r="A127" s="3050" t="s">
        <v>2312</v>
      </c>
      <c r="B127" s="3050"/>
      <c r="C127" s="3050"/>
      <c r="D127" s="3095" t="e">
        <f>NUMBERSTRING(INT(D126*10000),2)&amp;"元整"</f>
        <v>#VALUE!</v>
      </c>
      <c r="E127" s="3097"/>
      <c r="F127" s="3097"/>
      <c r="G127" s="3097"/>
      <c r="H127" s="3097"/>
      <c r="I127" s="3096"/>
    </row>
    <row r="128" spans="1:11" ht="21.75" customHeight="1">
      <c r="A128" s="3098" t="s">
        <v>2313</v>
      </c>
      <c r="B128" s="3098"/>
      <c r="C128" s="3098"/>
      <c r="D128" s="3098"/>
      <c r="E128" s="3098"/>
      <c r="F128" s="3098"/>
      <c r="G128" s="3098"/>
      <c r="H128" s="3098"/>
      <c r="I128" s="3098"/>
    </row>
    <row r="129" spans="1:35" ht="21.75" customHeight="1">
      <c r="A129" s="2526" t="s">
        <v>2314</v>
      </c>
      <c r="B129" s="2527"/>
      <c r="C129" s="2528" t="s">
        <v>2315</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2316</v>
      </c>
      <c r="G135" s="2543"/>
      <c r="H135" s="2543"/>
      <c r="I135" s="2544" t="s">
        <v>2317</v>
      </c>
    </row>
    <row r="136" spans="1:35" ht="21.75" customHeight="1">
      <c r="A136" s="795"/>
      <c r="B136" s="2545"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2319</v>
      </c>
    </row>
    <row r="139" spans="1:35" ht="21.75" customHeight="1">
      <c r="A139" s="795"/>
      <c r="B139" s="2545" t="s">
        <v>2320</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2319</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24" sqref="C24"/>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2321</v>
      </c>
      <c r="B1" s="1935"/>
      <c r="C1" s="242"/>
      <c r="D1" s="242"/>
      <c r="E1" s="242"/>
      <c r="F1" s="242"/>
      <c r="G1" s="1378">
        <f>MATCH(B1,'数据-取费表'!A6:A16,0)+5</f>
        <v>8</v>
      </c>
    </row>
    <row r="2" spans="1:9" s="244" customFormat="1" ht="18" customHeight="1">
      <c r="A2" s="245" t="s">
        <v>2322</v>
      </c>
      <c r="B2" s="246">
        <f ca="1">IF(D2="——",C52,C52-E2)</f>
        <v>349</v>
      </c>
      <c r="C2" s="243" t="s">
        <v>2323</v>
      </c>
      <c r="D2" s="2548" t="s">
        <v>70</v>
      </c>
      <c r="E2" s="1439" t="e">
        <f ca="1">SUMIF(INDIRECT("'"&amp;G2&amp;"'"&amp;"!A:A"),"承租人权益价值",INDIRECT("'"&amp;G2&amp;"'"&amp;"!c:c"))</f>
        <v>#REF!</v>
      </c>
      <c r="F2" s="2549" t="s">
        <v>2323</v>
      </c>
      <c r="G2" s="2550"/>
    </row>
    <row r="3" spans="1:9" s="244" customFormat="1" ht="18" customHeight="1" thickBot="1">
      <c r="A3" s="247" t="s">
        <v>2324</v>
      </c>
      <c r="B3" s="248">
        <f ca="1">ROUND(B2*10000/(IF(B1="",'数据-汇总表'!E3,INDIRECT("'数据-取费表'!k"&amp;$G$1))),0)</f>
        <v>783</v>
      </c>
      <c r="C3" s="243" t="s">
        <v>2325</v>
      </c>
      <c r="D3" s="243"/>
      <c r="E3" s="243"/>
      <c r="F3" s="243"/>
      <c r="G3" s="243"/>
    </row>
    <row r="4" spans="1:9" s="252" customFormat="1" ht="16.2">
      <c r="A4" s="249" t="s">
        <v>2326</v>
      </c>
      <c r="B4" s="250"/>
      <c r="C4" s="250"/>
      <c r="D4" s="250"/>
      <c r="E4" s="250"/>
      <c r="F4" s="250"/>
      <c r="G4" s="251"/>
    </row>
    <row r="5" spans="1:9" s="258" customFormat="1" ht="13.5" customHeight="1">
      <c r="A5" s="299" t="s">
        <v>2327</v>
      </c>
      <c r="B5" s="254" t="s">
        <v>2328</v>
      </c>
      <c r="C5" s="255">
        <f ca="1">C6+C7+C8</f>
        <v>171</v>
      </c>
      <c r="D5" s="255" t="s">
        <v>2329</v>
      </c>
      <c r="E5" s="256" t="s">
        <v>2330</v>
      </c>
      <c r="F5" s="256" t="s">
        <v>2331</v>
      </c>
      <c r="G5" s="257"/>
    </row>
    <row r="6" spans="1:9" s="258" customFormat="1" ht="13.5" customHeight="1">
      <c r="A6" s="949" t="s">
        <v>2332</v>
      </c>
      <c r="B6" s="259" t="s">
        <v>2333</v>
      </c>
      <c r="C6" s="260">
        <f ca="1">基准地价修正!B2</f>
        <v>166</v>
      </c>
      <c r="D6" s="261"/>
      <c r="E6" s="262"/>
      <c r="F6" s="262"/>
      <c r="G6" s="263"/>
    </row>
    <row r="7" spans="1:9" s="258" customFormat="1" ht="13.5" customHeight="1">
      <c r="A7" s="949" t="s">
        <v>2334</v>
      </c>
      <c r="B7" s="259" t="s">
        <v>2335</v>
      </c>
      <c r="C7" s="264">
        <f ca="1">ROUND(C6*F7,0)</f>
        <v>5</v>
      </c>
      <c r="D7" s="264"/>
      <c r="E7" s="262"/>
      <c r="F7" s="265">
        <f>IF(项目基本情况!B8="出让",0,'数据-取费表'!B48+'数据-取费表'!B49)</f>
        <v>3.0499999999999999E-2</v>
      </c>
      <c r="G7" s="263"/>
    </row>
    <row r="8" spans="1:9" s="267" customFormat="1">
      <c r="A8" s="949" t="s">
        <v>2336</v>
      </c>
      <c r="B8" s="259" t="s">
        <v>2337</v>
      </c>
      <c r="C8" s="264">
        <f>IF(G8="已包含在土地购买价格中","0",IF(B1="",'数据-取费表'!B29,IF(G9="全部缴纳",C9+C10,H9)))</f>
        <v>0</v>
      </c>
      <c r="D8" s="266"/>
      <c r="E8" s="264"/>
      <c r="F8" s="265"/>
      <c r="G8" s="2551" t="s">
        <v>3078</v>
      </c>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160</v>
      </c>
      <c r="F9" s="265"/>
      <c r="G9" s="2552" t="s">
        <v>3077</v>
      </c>
      <c r="H9" s="1389"/>
      <c r="I9" s="2553" t="s">
        <v>2339</v>
      </c>
    </row>
    <row r="10" spans="1:9" s="258" customFormat="1" ht="13.5" customHeight="1">
      <c r="A10" s="950" t="s">
        <v>801</v>
      </c>
      <c r="B10" s="268" t="s">
        <v>2340</v>
      </c>
      <c r="C10" s="269">
        <f ca="1">ROUND(D10*E10/10000,0)</f>
        <v>89</v>
      </c>
      <c r="D10" s="1032">
        <f ca="1">IF(B1="",'数据-汇总表'!E6,IF(INDIRECT("'数据-取费表'!c"&amp;$G$1)="住宅",INDIRECT("'数据-取费表'!s"&amp;$G$1),INDIRECT("'数据-取费表'!k"&amp;$G$1)+INDIRECT("'数据-取费表'!s"&amp;$G$1)))</f>
        <v>4457.2</v>
      </c>
      <c r="E10" s="269">
        <f>'数据-取费表'!B28</f>
        <v>200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t="str">
        <f>IF(G19="已包含在土地取得成本中","0",ROUND(D19*E19/10000,0))</f>
        <v>0</v>
      </c>
      <c r="D19" s="1036">
        <f ca="1">D9+D10</f>
        <v>4457.2</v>
      </c>
      <c r="E19" s="255">
        <f>'数据-取费表'!B31</f>
        <v>0</v>
      </c>
      <c r="F19" s="275"/>
      <c r="G19" s="2551" t="s">
        <v>3079</v>
      </c>
    </row>
    <row r="20" spans="1:7" s="258" customFormat="1" ht="13.5" customHeight="1">
      <c r="A20" s="299" t="s">
        <v>2353</v>
      </c>
      <c r="B20" s="254" t="s">
        <v>2354</v>
      </c>
      <c r="C20" s="276">
        <f ca="1">ROUND((C5+C19)*F20,0)</f>
        <v>3</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3">
        <f ca="1">ROUND(SUM(C23:C25),0)</f>
        <v>17</v>
      </c>
      <c r="D22" s="279">
        <f ca="1">C26</f>
        <v>1E-3</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4">
        <f ca="1">ROUND(IF('数据-取费表'!B22&lt;=1,C5*F22*'数据-取费表'!B23,C5*(POWER((1+F22),'数据-取费表'!B23)-1)),0)</f>
        <v>17</v>
      </c>
      <c r="D23" s="282"/>
      <c r="E23" s="282"/>
      <c r="F23" s="283"/>
      <c r="G23" s="284" t="s">
        <v>2364</v>
      </c>
    </row>
    <row r="24" spans="1:7" s="258" customFormat="1" ht="13.5" customHeight="1">
      <c r="A24" s="951" t="s">
        <v>2365</v>
      </c>
      <c r="B24" s="259" t="s">
        <v>2366</v>
      </c>
      <c r="C24" s="1354">
        <f ca="1">ROUND(IF('数据-取费表'!B22&lt;=1,C19*F22*('数据-取费表'!B19/2+'数据-取费表'!B21),C19*(POWER((1+F22),('数据-取费表'!B19/2+'数据-取费表'!B21))-1)),0)</f>
        <v>0</v>
      </c>
      <c r="D24" s="282"/>
      <c r="E24" s="282"/>
      <c r="F24" s="283"/>
      <c r="G24" s="284" t="s">
        <v>2367</v>
      </c>
    </row>
    <row r="25" spans="1:7" s="258" customFormat="1" ht="24">
      <c r="A25" s="951" t="s">
        <v>2368</v>
      </c>
      <c r="B25" s="259" t="s">
        <v>2369</v>
      </c>
      <c r="C25" s="1354">
        <f ca="1">ROUND(IF('数据-取费表'!B22&lt;=1,C20*F22*'数据-取费表'!B23/2,C20*(POWER((1+F22),'数据-取费表'!B23/2)-1)),0)</f>
        <v>0</v>
      </c>
      <c r="D25" s="282"/>
      <c r="E25" s="285"/>
      <c r="F25" s="283"/>
      <c r="G25" s="286" t="s">
        <v>2370</v>
      </c>
    </row>
    <row r="26" spans="1:7" s="258" customFormat="1">
      <c r="A26" s="951" t="s">
        <v>795</v>
      </c>
      <c r="B26" s="259" t="s">
        <v>2371</v>
      </c>
      <c r="C26" s="282">
        <f ca="1">ROUND(IF('数据-取费表'!B22&lt;=1,F21*F22*'数据-取费表'!B23/2,F21*(POWER((1+F22),'数据-取费表'!B23/2)-1)),4)</f>
        <v>1E-3</v>
      </c>
      <c r="D26" s="282"/>
      <c r="E26" s="285"/>
      <c r="F26" s="283"/>
      <c r="G26" s="287"/>
    </row>
    <row r="27" spans="1:7" s="258" customFormat="1" ht="26.4">
      <c r="A27" s="299" t="s">
        <v>2372</v>
      </c>
      <c r="B27" s="288" t="s">
        <v>2373</v>
      </c>
      <c r="C27" s="289">
        <f ca="1">C28</f>
        <v>35</v>
      </c>
      <c r="D27" s="279">
        <f ca="1">C29</f>
        <v>4.0000000000000001E-3</v>
      </c>
      <c r="E27" s="280" t="s">
        <v>2374</v>
      </c>
      <c r="F27" s="290">
        <f ca="1">IF(B1="",'数据-取费表'!Q16,INDIRECT("'数据-取费表'!q"&amp;$G$1))</f>
        <v>0.2</v>
      </c>
      <c r="G27" s="291" t="s">
        <v>2375</v>
      </c>
    </row>
    <row r="28" spans="1:7" s="258" customFormat="1" ht="13.5" customHeight="1">
      <c r="A28" s="951" t="s">
        <v>791</v>
      </c>
      <c r="B28" s="292" t="s">
        <v>2376</v>
      </c>
      <c r="C28" s="293">
        <f ca="1">ROUND((C5+C19+C20)*F27*'数据-取费表'!B21/'数据-取费表'!B20,0)</f>
        <v>35</v>
      </c>
      <c r="D28" s="279"/>
      <c r="E28" s="280"/>
      <c r="F28" s="290"/>
      <c r="G28" s="291"/>
    </row>
    <row r="29" spans="1:7" s="258" customFormat="1" ht="13.5" customHeight="1">
      <c r="A29" s="951" t="s">
        <v>792</v>
      </c>
      <c r="B29" s="292" t="s">
        <v>2377</v>
      </c>
      <c r="C29" s="282">
        <f ca="1">ROUND(C21*F27*'数据-取费表'!B21/'数据-取费表'!B20,4)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245</v>
      </c>
      <c r="D31" s="274"/>
      <c r="E31" s="255"/>
      <c r="F31" s="294"/>
      <c r="G31" s="278" t="s">
        <v>2382</v>
      </c>
    </row>
    <row r="32" spans="1:7" s="252" customFormat="1" ht="16.2">
      <c r="A32" s="296" t="s">
        <v>2383</v>
      </c>
      <c r="B32" s="297"/>
      <c r="C32" s="297"/>
      <c r="D32" s="297"/>
      <c r="E32" s="297"/>
      <c r="F32" s="297"/>
      <c r="G32" s="298"/>
    </row>
    <row r="33" spans="1:7" s="258" customFormat="1" ht="13.5" customHeight="1">
      <c r="A33" s="299" t="s">
        <v>782</v>
      </c>
      <c r="B33" s="254" t="s">
        <v>2384</v>
      </c>
      <c r="C33" s="300">
        <f ca="1">SUM(C34:C38)</f>
        <v>109</v>
      </c>
      <c r="D33" s="276"/>
      <c r="E33" s="256"/>
      <c r="F33" s="285"/>
      <c r="G33" s="278"/>
    </row>
    <row r="34" spans="1:7"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18</v>
      </c>
      <c r="D34" s="261"/>
      <c r="E34" s="264"/>
      <c r="F34" s="301">
        <f ca="1">IF('数据-取费表'!B24=0,1,IF(B1="",'数据-取费表'!N16,INDIRECT("'数据-取费表'!n"&amp;$G$1)))</f>
        <v>1</v>
      </c>
      <c r="G34" s="263" t="s">
        <v>2386</v>
      </c>
    </row>
    <row r="35" spans="1:7" ht="13.5" customHeight="1">
      <c r="A35" s="951" t="s">
        <v>796</v>
      </c>
      <c r="B35" s="259" t="s">
        <v>2387</v>
      </c>
      <c r="C35" s="264">
        <f ca="1">ROUND(C34*F35,0)</f>
        <v>1</v>
      </c>
      <c r="D35" s="264"/>
      <c r="E35" s="264"/>
      <c r="F35" s="303">
        <f>'数据-取费表'!B33</f>
        <v>0.03</v>
      </c>
      <c r="G35" s="263" t="s">
        <v>2388</v>
      </c>
    </row>
    <row r="36" spans="1:7" ht="24">
      <c r="A36" s="951" t="s">
        <v>797</v>
      </c>
      <c r="B36" s="259" t="s">
        <v>2389</v>
      </c>
      <c r="C36" s="264">
        <f ca="1">ROUND(IF(B1="",SUMIF('数据-取费表'!C:C,"住宅",IF(F34=100%,'数据-取费表'!M:M,'数据-取费表'!O:O))*F36,IF(INDIRECT("'数据-取费表'!c"&amp;$G$1)="住宅",IF(F34=100%,INDIRECT("'数据-取费表'!m"&amp;$G$1)*F36,INDIRECT("'数据-取费表'!o"&amp;$G$1)*F36),0)),0)</f>
        <v>1</v>
      </c>
      <c r="D36" s="264"/>
      <c r="E36" s="264"/>
      <c r="F36" s="303">
        <f>'数据-取费表'!B34</f>
        <v>0.05</v>
      </c>
      <c r="G36" s="304" t="s">
        <v>2390</v>
      </c>
    </row>
    <row r="37" spans="1:7" s="302" customFormat="1" ht="13.5" customHeight="1">
      <c r="A37" s="951" t="s">
        <v>798</v>
      </c>
      <c r="B37" s="259" t="s">
        <v>2391</v>
      </c>
      <c r="C37" s="293">
        <f ca="1">ROUND(E37*D37*F34/10000,0)</f>
        <v>89</v>
      </c>
      <c r="D37" s="261">
        <f ca="1">D19</f>
        <v>4457.2</v>
      </c>
      <c r="E37" s="293">
        <f>'数据-取费表'!B35</f>
        <v>200</v>
      </c>
      <c r="F37" s="303"/>
      <c r="G37" s="305" t="s">
        <v>2392</v>
      </c>
    </row>
    <row r="38" spans="1:7" ht="13.5" customHeight="1">
      <c r="A38" s="951" t="s">
        <v>799</v>
      </c>
      <c r="B38" s="259" t="s">
        <v>2393</v>
      </c>
      <c r="C38" s="264">
        <f ca="1">ROUND(C34*F38,0)</f>
        <v>0</v>
      </c>
      <c r="D38" s="264"/>
      <c r="E38" s="264"/>
      <c r="F38" s="303">
        <f>'数据-取费表'!B36</f>
        <v>1.4999999999999999E-2</v>
      </c>
      <c r="G38" s="263" t="s">
        <v>2388</v>
      </c>
    </row>
    <row r="39" spans="1:7" s="258" customFormat="1" ht="13.5" customHeight="1">
      <c r="A39" s="299" t="s">
        <v>2394</v>
      </c>
      <c r="B39" s="254" t="s">
        <v>2395</v>
      </c>
      <c r="C39" s="276">
        <f ca="1">ROUND(C33*F20,0)</f>
        <v>2</v>
      </c>
      <c r="D39" s="276"/>
      <c r="E39" s="276"/>
      <c r="F39" s="277"/>
      <c r="G39" s="278" t="s">
        <v>2396</v>
      </c>
    </row>
    <row r="40" spans="1:7" s="258" customFormat="1" ht="13.5" customHeight="1">
      <c r="A40" s="299" t="s">
        <v>2397</v>
      </c>
      <c r="B40" s="254" t="s">
        <v>2398</v>
      </c>
      <c r="C40" s="1727">
        <f>F21</f>
        <v>0.02</v>
      </c>
      <c r="D40" s="280" t="s">
        <v>2399</v>
      </c>
      <c r="E40" s="276"/>
      <c r="F40" s="277"/>
      <c r="G40" s="278" t="s">
        <v>2400</v>
      </c>
    </row>
    <row r="41" spans="1:7" s="258" customFormat="1" ht="13.5" customHeight="1">
      <c r="A41" s="299" t="s">
        <v>2401</v>
      </c>
      <c r="B41" s="254" t="s">
        <v>2402</v>
      </c>
      <c r="C41" s="276">
        <f ca="1">ROUND(SUM(C42:C43),0)</f>
        <v>5</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ROUND(IF('数据-取费表'!B22&lt;=1,C33*F22*'数据-取费表'!B21/2,C33*(POWER((1+F22),'数据-取费表'!B21/2)-1)),0)</f>
        <v>5</v>
      </c>
      <c r="D42" s="282"/>
      <c r="E42" s="282"/>
      <c r="F42" s="283"/>
      <c r="G42" s="3170" t="s">
        <v>2404</v>
      </c>
    </row>
    <row r="43" spans="1:7" ht="13.5" customHeight="1">
      <c r="A43" s="951" t="s">
        <v>792</v>
      </c>
      <c r="B43" s="259" t="s">
        <v>2405</v>
      </c>
      <c r="C43" s="282">
        <f ca="1">ROUND(IF('数据-取费表'!B22&lt;=1,C39*F22*'数据-取费表'!B21/2,C39*(POWER((1+F22),'数据-取费表'!B21/2)-1)),0)</f>
        <v>0</v>
      </c>
      <c r="D43" s="282"/>
      <c r="E43" s="282"/>
      <c r="F43" s="283"/>
      <c r="G43" s="3171"/>
    </row>
    <row r="44" spans="1:7" ht="13.5" customHeight="1">
      <c r="A44" s="951" t="s">
        <v>793</v>
      </c>
      <c r="B44" s="259" t="s">
        <v>2406</v>
      </c>
      <c r="C44" s="282">
        <f ca="1">ROUND(IF('数据-取费表'!B22&lt;=1,C40*F22*'数据-取费表'!B21/2,C40*(POWER((1+F22),'数据-取费表'!B21/2)-1)),4)</f>
        <v>1E-3</v>
      </c>
      <c r="D44" s="282"/>
      <c r="E44" s="282"/>
      <c r="F44" s="283"/>
      <c r="G44" s="3172"/>
    </row>
    <row r="45" spans="1:7" s="258" customFormat="1" ht="13.5" customHeight="1">
      <c r="A45" s="299" t="s">
        <v>2407</v>
      </c>
      <c r="B45" s="288" t="s">
        <v>2373</v>
      </c>
      <c r="C45" s="289">
        <f ca="1">C46</f>
        <v>22</v>
      </c>
      <c r="D45" s="279">
        <f ca="1">C47</f>
        <v>4.0000000000000001E-3</v>
      </c>
      <c r="E45" s="280" t="s">
        <v>2399</v>
      </c>
      <c r="F45" s="290"/>
      <c r="G45" s="291" t="s">
        <v>2408</v>
      </c>
    </row>
    <row r="46" spans="1:7" s="258" customFormat="1" ht="13.5" customHeight="1">
      <c r="A46" s="951" t="s">
        <v>791</v>
      </c>
      <c r="B46" s="292" t="s">
        <v>2409</v>
      </c>
      <c r="C46" s="293">
        <f ca="1">ROUND((C33+C39)*F27,0)</f>
        <v>22</v>
      </c>
      <c r="D46" s="307"/>
      <c r="E46" s="280"/>
      <c r="F46" s="290"/>
      <c r="G46" s="291"/>
    </row>
    <row r="47" spans="1:7" s="258" customFormat="1" ht="13.5" customHeight="1">
      <c r="A47" s="951" t="s">
        <v>792</v>
      </c>
      <c r="B47" s="292" t="s">
        <v>2410</v>
      </c>
      <c r="C47" s="282">
        <f ca="1">ROUND(C40*F27,4)</f>
        <v>4.0000000000000001E-3</v>
      </c>
      <c r="D47" s="307"/>
      <c r="E47" s="280"/>
      <c r="F47" s="290"/>
      <c r="G47" s="291"/>
    </row>
    <row r="48" spans="1:7" s="258" customFormat="1" ht="13.5" customHeight="1">
      <c r="A48" s="299" t="s">
        <v>2372</v>
      </c>
      <c r="B48" s="254" t="s">
        <v>2411</v>
      </c>
      <c r="C48" s="1727">
        <f>ROUND(F30/(1+'数据-取费表'!C42),4)</f>
        <v>5.33E-2</v>
      </c>
      <c r="D48" s="280" t="s">
        <v>2399</v>
      </c>
      <c r="E48" s="276"/>
      <c r="F48" s="281"/>
      <c r="G48" s="278" t="s">
        <v>2412</v>
      </c>
    </row>
    <row r="49" spans="1:7" ht="16.5" customHeight="1">
      <c r="A49" s="299" t="s">
        <v>2378</v>
      </c>
      <c r="B49" s="254" t="s">
        <v>2413</v>
      </c>
      <c r="C49" s="276">
        <f ca="1">ROUND((C33+C39+C41+C45)/(1-C40-D41-D45-C48),0)</f>
        <v>150</v>
      </c>
      <c r="D49" s="276"/>
      <c r="E49" s="276"/>
      <c r="F49" s="308"/>
      <c r="G49" s="278" t="s">
        <v>2414</v>
      </c>
    </row>
    <row r="50" spans="1:7" s="302" customFormat="1" ht="24">
      <c r="A50" s="299" t="s">
        <v>2415</v>
      </c>
      <c r="B50" s="254" t="s">
        <v>2416</v>
      </c>
      <c r="C50" s="276"/>
      <c r="D50" s="276"/>
      <c r="E50" s="276"/>
      <c r="F50" s="308">
        <f>IF('数据-取费表'!B24=0,'数据-取费表'!N16,1)</f>
        <v>0.69</v>
      </c>
      <c r="G50" s="291" t="s">
        <v>2417</v>
      </c>
    </row>
    <row r="51" spans="1:7" ht="16.5" customHeight="1">
      <c r="A51" s="299" t="s">
        <v>2418</v>
      </c>
      <c r="B51" s="254" t="s">
        <v>2419</v>
      </c>
      <c r="C51" s="276">
        <f ca="1">ROUND(C49*F50,0)</f>
        <v>104</v>
      </c>
      <c r="D51" s="276"/>
      <c r="E51" s="276"/>
      <c r="F51" s="308"/>
      <c r="G51" s="278" t="s">
        <v>2420</v>
      </c>
    </row>
    <row r="52" spans="1:7" s="252" customFormat="1" ht="16.8" thickBot="1">
      <c r="A52" s="309" t="s">
        <v>2421</v>
      </c>
      <c r="B52" s="310"/>
      <c r="C52" s="311">
        <f ca="1">C31+C51</f>
        <v>349</v>
      </c>
      <c r="D52" s="310"/>
      <c r="E52" s="310"/>
      <c r="F52" s="310"/>
      <c r="G52" s="312"/>
    </row>
    <row r="55" spans="1:7" ht="15">
      <c r="B55" s="314" t="s">
        <v>2422</v>
      </c>
      <c r="C55" s="315"/>
    </row>
    <row r="56" spans="1:7">
      <c r="B56" s="317" t="s">
        <v>1507</v>
      </c>
      <c r="C56" s="319">
        <f ca="1">1-C57</f>
        <v>0.70199999999999996</v>
      </c>
    </row>
    <row r="57" spans="1:7">
      <c r="B57" s="317" t="s">
        <v>1508</v>
      </c>
      <c r="C57" s="318">
        <f ca="1">ROUND(C51/C52,3)</f>
        <v>0.29799999999999999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84" t="str">
        <f>项目基本情况!B1</f>
        <v>北京市房地产抵押价值预评估</v>
      </c>
      <c r="C37" s="2984"/>
      <c r="D37" s="2984"/>
      <c r="E37" s="2984"/>
      <c r="F37" s="2984"/>
      <c r="G37" s="2984"/>
      <c r="H37" s="2984"/>
      <c r="I37" s="2984"/>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14" sqref="D14:D16"/>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4" t="s">
        <v>2116</v>
      </c>
      <c r="B1" s="2417"/>
      <c r="C1" s="2418" t="s">
        <v>3057</v>
      </c>
      <c r="D1" s="2417"/>
      <c r="E1" s="2417"/>
      <c r="F1" s="2419" t="s">
        <v>2117</v>
      </c>
      <c r="G1" s="2069" t="s">
        <v>3098</v>
      </c>
      <c r="H1" s="2420" t="str">
        <f>IF(G1="现房","——","估价对象范围")</f>
        <v>——</v>
      </c>
      <c r="I1" s="2421"/>
    </row>
    <row r="2" spans="1:12" ht="21.75" customHeight="1" thickBot="1">
      <c r="A2" s="3149" t="str">
        <f>项目基本情况!S2</f>
        <v>北京市房地产</v>
      </c>
      <c r="B2" s="3150"/>
      <c r="C2" s="3150"/>
      <c r="D2" s="3150"/>
      <c r="E2" s="3150"/>
      <c r="F2" s="3150"/>
      <c r="G2" s="3150"/>
      <c r="H2" s="3150"/>
      <c r="I2" s="3151"/>
    </row>
    <row r="3" spans="1:12" ht="13.2">
      <c r="A3" s="3152" t="s">
        <v>2118</v>
      </c>
      <c r="B3" s="3153"/>
      <c r="C3" s="3153"/>
      <c r="D3" s="3153"/>
      <c r="E3" s="3153"/>
      <c r="F3" s="3153"/>
      <c r="G3" s="3153"/>
      <c r="H3" s="3153"/>
      <c r="I3" s="3153"/>
    </row>
    <row r="4" spans="1:12" ht="14.4">
      <c r="A4" s="2424" t="s">
        <v>2119</v>
      </c>
      <c r="B4" s="2425" t="s">
        <v>2120</v>
      </c>
      <c r="C4" s="2426" t="s">
        <v>3184</v>
      </c>
      <c r="D4" s="2426" t="s">
        <v>3186</v>
      </c>
      <c r="E4" s="3133" t="s">
        <v>2121</v>
      </c>
      <c r="F4" s="3146"/>
      <c r="G4" s="3146"/>
      <c r="H4" s="3146"/>
      <c r="I4" s="3134"/>
      <c r="K4" s="2427" t="str">
        <f>IF(ISNUMBER(FIND("比较法",'结果表 (典型)'!C4)),"比较法",IF(ISNUMBER(FIND("成本法",'结果表 (典型)'!C4)),"成本法",IF(ISNUMBER(FIND("假设开发法",'结果表 (典型)'!C4)),"假设开发法",IF(ISNUMBER(FIND("收益法",'结果表 (典型)'!C4)),"收益法","基准地价系数修正法"))))</f>
        <v>比较法</v>
      </c>
      <c r="L4" s="2427" t="str">
        <f>IF(ISNUMBER(FIND("比较法",'结果表 (典型)'!D4)),"比较法",IF(ISNUMBER(FIND("成本法",'结果表 (典型)'!D4)),"成本法",IF(ISNUMBER(FIND("假设开发法",'结果表 (典型)'!D4)),"假设开发法",IF(ISNUMBER(FIND("收益法",'结果表 (典型)'!D4)),"收益法","基准地价系数修正法"))))</f>
        <v>收益法</v>
      </c>
    </row>
    <row r="5" spans="1:12" ht="13.2">
      <c r="A5" s="3124" t="s">
        <v>2122</v>
      </c>
      <c r="B5" s="3050">
        <v>25</v>
      </c>
      <c r="C5" s="3154"/>
      <c r="D5" s="3142"/>
      <c r="E5" s="140" t="s">
        <v>2123</v>
      </c>
      <c r="F5" s="2428"/>
      <c r="G5" s="2428"/>
      <c r="H5" s="2428"/>
      <c r="I5" s="1830"/>
    </row>
    <row r="6" spans="1:12" ht="13.2">
      <c r="A6" s="3124"/>
      <c r="B6" s="3050"/>
      <c r="C6" s="3156"/>
      <c r="D6" s="3142"/>
      <c r="E6" s="140" t="s">
        <v>2124</v>
      </c>
      <c r="F6" s="2428"/>
      <c r="G6" s="2428"/>
      <c r="H6" s="2428"/>
      <c r="I6" s="1830"/>
    </row>
    <row r="7" spans="1:12" ht="13.2">
      <c r="A7" s="3124"/>
      <c r="B7" s="3050"/>
      <c r="C7" s="3155"/>
      <c r="D7" s="3142"/>
      <c r="E7" s="140" t="s">
        <v>2125</v>
      </c>
      <c r="F7" s="2428"/>
      <c r="G7" s="2428"/>
      <c r="H7" s="2428"/>
      <c r="I7" s="1830"/>
    </row>
    <row r="8" spans="1:12" ht="13.2">
      <c r="A8" s="3124" t="s">
        <v>2126</v>
      </c>
      <c r="B8" s="3050">
        <v>15</v>
      </c>
      <c r="C8" s="3154"/>
      <c r="D8" s="3142"/>
      <c r="E8" s="140" t="s">
        <v>2127</v>
      </c>
      <c r="F8" s="2428"/>
      <c r="G8" s="2428"/>
      <c r="H8" s="2428"/>
      <c r="I8" s="1830"/>
    </row>
    <row r="9" spans="1:12" ht="13.2">
      <c r="A9" s="3124"/>
      <c r="B9" s="3050"/>
      <c r="C9" s="3155"/>
      <c r="D9" s="3142"/>
      <c r="E9" s="140" t="s">
        <v>2128</v>
      </c>
      <c r="F9" s="2428"/>
      <c r="G9" s="2428"/>
      <c r="H9" s="2428"/>
      <c r="I9" s="1830"/>
    </row>
    <row r="10" spans="1:12" ht="13.2">
      <c r="A10" s="3124" t="s">
        <v>2129</v>
      </c>
      <c r="B10" s="3050">
        <v>15</v>
      </c>
      <c r="C10" s="3154"/>
      <c r="D10" s="3142"/>
      <c r="E10" s="140" t="s">
        <v>2130</v>
      </c>
      <c r="F10" s="2428"/>
      <c r="G10" s="2428"/>
      <c r="H10" s="2428"/>
      <c r="I10" s="1830"/>
    </row>
    <row r="11" spans="1:12" ht="13.2">
      <c r="A11" s="3124"/>
      <c r="B11" s="3050"/>
      <c r="C11" s="3155"/>
      <c r="D11" s="3142"/>
      <c r="E11" s="140" t="s">
        <v>2131</v>
      </c>
      <c r="F11" s="2428"/>
      <c r="G11" s="2428"/>
      <c r="H11" s="2428"/>
      <c r="I11" s="1830"/>
    </row>
    <row r="12" spans="1:12" ht="13.2">
      <c r="A12" s="3124" t="s">
        <v>2132</v>
      </c>
      <c r="B12" s="3050">
        <v>15</v>
      </c>
      <c r="C12" s="3154"/>
      <c r="D12" s="3142"/>
      <c r="E12" s="140" t="s">
        <v>2133</v>
      </c>
      <c r="F12" s="2428"/>
      <c r="G12" s="2428"/>
      <c r="H12" s="2428"/>
      <c r="I12" s="1830"/>
    </row>
    <row r="13" spans="1:12" ht="13.2">
      <c r="A13" s="3124"/>
      <c r="B13" s="3050"/>
      <c r="C13" s="3155"/>
      <c r="D13" s="3142"/>
      <c r="E13" s="140" t="s">
        <v>2134</v>
      </c>
      <c r="F13" s="2428"/>
      <c r="G13" s="2428"/>
      <c r="H13" s="2428"/>
      <c r="I13" s="1830"/>
    </row>
    <row r="14" spans="1:12" ht="13.2">
      <c r="A14" s="3124" t="s">
        <v>2135</v>
      </c>
      <c r="B14" s="3050">
        <v>30</v>
      </c>
      <c r="C14" s="3154">
        <v>8</v>
      </c>
      <c r="D14" s="3142">
        <v>2</v>
      </c>
      <c r="E14" s="140" t="s">
        <v>2136</v>
      </c>
      <c r="F14" s="2428"/>
      <c r="G14" s="2428"/>
      <c r="H14" s="2428"/>
      <c r="I14" s="1830"/>
    </row>
    <row r="15" spans="1:12" ht="13.2">
      <c r="A15" s="3124"/>
      <c r="B15" s="3050"/>
      <c r="C15" s="3156"/>
      <c r="D15" s="3142"/>
      <c r="E15" s="140" t="s">
        <v>2137</v>
      </c>
      <c r="F15" s="2428"/>
      <c r="G15" s="2428"/>
      <c r="H15" s="2428"/>
      <c r="I15" s="1830"/>
    </row>
    <row r="16" spans="1:12" ht="13.2">
      <c r="A16" s="3124"/>
      <c r="B16" s="3050"/>
      <c r="C16" s="3155"/>
      <c r="D16" s="3142"/>
      <c r="E16" s="140" t="s">
        <v>2138</v>
      </c>
      <c r="F16" s="2428"/>
      <c r="G16" s="2428"/>
      <c r="H16" s="2428"/>
      <c r="I16" s="1830"/>
    </row>
    <row r="17" spans="1:35" ht="14.4">
      <c r="A17" s="2429" t="s">
        <v>2139</v>
      </c>
      <c r="B17" s="64"/>
      <c r="C17" s="141">
        <f>SUM(C5:C16)</f>
        <v>8</v>
      </c>
      <c r="D17" s="141">
        <f>SUM(D5:D16)</f>
        <v>2</v>
      </c>
      <c r="E17" s="138"/>
      <c r="F17" s="138"/>
      <c r="G17" s="138"/>
      <c r="H17" s="138"/>
      <c r="I17" s="138"/>
      <c r="K17" s="2427"/>
      <c r="L17" s="2430" t="s">
        <v>2140</v>
      </c>
      <c r="M17" s="2430" t="s">
        <v>2141</v>
      </c>
    </row>
    <row r="18" spans="1:35" ht="15" thickBot="1">
      <c r="A18" s="2431" t="s">
        <v>2142</v>
      </c>
      <c r="B18" s="2432"/>
      <c r="C18" s="142">
        <f>ROUND(C17/SUM(C17:D17),2)</f>
        <v>0.8</v>
      </c>
      <c r="D18" s="142">
        <f>1-C18</f>
        <v>0.19999999999999996</v>
      </c>
      <c r="E18" s="138"/>
      <c r="F18" s="138"/>
      <c r="G18" s="138"/>
      <c r="H18" s="138"/>
      <c r="I18" s="138"/>
      <c r="K18" s="2427" t="s">
        <v>2143</v>
      </c>
      <c r="L18" s="2427">
        <f>IF(C1="",'数据-汇总表'!E3,SUMIF(项目类型,C1,'数据-汇总表'!E17:E26)+SUMIF(项目类型,C1,'数据-汇总表'!I17:I26))</f>
        <v>65</v>
      </c>
      <c r="M18" s="2427">
        <f>IF(C1="",'数据-汇总表'!E3,SUMIF(项目类型,C1,'数据-汇总表'!E17:E26))</f>
        <v>65</v>
      </c>
    </row>
    <row r="19" spans="1:35" ht="14.4">
      <c r="A19" s="2433" t="s">
        <v>2144</v>
      </c>
      <c r="B19" s="2434" t="s">
        <v>2145</v>
      </c>
      <c r="C19" s="143">
        <f ca="1">SUMIF(INDIRECT("'"&amp;C4&amp;"'"&amp;"!A:A"),'结果表 (典型)'!B19,INDIRECT("'"&amp;C4&amp;"'"&amp;"!B:B"))</f>
        <v>590</v>
      </c>
      <c r="D19" s="144">
        <f ca="1">SUMIF(INDIRECT("'"&amp;D4&amp;"'"&amp;"!A:A"),'结果表 (典型)'!B19,INDIRECT("'"&amp;D4&amp;"'"&amp;"!B:B"))</f>
        <v>119</v>
      </c>
      <c r="E19" s="2433" t="s">
        <v>2146</v>
      </c>
      <c r="F19" s="2434" t="s">
        <v>2145</v>
      </c>
      <c r="G19" s="145">
        <f ca="1">ROUND(C19*$C$18+D19*$D$18,0)</f>
        <v>496</v>
      </c>
      <c r="H19" s="2435" t="s">
        <v>2147</v>
      </c>
      <c r="I19" s="138"/>
      <c r="K19" s="2427" t="s">
        <v>2148</v>
      </c>
      <c r="L19" s="2427">
        <f>IF(C1="",'数据-汇总表'!D3,SUMIF(项目类型,C1,'数据-汇总表'!D17:D26)+SUMIF(项目类型,C1,'数据-汇总表'!H17:H27))</f>
        <v>23.15</v>
      </c>
      <c r="M19" s="2427">
        <f>IF(C1="",'数据-汇总表'!D3,SUMIF(项目类型,C1,'数据-汇总表'!D17:D26))</f>
        <v>23.15</v>
      </c>
    </row>
    <row r="20" spans="1:35" ht="14.4">
      <c r="A20" s="2436"/>
      <c r="B20" s="1246" t="s">
        <v>2149</v>
      </c>
      <c r="C20" s="146">
        <f ca="1">SUMIF(INDIRECT("'"&amp;C4&amp;"'"&amp;"!A:A"),'结果表 (典型)'!B20,INDIRECT("'"&amp;C4&amp;"'"&amp;"!B:B"))</f>
        <v>90746</v>
      </c>
      <c r="D20" s="147">
        <f ca="1">SUMIF(INDIRECT("'"&amp;D4&amp;"'"&amp;"!A:A"),'结果表 (典型)'!B20,INDIRECT("'"&amp;D4&amp;"'"&amp;"!B:B"))</f>
        <v>18328</v>
      </c>
      <c r="E20" s="2436"/>
      <c r="F20" s="1246" t="s">
        <v>2149</v>
      </c>
      <c r="G20" s="148">
        <f ca="1">ROUND(C20*$C$18+D20*$D$18,0)</f>
        <v>76262</v>
      </c>
      <c r="H20" s="980" t="s">
        <v>2150</v>
      </c>
      <c r="I20" s="138"/>
    </row>
    <row r="21" spans="1:35" ht="15" customHeight="1" thickBot="1">
      <c r="A21" s="1000"/>
      <c r="B21" s="2437" t="s">
        <v>2151</v>
      </c>
      <c r="C21" s="789">
        <f ca="1">ROUND(C19*10000/L19,0)</f>
        <v>254860</v>
      </c>
      <c r="D21" s="790">
        <f ca="1">ROUND(D19*10000/L19,0)</f>
        <v>51404</v>
      </c>
      <c r="E21" s="1000"/>
      <c r="F21" s="2437" t="s">
        <v>2151</v>
      </c>
      <c r="G21" s="149">
        <f ca="1">ROUND(G19*10000/L19,0)</f>
        <v>214255</v>
      </c>
      <c r="H21" s="2438" t="s">
        <v>2150</v>
      </c>
      <c r="I21" s="138"/>
    </row>
    <row r="22" spans="1:35" ht="15" thickBot="1">
      <c r="A22" s="2280" t="s">
        <v>2152</v>
      </c>
      <c r="B22" s="2439"/>
      <c r="C22" s="2440"/>
      <c r="D22" s="791">
        <f ca="1">IF(C19&lt;D19,D19/C19-1,C19/D19-1)</f>
        <v>3.9579831932773111</v>
      </c>
      <c r="E22" s="138"/>
      <c r="F22" s="138"/>
      <c r="G22" s="138"/>
      <c r="H22" s="138"/>
      <c r="I22" s="138"/>
    </row>
    <row r="23" spans="1:35" ht="13.8" thickBot="1">
      <c r="A23" s="2417"/>
      <c r="B23" s="2417"/>
      <c r="C23" s="2417"/>
      <c r="D23" s="2417"/>
      <c r="E23" s="138"/>
      <c r="F23" s="138"/>
      <c r="G23" s="138"/>
      <c r="H23" s="138"/>
      <c r="I23" s="138"/>
    </row>
    <row r="24" spans="1:35" ht="14.4">
      <c r="A24" s="3163" t="s">
        <v>2153</v>
      </c>
      <c r="B24" s="2434" t="s">
        <v>2145</v>
      </c>
      <c r="C24" s="145">
        <f>IF(B30=0,0,D30)</f>
        <v>0</v>
      </c>
      <c r="D24" s="2441"/>
      <c r="E24" s="138"/>
      <c r="F24" s="138"/>
      <c r="G24" s="138"/>
      <c r="H24" s="138"/>
      <c r="I24" s="138"/>
    </row>
    <row r="25" spans="1:35" ht="14.4">
      <c r="A25" s="3164"/>
      <c r="B25" s="1246"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2158</v>
      </c>
      <c r="B30" s="151"/>
      <c r="C30" s="151"/>
      <c r="D30" s="151"/>
      <c r="E30" s="2915" t="s">
        <v>3027</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2159</v>
      </c>
      <c r="B32" s="2447"/>
      <c r="C32" s="153">
        <f ca="1">IF(D32="总价",G19-C24,G20-C25)</f>
        <v>76262</v>
      </c>
      <c r="D32" s="2448" t="s">
        <v>3187</v>
      </c>
      <c r="E32" s="138"/>
      <c r="F32" s="138"/>
      <c r="G32" s="138"/>
      <c r="H32" s="138"/>
      <c r="I32" s="138"/>
    </row>
    <row r="33" spans="1:15" ht="14.4">
      <c r="A33" s="957" t="s">
        <v>2161</v>
      </c>
      <c r="B33" s="2449"/>
      <c r="C33" s="2450" t="s">
        <v>3185</v>
      </c>
      <c r="D33" s="2451" t="s">
        <v>3186</v>
      </c>
      <c r="E33" s="2452" t="s">
        <v>2162</v>
      </c>
      <c r="F33" s="2961" t="str">
        <f>IF(D32="楼面单价","取值（单价）","取值（总价）")</f>
        <v>取值（单价）</v>
      </c>
      <c r="G33" s="138"/>
      <c r="H33" s="138"/>
      <c r="I33" s="138"/>
    </row>
    <row r="34" spans="1:15" ht="14.4">
      <c r="A34" s="2454"/>
      <c r="B34" s="2455" t="s">
        <v>2163</v>
      </c>
      <c r="C34" s="157">
        <f ca="1">IF(C33="自定义",F34,C32-C35)</f>
        <v>50180</v>
      </c>
      <c r="D34" s="1055">
        <f ca="1">IF(C33="自定义",ROUND(C34/C32,3),IF(C33="收益比率",SUMIF(INDIRECT("'"&amp;D33&amp;"'"&amp;"!b:b"),"土地收益比率",INDIRECT("'"&amp;D33&amp;"'"&amp;"!c:c")),SUMIF(INDIRECT("'"&amp;D33&amp;"'"&amp;"!b:b"),"土地成本比率",INDIRECT("'"&amp;D33&amp;"'"&amp;"!c:c"))))</f>
        <v>0.65799999999999992</v>
      </c>
      <c r="E34" s="2456" t="s">
        <v>2164</v>
      </c>
      <c r="F34" s="1735"/>
      <c r="G34" s="138"/>
      <c r="H34" s="138"/>
      <c r="I34" s="138"/>
    </row>
    <row r="35" spans="1:15" ht="15" thickBot="1">
      <c r="A35" s="2457"/>
      <c r="B35" s="2458" t="s">
        <v>2165</v>
      </c>
      <c r="C35" s="1440">
        <f ca="1">IF(C33="自定义",F35,ROUND(C32*D35,0))</f>
        <v>26082</v>
      </c>
      <c r="D35" s="1441">
        <f ca="1">IF(C33="自定义",ROUND(C35/C32,3),IF(C33="收益比率",SUMIF(INDIRECT("'"&amp;D33&amp;"'"&amp;"!b:b"),"建筑物收益比率",INDIRECT("'"&amp;D33&amp;"'"&amp;"!c:c")),SUMIF(INDIRECT("'"&amp;D33&amp;"'"&amp;"!b:b"),"建筑物成本比率",INDIRECT("'"&amp;D33&amp;"'"&amp;"!c:c"))))</f>
        <v>0.34200000000000003</v>
      </c>
      <c r="E35" s="2459" t="s">
        <v>2166</v>
      </c>
      <c r="F35" s="163"/>
      <c r="G35" s="138"/>
      <c r="H35" s="138"/>
      <c r="I35" s="138"/>
    </row>
    <row r="36" spans="1:15" ht="15" thickBot="1">
      <c r="A36" s="3143" t="s">
        <v>2167</v>
      </c>
      <c r="B36" s="2460" t="s">
        <v>2168</v>
      </c>
      <c r="C36" s="154"/>
      <c r="D36" s="2461"/>
      <c r="E36" s="2462"/>
      <c r="F36" s="2463"/>
      <c r="G36" s="138"/>
      <c r="H36" s="138"/>
      <c r="I36" s="138"/>
    </row>
    <row r="37" spans="1:15" ht="15" thickBot="1">
      <c r="A37" s="3144"/>
      <c r="B37" s="2266" t="s">
        <v>2169</v>
      </c>
      <c r="C37" s="156"/>
      <c r="D37" s="1391"/>
      <c r="E37" s="1391"/>
      <c r="F37" s="2463"/>
      <c r="G37" s="138"/>
      <c r="H37" s="138"/>
      <c r="I37" s="138"/>
    </row>
    <row r="38" spans="1:15" ht="15" thickBot="1">
      <c r="A38" s="3145"/>
      <c r="B38" s="2464" t="s">
        <v>2170</v>
      </c>
      <c r="C38" s="727"/>
      <c r="D38" s="2465" t="s">
        <v>2171</v>
      </c>
      <c r="E38" s="1391"/>
      <c r="F38" s="2463"/>
      <c r="G38" s="138"/>
      <c r="H38" s="138"/>
      <c r="I38" s="138"/>
    </row>
    <row r="39" spans="1:15" ht="14.4">
      <c r="A39" s="2436" t="s">
        <v>2172</v>
      </c>
      <c r="B39" s="2466" t="s">
        <v>2155</v>
      </c>
      <c r="C39" s="2467" t="s">
        <v>2156</v>
      </c>
      <c r="D39" s="2467" t="s">
        <v>2175</v>
      </c>
      <c r="E39" s="2468" t="s">
        <v>2157</v>
      </c>
      <c r="F39" s="2463"/>
      <c r="G39" s="138"/>
      <c r="H39" s="138"/>
      <c r="I39" s="138"/>
    </row>
    <row r="40" spans="1:15" ht="13.8">
      <c r="A40" s="2469" t="s">
        <v>2177</v>
      </c>
      <c r="B40" s="158"/>
      <c r="C40" s="159"/>
      <c r="D40" s="159"/>
      <c r="E40" s="160"/>
      <c r="F40" s="2463"/>
      <c r="G40" s="138"/>
      <c r="H40" s="138"/>
      <c r="I40" s="138"/>
    </row>
    <row r="41" spans="1:15" ht="13.8">
      <c r="A41" s="2469" t="s">
        <v>2178</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4"/>
      <c r="B43" s="2164"/>
      <c r="C43" s="2164"/>
      <c r="D43" s="2164"/>
      <c r="E43" s="2164"/>
      <c r="F43" s="2471"/>
      <c r="G43" s="2471"/>
      <c r="H43" s="2471"/>
      <c r="I43" s="2472"/>
    </row>
    <row r="44" spans="1:15" ht="17.399999999999999">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60" t="s">
        <v>2181</v>
      </c>
      <c r="B45" s="3161"/>
      <c r="C45" s="3162"/>
      <c r="D45" s="164">
        <f ca="1">ROUND(H101*F45,0)</f>
        <v>298</v>
      </c>
      <c r="E45" s="165" t="s">
        <v>2182</v>
      </c>
      <c r="F45" s="166">
        <v>0.6</v>
      </c>
      <c r="G45" s="167" t="s">
        <v>2183</v>
      </c>
      <c r="H45" s="138"/>
      <c r="I45" s="138"/>
      <c r="J45" s="3079" t="s">
        <v>2184</v>
      </c>
      <c r="K45" s="3079"/>
      <c r="L45" s="3079"/>
      <c r="M45" s="3079"/>
      <c r="N45" s="3079"/>
      <c r="O45" s="3079"/>
    </row>
    <row r="46" spans="1:15" ht="14.25" customHeight="1">
      <c r="A46" s="3157" t="s">
        <v>2185</v>
      </c>
      <c r="B46" s="3158"/>
      <c r="C46" s="3158"/>
      <c r="D46" s="3158"/>
      <c r="E46" s="3158"/>
      <c r="F46" s="3158"/>
      <c r="G46" s="3159"/>
      <c r="H46" s="2479"/>
      <c r="I46" s="168"/>
      <c r="J46" s="2971">
        <v>1</v>
      </c>
      <c r="K46" s="3079" t="s">
        <v>2186</v>
      </c>
      <c r="L46" s="3079"/>
      <c r="M46" s="3080"/>
      <c r="N46" s="3080"/>
      <c r="O46" s="3080"/>
    </row>
    <row r="47" spans="1:15" ht="12" customHeight="1">
      <c r="A47" s="169" t="s">
        <v>2187</v>
      </c>
      <c r="B47" s="170"/>
      <c r="C47" s="171"/>
      <c r="D47" s="172" t="s">
        <v>2188</v>
      </c>
      <c r="E47" s="24" t="s">
        <v>2189</v>
      </c>
      <c r="F47" s="173" t="s">
        <v>2190</v>
      </c>
      <c r="G47" s="174" t="s">
        <v>2191</v>
      </c>
      <c r="H47" s="2479"/>
      <c r="I47" s="168"/>
      <c r="J47" s="2971">
        <v>2</v>
      </c>
      <c r="K47" s="3079" t="s">
        <v>2192</v>
      </c>
      <c r="L47" s="3079"/>
      <c r="M47" s="3081">
        <f>'数据-取费表'!B2</f>
        <v>43915</v>
      </c>
      <c r="N47" s="3081"/>
      <c r="O47" s="3081"/>
    </row>
    <row r="48" spans="1:15" ht="39.6">
      <c r="A48" s="3147" t="s">
        <v>2193</v>
      </c>
      <c r="B48" s="3148"/>
      <c r="C48" s="3148"/>
      <c r="D48" s="140">
        <f ca="1">IF(H48="情况1",0,IF(H48="情况2",D52,IF(H48="情况3",D53,IF(H48="情况4",D54))))</f>
        <v>0</v>
      </c>
      <c r="E48" s="2965" t="str">
        <f>IF(H48="情况4","(销售额-原购置价)×税（费）率","销售额×税（费）率")</f>
        <v>(销售额-原购置价)×税（费）率</v>
      </c>
      <c r="F48" s="175">
        <f>IF(H48="情况1","免征",'数据-取费表'!B41)</f>
        <v>5.6000000000000001E-2</v>
      </c>
      <c r="G48" s="2480" t="s">
        <v>2194</v>
      </c>
      <c r="H48" s="2481" t="s">
        <v>3097</v>
      </c>
      <c r="I48" s="2479"/>
      <c r="J48" s="2971">
        <v>3</v>
      </c>
      <c r="K48" s="3079" t="s">
        <v>2195</v>
      </c>
      <c r="L48" s="3079"/>
      <c r="M48" s="3082">
        <f ca="1">H101</f>
        <v>496</v>
      </c>
      <c r="N48" s="3082"/>
      <c r="O48" s="3082"/>
    </row>
    <row r="49" spans="1:35" ht="25.5" customHeight="1">
      <c r="A49" s="176" t="s">
        <v>2196</v>
      </c>
      <c r="B49" s="3127" t="s">
        <v>2197</v>
      </c>
      <c r="C49" s="3127"/>
      <c r="D49" s="177">
        <v>0</v>
      </c>
      <c r="E49" s="23" t="s">
        <v>2198</v>
      </c>
      <c r="F49" s="28" t="s">
        <v>34</v>
      </c>
      <c r="G49" s="3108"/>
      <c r="H49" s="138"/>
      <c r="I49" s="2482"/>
      <c r="J49" s="2971">
        <v>4</v>
      </c>
      <c r="K49" s="3079" t="str">
        <f>IF(项目基本情况!E8="房地产抵押价值","房地产抵押价值","抵押担保权已注销时的房地产抵押价值")</f>
        <v>房地产抵押价值</v>
      </c>
      <c r="L49" s="3079"/>
      <c r="M49" s="3082">
        <f ca="1">IF(项目基本情况!E8="房地产抵押价值",H107,H109)</f>
        <v>496</v>
      </c>
      <c r="N49" s="3082"/>
      <c r="O49" s="3082"/>
    </row>
    <row r="50" spans="1:35" ht="25.5" customHeight="1">
      <c r="A50" s="178"/>
      <c r="B50" s="3127" t="s">
        <v>2199</v>
      </c>
      <c r="C50" s="3127"/>
      <c r="D50" s="179"/>
      <c r="E50" s="31"/>
      <c r="F50" s="180"/>
      <c r="G50" s="3109"/>
      <c r="H50" s="138"/>
      <c r="I50" s="2482"/>
      <c r="J50" s="3079" t="s">
        <v>2200</v>
      </c>
      <c r="K50" s="3079"/>
      <c r="L50" s="3079"/>
      <c r="M50" s="3079"/>
      <c r="N50" s="3079"/>
      <c r="O50" s="3079"/>
    </row>
    <row r="51" spans="1:35" ht="12" customHeight="1">
      <c r="A51" s="181"/>
      <c r="B51" s="3127" t="s">
        <v>2201</v>
      </c>
      <c r="C51" s="3127"/>
      <c r="D51" s="182"/>
      <c r="E51" s="30"/>
      <c r="F51" s="180"/>
      <c r="G51" s="3110"/>
      <c r="H51" s="138"/>
      <c r="I51" s="2482"/>
      <c r="J51" s="2970" t="s">
        <v>2202</v>
      </c>
      <c r="K51" s="3079" t="s">
        <v>2203</v>
      </c>
      <c r="L51" s="3079"/>
      <c r="M51" s="2970" t="s">
        <v>2204</v>
      </c>
      <c r="N51" s="2970" t="s">
        <v>2205</v>
      </c>
      <c r="O51" s="2970" t="s">
        <v>2206</v>
      </c>
    </row>
    <row r="52" spans="1:35" ht="24" customHeight="1">
      <c r="A52" s="183" t="s">
        <v>2207</v>
      </c>
      <c r="B52" s="3127" t="s">
        <v>2208</v>
      </c>
      <c r="C52" s="3127"/>
      <c r="D52" s="182">
        <f ca="1">ROUND(D45*'数据-取费表'!B41/(1+'数据-取费表'!C42),0)</f>
        <v>16</v>
      </c>
      <c r="E52" s="11" t="s">
        <v>2209</v>
      </c>
      <c r="F52" s="184">
        <f>'数据-取费表'!B41</f>
        <v>5.6000000000000001E-2</v>
      </c>
      <c r="G52" s="2484"/>
      <c r="H52" s="138"/>
      <c r="I52" s="2482"/>
      <c r="J52" s="2971">
        <v>1</v>
      </c>
      <c r="K52" s="3102" t="s">
        <v>2210</v>
      </c>
      <c r="L52" s="3102"/>
      <c r="M52" s="1750">
        <f ca="1">D48</f>
        <v>0</v>
      </c>
      <c r="N52" s="2971" t="str">
        <f>E48</f>
        <v>(销售额-原购置价)×税（费）率</v>
      </c>
      <c r="O52" s="1751">
        <f>F48</f>
        <v>5.6000000000000001E-2</v>
      </c>
    </row>
    <row r="53" spans="1:35" ht="12" customHeight="1">
      <c r="A53" s="183" t="s">
        <v>2211</v>
      </c>
      <c r="B53" s="3128" t="s">
        <v>2212</v>
      </c>
      <c r="C53" s="3129"/>
      <c r="D53" s="182">
        <f ca="1">ROUND(D45*'数据-取费表'!B41/(1+'数据-取费表'!C42),0)</f>
        <v>16</v>
      </c>
      <c r="E53" s="11" t="s">
        <v>2209</v>
      </c>
      <c r="F53" s="184">
        <f>'数据-取费表'!B41</f>
        <v>5.6000000000000001E-2</v>
      </c>
      <c r="G53" s="2484"/>
      <c r="H53" s="138"/>
      <c r="I53" s="2482"/>
      <c r="J53" s="2971">
        <v>2</v>
      </c>
      <c r="K53" s="3102" t="s">
        <v>2213</v>
      </c>
      <c r="L53" s="3102"/>
      <c r="M53" s="1750">
        <f t="shared" ref="M53:O54" ca="1" si="0">D55</f>
        <v>0</v>
      </c>
      <c r="N53" s="2971" t="str">
        <f t="shared" si="0"/>
        <v>销售额×税（费）率</v>
      </c>
      <c r="O53" s="1751">
        <f t="shared" si="0"/>
        <v>5.0000000000000001E-4</v>
      </c>
    </row>
    <row r="54" spans="1:35" ht="12" customHeight="1">
      <c r="A54" s="183" t="s">
        <v>2214</v>
      </c>
      <c r="B54" s="3128" t="s">
        <v>2215</v>
      </c>
      <c r="C54" s="3129"/>
      <c r="D54" s="182">
        <f ca="1">C68</f>
        <v>0</v>
      </c>
      <c r="E54" s="30" t="s">
        <v>2216</v>
      </c>
      <c r="F54" s="184">
        <f>'数据-取费表'!B41</f>
        <v>5.6000000000000001E-2</v>
      </c>
      <c r="G54" s="2484"/>
      <c r="H54" s="2485"/>
      <c r="I54" s="2482"/>
      <c r="J54" s="2971">
        <v>3</v>
      </c>
      <c r="K54" s="3102" t="s">
        <v>2217</v>
      </c>
      <c r="L54" s="3102"/>
      <c r="M54" s="1750">
        <f t="shared" ca="1" si="0"/>
        <v>0</v>
      </c>
      <c r="N54" s="2971" t="str">
        <f t="shared" si="0"/>
        <v>增值额×税（费）率</v>
      </c>
      <c r="O54" s="1752" t="str">
        <f t="shared" si="0"/>
        <v>——</v>
      </c>
    </row>
    <row r="55" spans="1:35" ht="24" customHeight="1">
      <c r="A55" s="3166" t="s">
        <v>2218</v>
      </c>
      <c r="B55" s="3148"/>
      <c r="C55" s="3148"/>
      <c r="D55" s="185">
        <f ca="1">IF(H55="个人住宅",0,ROUND(D45*I55,0))</f>
        <v>0</v>
      </c>
      <c r="E55" s="11" t="s">
        <v>2219</v>
      </c>
      <c r="F55" s="184">
        <f>IF(H55="正常",I55,"免征")</f>
        <v>5.0000000000000001E-4</v>
      </c>
      <c r="G55" s="2484"/>
      <c r="H55" s="2481" t="s">
        <v>2220</v>
      </c>
      <c r="I55" s="186">
        <f>'数据-取费表'!B49</f>
        <v>5.0000000000000001E-4</v>
      </c>
      <c r="J55" s="2971" t="str">
        <f>IF(H59="非个人房产","",4)</f>
        <v/>
      </c>
      <c r="K55" s="3102" t="str">
        <f>IF(H59="非个人房产","——","个人所得税")</f>
        <v>——</v>
      </c>
      <c r="L55" s="3102"/>
      <c r="M55" s="1753" t="str">
        <f>D59</f>
        <v>——</v>
      </c>
      <c r="N55" s="2972" t="str">
        <f>E59</f>
        <v>——</v>
      </c>
      <c r="O55" s="1754" t="str">
        <f>F59</f>
        <v>——</v>
      </c>
    </row>
    <row r="56" spans="1:35" ht="25.2">
      <c r="A56" s="3166" t="s">
        <v>2221</v>
      </c>
      <c r="B56" s="3148"/>
      <c r="C56" s="3148"/>
      <c r="D56" s="185">
        <f ca="1">IF(H56="个人住宅",D57,D58)</f>
        <v>0</v>
      </c>
      <c r="E56" s="11" t="s">
        <v>2222</v>
      </c>
      <c r="F56" s="184" t="str">
        <f>IF(H56="正常",F58,"免征")</f>
        <v>——</v>
      </c>
      <c r="G56" s="2486" t="s">
        <v>2223</v>
      </c>
      <c r="H56" s="2487" t="s">
        <v>2220</v>
      </c>
      <c r="I56" s="2488"/>
      <c r="J56" s="2971" t="str">
        <f>IF(项目基本情况!K6="上海银行",IF(J55="",4,J55+1),"")</f>
        <v/>
      </c>
      <c r="K56" s="3085" t="str">
        <f>IF(项目基本情况!K6="上海银行","其他处置费用","")</f>
        <v/>
      </c>
      <c r="L56" s="3086"/>
      <c r="M56" s="1750" t="str">
        <f>IF(项目基本情况!K6="上海银行",M69,"")</f>
        <v/>
      </c>
      <c r="N56" s="3088" t="str">
        <f>IF(项目基本情况!K6="上海银行","包含处置中涉及的律师、诉讼、拍卖、评估等费用","")</f>
        <v/>
      </c>
      <c r="O56" s="3089"/>
    </row>
    <row r="57" spans="1:35" ht="13.2">
      <c r="A57" s="183" t="s">
        <v>2196</v>
      </c>
      <c r="B57" s="3133" t="s">
        <v>2224</v>
      </c>
      <c r="C57" s="3134"/>
      <c r="D57" s="187">
        <v>0</v>
      </c>
      <c r="E57" s="23" t="s">
        <v>2198</v>
      </c>
      <c r="F57" s="155"/>
      <c r="G57" s="2484"/>
      <c r="H57" s="2488"/>
      <c r="I57" s="2488"/>
      <c r="J57" s="3102">
        <f>IF(AND(J55="",J56=""),4,IF(项目基本情况!K6="上海银行",'结果表 (典型)'!J56+1,'结果表 (典型)'!J55+1))</f>
        <v>4</v>
      </c>
      <c r="K57" s="3102" t="s">
        <v>2225</v>
      </c>
      <c r="L57" s="2489" t="s">
        <v>2226</v>
      </c>
      <c r="M57" s="1755"/>
      <c r="N57" s="1756">
        <f ca="1">SUMIF(M52:M56,"&lt;9e307")</f>
        <v>0</v>
      </c>
      <c r="O57" s="2490"/>
      <c r="P57" s="1749">
        <f ca="1">N57/M49</f>
        <v>0</v>
      </c>
    </row>
    <row r="58" spans="1:35" ht="25.2">
      <c r="A58" s="183" t="s">
        <v>2207</v>
      </c>
      <c r="B58" s="3133" t="s">
        <v>2227</v>
      </c>
      <c r="C58" s="3146"/>
      <c r="D58" s="185">
        <f ca="1">IF(H58="转让取得",C81,C97)</f>
        <v>0</v>
      </c>
      <c r="E58" s="11" t="s">
        <v>2222</v>
      </c>
      <c r="F58" s="24" t="s">
        <v>34</v>
      </c>
      <c r="G58" s="2484"/>
      <c r="H58" s="2487" t="s">
        <v>3094</v>
      </c>
      <c r="I58" s="2488"/>
      <c r="J58" s="3102"/>
      <c r="K58" s="3102"/>
      <c r="L58" s="2489" t="s">
        <v>2228</v>
      </c>
      <c r="M58" s="1757"/>
      <c r="N58" s="2491" t="str">
        <f ca="1">NUMBERSTRING(INT(N57*10000),2)&amp;"元整"</f>
        <v>零元整</v>
      </c>
      <c r="O58" s="2492"/>
    </row>
    <row r="59" spans="1:35" ht="24.6" thickBot="1">
      <c r="A59" s="3106" t="s">
        <v>2229</v>
      </c>
      <c r="B59" s="3107"/>
      <c r="C59" s="3107"/>
      <c r="D59" s="188" t="str">
        <f>IF(H59="非个人房产","——",IF(H59="个人住宅",0,ROUND(D45*I59,0)))</f>
        <v>——</v>
      </c>
      <c r="E59" s="189" t="str">
        <f>IF(H59="非个人房产","——","销售额×税（费）率")</f>
        <v>——</v>
      </c>
      <c r="F59" s="190" t="str">
        <f>IF(H59="非个人房产","——",IF(H59="个人住宅","免征",I59))</f>
        <v>——</v>
      </c>
      <c r="G59" s="2493" t="s">
        <v>2223</v>
      </c>
      <c r="H59" s="2487" t="s">
        <v>3095</v>
      </c>
      <c r="I59" s="191">
        <v>0.01</v>
      </c>
      <c r="J59" s="3104">
        <f>J57+1</f>
        <v>5</v>
      </c>
      <c r="K59" s="3102" t="s">
        <v>2230</v>
      </c>
      <c r="L59" s="2971" t="s">
        <v>2226</v>
      </c>
      <c r="M59" s="1758"/>
      <c r="N59" s="1759">
        <f ca="1">M49-N57</f>
        <v>496</v>
      </c>
      <c r="O59" s="2494"/>
    </row>
    <row r="60" spans="1:35" ht="12" customHeight="1">
      <c r="A60" s="2495"/>
      <c r="B60" s="2417"/>
      <c r="C60" s="2417"/>
      <c r="D60" s="2417"/>
      <c r="E60" s="2165"/>
      <c r="F60" s="2488"/>
      <c r="G60" s="2488"/>
      <c r="H60" s="2496"/>
      <c r="I60" s="138"/>
      <c r="J60" s="3105"/>
      <c r="K60" s="3102"/>
      <c r="L60" s="2489" t="s">
        <v>2228</v>
      </c>
      <c r="M60" s="1757"/>
      <c r="N60" s="2491" t="str">
        <f ca="1">NUMBERSTRING(INT(N59*10000),2)&amp;"元整"</f>
        <v>肆佰玖拾陆万元整</v>
      </c>
      <c r="O60" s="2492"/>
    </row>
    <row r="61" spans="1:35" ht="13.8" thickBot="1">
      <c r="A61" s="3165" t="s">
        <v>2231</v>
      </c>
      <c r="B61" s="3165"/>
      <c r="C61" s="3165"/>
      <c r="D61" s="3165"/>
      <c r="E61" s="3165"/>
      <c r="F61" s="2488"/>
      <c r="G61" s="2488"/>
      <c r="H61" s="2496"/>
      <c r="I61" s="138"/>
      <c r="J61" s="2971">
        <f>J59+1</f>
        <v>6</v>
      </c>
      <c r="K61" s="3102" t="s">
        <v>2232</v>
      </c>
      <c r="L61" s="3102"/>
      <c r="M61" s="1760"/>
      <c r="N61" s="1761">
        <f ca="1">ROUND(N59*10000/'数据-汇总表'!E3,0)</f>
        <v>1113</v>
      </c>
      <c r="O61" s="2497"/>
    </row>
    <row r="62" spans="1:35" ht="13.2">
      <c r="A62" s="3122" t="s">
        <v>2233</v>
      </c>
      <c r="B62" s="3123"/>
      <c r="C62" s="2968"/>
      <c r="D62" s="2968" t="s">
        <v>2234</v>
      </c>
      <c r="E62" s="192" t="s">
        <v>2235</v>
      </c>
      <c r="F62" s="2488"/>
      <c r="G62" s="2488"/>
      <c r="H62" s="2496"/>
      <c r="I62" s="138"/>
    </row>
    <row r="63" spans="1:35" ht="13.2">
      <c r="A63" s="203" t="s">
        <v>775</v>
      </c>
      <c r="B63" s="193" t="s">
        <v>2236</v>
      </c>
      <c r="C63" s="194">
        <f ca="1">ROUND((C64+C65)/(1+'数据-取费表'!C42),0)</f>
        <v>284</v>
      </c>
      <c r="D63" s="195"/>
      <c r="E63" s="196"/>
      <c r="F63" s="2488"/>
      <c r="G63" s="2488"/>
      <c r="H63" s="2496"/>
      <c r="I63" s="138"/>
      <c r="J63" s="3087" t="s">
        <v>2237</v>
      </c>
      <c r="K63" s="2973" t="s">
        <v>2238</v>
      </c>
      <c r="L63" s="1748">
        <f ca="1">IF(M49&gt;10000,M49*0.5%,IF(AND(M49&gt;1000,M49&lt;=10000),M49*1%,IF(AND(M49&gt;100,M49&lt;=1000),M49*3%,IF(AND(M49&gt;10,M49&lt;=100),M49*5%,M49*8%))))</f>
        <v>14.879999999999999</v>
      </c>
      <c r="M63" s="24">
        <f ca="1">ROUND(L63,1)</f>
        <v>14.9</v>
      </c>
      <c r="Z63" s="2422"/>
      <c r="AI63" s="2423"/>
    </row>
    <row r="64" spans="1:35" ht="14.25" customHeight="1">
      <c r="A64" s="197" t="s">
        <v>770</v>
      </c>
      <c r="B64" s="198" t="s">
        <v>2239</v>
      </c>
      <c r="C64" s="199">
        <f ca="1">D45</f>
        <v>298</v>
      </c>
      <c r="D64" s="200" t="s">
        <v>32</v>
      </c>
      <c r="E64" s="201"/>
      <c r="F64" s="2488"/>
      <c r="G64" s="2488"/>
      <c r="H64" s="2496"/>
      <c r="I64" s="138"/>
      <c r="J64" s="3087"/>
      <c r="K64" s="2973" t="s">
        <v>2240</v>
      </c>
      <c r="L64" s="1748">
        <f ca="1">IF(M49&gt;2000,M49*0.5%,IF(AND(M49&gt;1000,M49&lt;=2000),M49*0.6%,IF(AND(M49&gt;500,M49&lt;=1000),M49*0.7%,IF(AND(M49&gt;200,M49&lt;=500),M49*0.8%,IF(AND(M49&gt;100,M49&lt;=200),M49*0.9%,IF(AND(M49&gt;50,M49&lt;=100),M49*1%,IF(AND(M49&gt;20,M49&lt;=50),M49*1.5%,IF(AND(M49&gt;10,M49&lt;=20),M49*2%,IF(AND(M49&gt;1,M49&lt;=10),M49*2.5%)))))))))</f>
        <v>3.968</v>
      </c>
      <c r="M64" s="24">
        <f t="shared" ref="M64:M65" ca="1" si="1">ROUND(L64,1)</f>
        <v>4</v>
      </c>
      <c r="N64" s="138" t="s">
        <v>2241</v>
      </c>
      <c r="Z64" s="2422"/>
      <c r="AI64" s="2423"/>
    </row>
    <row r="65" spans="1:35" ht="14.25" customHeight="1">
      <c r="A65" s="197" t="s">
        <v>771</v>
      </c>
      <c r="B65" s="198" t="s">
        <v>2242</v>
      </c>
      <c r="C65" s="202">
        <v>0</v>
      </c>
      <c r="D65" s="200"/>
      <c r="E65" s="201"/>
      <c r="F65" s="2488"/>
      <c r="G65" s="2488"/>
      <c r="H65" s="2496"/>
      <c r="I65" s="138"/>
      <c r="J65" s="3087"/>
      <c r="K65" s="2973" t="s">
        <v>2243</v>
      </c>
      <c r="L65" s="1748">
        <f ca="1">IF(M49&gt;1000,M49*0.1%,IF(AND(M49&gt;500,M49&lt;=1000),M49*0.5%,IF(AND(M49&gt;50,M49&lt;=500),M49*1%,IF(AND(M49&gt;1,M49&lt;=50),M49*1.5%))))</f>
        <v>4.96</v>
      </c>
      <c r="M65" s="24">
        <f t="shared" ca="1" si="1"/>
        <v>5</v>
      </c>
      <c r="N65" s="138" t="s">
        <v>2241</v>
      </c>
      <c r="Z65" s="2422"/>
      <c r="AI65" s="2423"/>
    </row>
    <row r="66" spans="1:35" ht="14.25" customHeight="1">
      <c r="A66" s="203" t="s">
        <v>772</v>
      </c>
      <c r="B66" s="204" t="s">
        <v>2244</v>
      </c>
      <c r="C66" s="205">
        <v>1203.444</v>
      </c>
      <c r="D66" s="206" t="s">
        <v>32</v>
      </c>
      <c r="E66" s="1772" t="s">
        <v>1366</v>
      </c>
      <c r="F66" s="2488"/>
      <c r="G66" s="2488"/>
      <c r="H66" s="2496"/>
      <c r="I66" s="138"/>
      <c r="J66" s="3087"/>
      <c r="K66" s="2973" t="s">
        <v>2245</v>
      </c>
      <c r="L66" s="1748">
        <f ca="1">M49*0.5%</f>
        <v>2.48</v>
      </c>
      <c r="M66" s="24">
        <f ca="1">IF(L66&gt;0.5,0.5,ROUND(L66,0))</f>
        <v>0.5</v>
      </c>
      <c r="N66" s="138" t="s">
        <v>2246</v>
      </c>
      <c r="Z66" s="2422"/>
      <c r="AI66" s="2423"/>
    </row>
    <row r="67" spans="1:35" ht="14.25" customHeight="1">
      <c r="A67" s="203" t="s">
        <v>773</v>
      </c>
      <c r="B67" s="204" t="s">
        <v>2247</v>
      </c>
      <c r="C67" s="207">
        <f ca="1">C63-C66</f>
        <v>-919.44399999999996</v>
      </c>
      <c r="D67" s="200" t="s">
        <v>32</v>
      </c>
      <c r="E67" s="201"/>
      <c r="F67" s="2488"/>
      <c r="G67" s="2488"/>
      <c r="H67" s="2496"/>
      <c r="I67" s="138"/>
      <c r="J67" s="3087"/>
      <c r="K67" s="2973" t="s">
        <v>2248</v>
      </c>
      <c r="L67" s="1748">
        <f ca="1">IF(M49&gt;=10000,(8.25+(M49-10000)*0.01%),IF(AND(M49&gt;=8000,M49&lt;10000),(7.85+(M49-8000)*0.02%),IF(AND(M49&gt;=5000,M49&lt;8000),(6.65+(M49-5000)*0.04%),IF(AND(M49&gt;=2000,M49&lt;5000),(4.25+(PM49-2000)*0.08%),IF(AND(M49&gt;=1000,M49&lt;2000),(2.75+(M49-1000)*0.15%),IF(AND(M49&gt;=100,M49&lt;1000),(0.5+(M49-100)*0.25%),IF(AND(M49&gt;0,M49&lt;100),M49*0.5%)))))))</f>
        <v>1.49</v>
      </c>
      <c r="M67" s="24">
        <f ca="1">ROUND(L67*0.9,1)</f>
        <v>1.3</v>
      </c>
      <c r="Z67" s="2422"/>
      <c r="AI67" s="2423"/>
    </row>
    <row r="68" spans="1:35" ht="14.25" customHeight="1" thickBot="1">
      <c r="A68" s="208" t="s">
        <v>774</v>
      </c>
      <c r="B68" s="209" t="s">
        <v>2249</v>
      </c>
      <c r="C68" s="210">
        <f ca="1">IF(C67&lt;=0,0,ROUND(C67*D68,0))</f>
        <v>0</v>
      </c>
      <c r="D68" s="211">
        <f>'数据-取费表'!B41</f>
        <v>5.6000000000000001E-2</v>
      </c>
      <c r="E68" s="212"/>
      <c r="F68" s="2488"/>
      <c r="G68" s="2488"/>
      <c r="H68" s="2496"/>
      <c r="I68" s="138"/>
      <c r="J68" s="3087"/>
      <c r="K68" s="2973" t="s">
        <v>2250</v>
      </c>
      <c r="L68" s="1748">
        <f ca="1">IF(M49&gt;10000,M49*0.5%,IF(AND(M49&gt;5000,M49&lt;=10000),M49*1%,IF(AND(M49&gt;1000,M49&lt;=5000),M49*2%,IF(AND(M49&gt;200,M49&lt;=1000),M49*3%,M49*5%))))</f>
        <v>14.879999999999999</v>
      </c>
      <c r="M68" s="24">
        <f ca="1">ROUND(L68,1)</f>
        <v>14.9</v>
      </c>
      <c r="Z68" s="2422"/>
      <c r="AI68" s="2423"/>
    </row>
    <row r="69" spans="1:35" s="2445" customFormat="1" ht="16.5" customHeight="1">
      <c r="A69" s="2499"/>
      <c r="B69" s="2500"/>
      <c r="C69" s="2501"/>
      <c r="D69" s="2502"/>
      <c r="E69" s="2503"/>
      <c r="F69" s="2165"/>
      <c r="G69" s="2165"/>
      <c r="H69" s="2164"/>
      <c r="I69" s="2417"/>
      <c r="J69" s="3087"/>
      <c r="K69" s="2973" t="s">
        <v>2251</v>
      </c>
      <c r="L69" s="2504"/>
      <c r="M69" s="24">
        <f ca="1">ROUND(SUM(M63:M68),0)</f>
        <v>41</v>
      </c>
      <c r="N69" s="1749">
        <f ca="1">M69/M49</f>
        <v>8.2661290322580641E-2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31" t="s">
        <v>2252</v>
      </c>
      <c r="B70" s="3132"/>
      <c r="C70" s="3132"/>
      <c r="D70" s="3132"/>
      <c r="E70" s="3132"/>
      <c r="F70" s="3132"/>
      <c r="G70" s="3132"/>
      <c r="H70" s="313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22" t="s">
        <v>2233</v>
      </c>
      <c r="B71" s="3123"/>
      <c r="C71" s="2968"/>
      <c r="D71" s="2968" t="s">
        <v>2234</v>
      </c>
      <c r="E71" s="213" t="s">
        <v>2235</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2253</v>
      </c>
      <c r="C72" s="207">
        <f ca="1">ROUND(D45/(1+'数据-取费表'!C42),0)</f>
        <v>284</v>
      </c>
      <c r="D72" s="200" t="s">
        <v>32</v>
      </c>
      <c r="E72" s="2967"/>
      <c r="F72" s="2962"/>
      <c r="G72" s="2962"/>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2254</v>
      </c>
      <c r="C73" s="207">
        <f ca="1">C74+C78</f>
        <v>1242</v>
      </c>
      <c r="D73" s="200" t="s">
        <v>32</v>
      </c>
      <c r="E73" s="2967"/>
      <c r="F73" s="2962"/>
      <c r="G73" s="2962"/>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2255</v>
      </c>
      <c r="C74" s="200">
        <f>ROUND(IF(G77="2016年5月1日后购买",C75/(1+'数据-取费表'!C42)+C76+C77,C75+C76+C77),0)</f>
        <v>1240</v>
      </c>
      <c r="D74" s="200" t="s">
        <v>32</v>
      </c>
      <c r="E74" s="2967"/>
      <c r="F74" s="2962"/>
      <c r="G74" s="2962"/>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2256</v>
      </c>
      <c r="C75" s="218">
        <v>1203.444</v>
      </c>
      <c r="D75" s="200" t="s">
        <v>32</v>
      </c>
      <c r="E75" s="219" t="s">
        <v>2257</v>
      </c>
      <c r="F75" s="2510" t="s">
        <v>2258</v>
      </c>
      <c r="G75" s="219" t="s">
        <v>2259</v>
      </c>
      <c r="H75" s="220">
        <v>0</v>
      </c>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2260</v>
      </c>
      <c r="C76" s="200">
        <f>IF(F75="购房发票",ROUND(C75*H75*D76,0),0)</f>
        <v>0</v>
      </c>
      <c r="D76" s="222">
        <v>0.05</v>
      </c>
      <c r="E76" s="3128" t="s">
        <v>2261</v>
      </c>
      <c r="F76" s="3127"/>
      <c r="G76" s="3127"/>
      <c r="H76" s="313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2262</v>
      </c>
      <c r="C77" s="200">
        <f>ROUND(IF(G77="个人住宅",0,IF(G77="2016年5月1日前购买",C75*D77,C75*D77/(1+'数据-取费表'!C42))),0)</f>
        <v>37</v>
      </c>
      <c r="D77" s="223">
        <f>'数据-取费表'!B48+'数据-取费表'!B49</f>
        <v>3.0499999999999999E-2</v>
      </c>
      <c r="E77" s="2974" t="s">
        <v>2263</v>
      </c>
      <c r="F77" s="224"/>
      <c r="G77" s="2512" t="s">
        <v>3096</v>
      </c>
      <c r="H77" s="2969"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2264</v>
      </c>
      <c r="C78" s="225">
        <f ca="1">ROUND(D45*D78/(1+'数据-取费表'!C42),0)</f>
        <v>2</v>
      </c>
      <c r="D78" s="226">
        <f>'数据-取费表'!B43</f>
        <v>6.000000000000001E-3</v>
      </c>
      <c r="E78" s="3119" t="s">
        <v>2265</v>
      </c>
      <c r="F78" s="3120"/>
      <c r="G78" s="3120"/>
      <c r="H78" s="312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2266</v>
      </c>
      <c r="C79" s="207">
        <f ca="1">C72-C73</f>
        <v>-958</v>
      </c>
      <c r="D79" s="200" t="s">
        <v>32</v>
      </c>
      <c r="E79" s="2967"/>
      <c r="F79" s="2962"/>
      <c r="G79" s="2962"/>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2267</v>
      </c>
      <c r="C80" s="227">
        <f ca="1">IF(C79&lt;=0,0,C79/C73)</f>
        <v>0</v>
      </c>
      <c r="D80" s="200" t="s">
        <v>32</v>
      </c>
      <c r="E80" s="2974" t="str">
        <f ca="1">IF(C80&gt;=200%,"增值额超过扣除项目金额200%",IF(C80&gt;=100%,"增值额超过扣除项目金额100%，未超过200%",IF(C80&gt;=50%,"增值额超过扣除项目金额50%，未超过100%",IF(C80&lt;50%,"增值额未超过扣除项目金额50%"))))</f>
        <v>增值额未超过扣除项目金额50%</v>
      </c>
      <c r="F80" s="2962"/>
      <c r="G80" s="2962"/>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2268</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31" t="s">
        <v>2269</v>
      </c>
      <c r="B83" s="3132"/>
      <c r="C83" s="3132"/>
      <c r="D83" s="3132"/>
      <c r="E83" s="3132"/>
      <c r="F83" s="3132"/>
      <c r="G83" s="3132"/>
      <c r="H83" s="313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22" t="s">
        <v>2233</v>
      </c>
      <c r="B84" s="3123"/>
      <c r="C84" s="2968"/>
      <c r="D84" s="2968" t="s">
        <v>2234</v>
      </c>
      <c r="E84" s="213" t="s">
        <v>2235</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2253</v>
      </c>
      <c r="C85" s="207">
        <f ca="1">ROUND(D45/(1+'数据-取费表'!C42),0)</f>
        <v>284</v>
      </c>
      <c r="D85" s="200" t="s">
        <v>32</v>
      </c>
      <c r="E85" s="2967"/>
      <c r="F85" s="2962"/>
      <c r="G85" s="2962"/>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2254</v>
      </c>
      <c r="C86" s="207">
        <f ca="1">IF(H88="仅含出让金",C87+C90+C91+C92+C93+C94,C87+C91+C92+C93+C94)</f>
        <v>2</v>
      </c>
      <c r="D86" s="235"/>
      <c r="E86" s="2967"/>
      <c r="F86" s="2962"/>
      <c r="G86" s="2962"/>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2270</v>
      </c>
      <c r="C87" s="225">
        <f>C88+C89</f>
        <v>0</v>
      </c>
      <c r="D87" s="226"/>
      <c r="E87" s="2963"/>
      <c r="F87" s="2964"/>
      <c r="G87" s="2964"/>
      <c r="H87" s="2966"/>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2271</v>
      </c>
      <c r="C88" s="236"/>
      <c r="D88" s="226"/>
      <c r="E88" s="237" t="s">
        <v>2272</v>
      </c>
      <c r="F88" s="2964"/>
      <c r="G88" s="238" t="s">
        <v>2273</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2262</v>
      </c>
      <c r="C89" s="225">
        <f>ROUND(C88*D89,0)</f>
        <v>0</v>
      </c>
      <c r="D89" s="226">
        <f>'数据-取费表'!B48+'数据-取费表'!B49</f>
        <v>3.0499999999999999E-2</v>
      </c>
      <c r="E89" s="237" t="s">
        <v>2274</v>
      </c>
      <c r="F89" s="2964"/>
      <c r="G89" s="2964"/>
      <c r="H89" s="2966"/>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2275</v>
      </c>
      <c r="C90" s="236"/>
      <c r="D90" s="226"/>
      <c r="E90" s="237" t="str">
        <f>IF(H88="-","土地取得成本中已包含该笔费用"," ")</f>
        <v xml:space="preserve"> </v>
      </c>
      <c r="F90" s="2964"/>
      <c r="G90" s="2964"/>
      <c r="H90" s="2966"/>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2276</v>
      </c>
      <c r="B91" s="198" t="s">
        <v>2277</v>
      </c>
      <c r="C91" s="225">
        <f>IF(H91="——",成本法!C33,I91)</f>
        <v>0</v>
      </c>
      <c r="D91" s="226"/>
      <c r="E91" s="3119" t="s">
        <v>2278</v>
      </c>
      <c r="F91" s="3120"/>
      <c r="G91" s="3120"/>
      <c r="H91" s="2517" t="s">
        <v>2279</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2280</v>
      </c>
      <c r="B92" s="198" t="s">
        <v>2281</v>
      </c>
      <c r="C92" s="225">
        <f>ROUND((C87+C90+C91)*D92,0)</f>
        <v>0</v>
      </c>
      <c r="D92" s="226">
        <v>0.1</v>
      </c>
      <c r="E92" s="3119" t="s">
        <v>2282</v>
      </c>
      <c r="F92" s="3120"/>
      <c r="G92" s="3120"/>
      <c r="H92" s="312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2283</v>
      </c>
      <c r="B93" s="198" t="s">
        <v>2264</v>
      </c>
      <c r="C93" s="225">
        <f ca="1">ROUND(D45*D93/(1+'数据-取费表'!C42),0)</f>
        <v>2</v>
      </c>
      <c r="D93" s="226">
        <f>'数据-取费表'!B43</f>
        <v>6.000000000000001E-3</v>
      </c>
      <c r="E93" s="3119" t="s">
        <v>2265</v>
      </c>
      <c r="F93" s="3120"/>
      <c r="G93" s="3120"/>
      <c r="H93" s="312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2284</v>
      </c>
      <c r="B94" s="198" t="s">
        <v>2285</v>
      </c>
      <c r="C94" s="236">
        <f>ROUND((C87+C90+C91)*D94,0)</f>
        <v>0</v>
      </c>
      <c r="D94" s="226">
        <v>0.2</v>
      </c>
      <c r="E94" s="3167" t="s">
        <v>2286</v>
      </c>
      <c r="F94" s="3168"/>
      <c r="G94" s="3168"/>
      <c r="H94" s="316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2266</v>
      </c>
      <c r="C95" s="207">
        <f ca="1">ROUND(C85-C86,0)</f>
        <v>282</v>
      </c>
      <c r="D95" s="200" t="s">
        <v>32</v>
      </c>
      <c r="E95" s="2967"/>
      <c r="F95" s="2962"/>
      <c r="G95" s="2962"/>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2267</v>
      </c>
      <c r="C96" s="227">
        <f ca="1">IF(C95&lt;=0,0,C95/C86)</f>
        <v>141</v>
      </c>
      <c r="D96" s="200" t="s">
        <v>32</v>
      </c>
      <c r="E96" s="2974" t="str">
        <f ca="1">IF(C96&gt;=200%,"增值额超过扣除项目金额200%",IF(C96&gt;=100%,"增值额超过扣除项目金额100%，未超过200%",IF(C96&gt;=50%,"增值额超过扣除项目金额50%，未超过100%",IF(C96&lt;50%,"增值额未超过扣除项目金额50%"))))</f>
        <v>增值额超过扣除项目金额200%</v>
      </c>
      <c r="F96" s="2962"/>
      <c r="G96" s="2962"/>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2268</v>
      </c>
      <c r="C97" s="228">
        <f ca="1">ROUND(IF(C95&lt;=0,0,IF(C96&gt;=200%,C95*60%-C86*35%,IF(C96&gt;=100%,C95*50%-C86*15%,IF(C96&gt;=50%,C95*40%-C86*5%,IF(C96&lt;50%,C95*30%,0))))),0)</f>
        <v>169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2287</v>
      </c>
      <c r="B99" s="2417"/>
      <c r="C99" s="2417"/>
      <c r="D99" s="2417"/>
      <c r="E99" s="2165"/>
      <c r="F99" s="2165"/>
      <c r="G99" s="2165"/>
      <c r="H99" s="2164"/>
      <c r="I99" s="138"/>
    </row>
    <row r="100" spans="1:35" ht="18.75" customHeight="1">
      <c r="A100" s="3071" t="s">
        <v>2288</v>
      </c>
      <c r="B100" s="3072"/>
      <c r="C100" s="3072"/>
      <c r="D100" s="3103"/>
      <c r="E100" s="3072" t="s">
        <v>2289</v>
      </c>
      <c r="F100" s="3072"/>
      <c r="G100" s="3072"/>
      <c r="H100" s="3103"/>
      <c r="I100" s="138"/>
    </row>
    <row r="101" spans="1:35" ht="18.75" customHeight="1">
      <c r="A101" s="3111" t="s">
        <v>2290</v>
      </c>
      <c r="B101" s="3112"/>
      <c r="C101" s="736" t="str">
        <f>C4</f>
        <v>比较法-住宅</v>
      </c>
      <c r="D101" s="737" t="str">
        <f>D4</f>
        <v>收益法 (元)</v>
      </c>
      <c r="E101" s="3083" t="s">
        <v>2291</v>
      </c>
      <c r="F101" s="3084"/>
      <c r="G101" s="2519" t="s">
        <v>2292</v>
      </c>
      <c r="H101" s="1045">
        <f ca="1">H118</f>
        <v>496</v>
      </c>
      <c r="I101" s="138"/>
    </row>
    <row r="102" spans="1:35" ht="18.75" customHeight="1">
      <c r="A102" s="3113" t="s">
        <v>2293</v>
      </c>
      <c r="B102" s="2519" t="s">
        <v>2292</v>
      </c>
      <c r="C102" s="736">
        <f ca="1">C19</f>
        <v>590</v>
      </c>
      <c r="D102" s="737">
        <f ca="1">D19</f>
        <v>119</v>
      </c>
      <c r="E102" s="3083"/>
      <c r="F102" s="3084"/>
      <c r="G102" s="2519" t="s">
        <v>2294</v>
      </c>
      <c r="H102" s="371">
        <f ca="1">I118</f>
        <v>76262</v>
      </c>
      <c r="I102" s="138"/>
    </row>
    <row r="103" spans="1:35" ht="42.75" customHeight="1">
      <c r="A103" s="3113"/>
      <c r="B103" s="2519" t="s">
        <v>2294</v>
      </c>
      <c r="C103" s="738">
        <f ca="1">C20</f>
        <v>90746</v>
      </c>
      <c r="D103" s="739">
        <f ca="1">D20</f>
        <v>18328</v>
      </c>
      <c r="E103" s="3077" t="s">
        <v>2295</v>
      </c>
      <c r="F103" s="3078"/>
      <c r="G103" s="2520" t="s">
        <v>2296</v>
      </c>
      <c r="H103" s="1045">
        <f>IF(D36="正常操作",H104+H105+H106,H105+H106)</f>
        <v>0</v>
      </c>
      <c r="I103" s="138"/>
    </row>
    <row r="104" spans="1:35" ht="18.75" customHeight="1">
      <c r="A104" s="3113" t="s">
        <v>2297</v>
      </c>
      <c r="B104" s="2521" t="s">
        <v>2292</v>
      </c>
      <c r="C104" s="740">
        <f ca="1">H118</f>
        <v>496</v>
      </c>
      <c r="D104" s="741"/>
      <c r="E104" s="2266" t="s">
        <v>2298</v>
      </c>
      <c r="F104" s="2257"/>
      <c r="G104" s="2520" t="s">
        <v>2296</v>
      </c>
      <c r="H104" s="1046">
        <f>IF(D36="同一抵押权人同一抵押物续贷",C36&amp;"（未扣减，详见特别提示）",C36)</f>
        <v>0</v>
      </c>
      <c r="I104" s="138"/>
    </row>
    <row r="105" spans="1:35" ht="18.75" customHeight="1" thickBot="1">
      <c r="A105" s="3125"/>
      <c r="B105" s="2522" t="s">
        <v>2294</v>
      </c>
      <c r="C105" s="742">
        <f ca="1">I118</f>
        <v>76262</v>
      </c>
      <c r="D105" s="743"/>
      <c r="E105" s="2266" t="s">
        <v>2299</v>
      </c>
      <c r="F105" s="2257"/>
      <c r="G105" s="2520" t="s">
        <v>2296</v>
      </c>
      <c r="H105" s="1046">
        <f>C37</f>
        <v>0</v>
      </c>
      <c r="I105" s="138"/>
    </row>
    <row r="106" spans="1:35" ht="18.75" customHeight="1">
      <c r="A106" s="2417" t="s">
        <v>2300</v>
      </c>
      <c r="B106" s="2417"/>
      <c r="C106" s="2417"/>
      <c r="D106" s="2417"/>
      <c r="E106" s="2523" t="s">
        <v>2301</v>
      </c>
      <c r="F106" s="2257"/>
      <c r="G106" s="2520" t="s">
        <v>2296</v>
      </c>
      <c r="H106" s="1046">
        <f>C38</f>
        <v>0</v>
      </c>
      <c r="I106" s="138"/>
    </row>
    <row r="107" spans="1:35" ht="18.75" customHeight="1">
      <c r="A107" s="138"/>
      <c r="B107" s="138"/>
      <c r="C107" s="138"/>
      <c r="D107" s="138"/>
      <c r="E107" s="3114" t="str">
        <f>IF(项目基本情况!E8="已注销","——","3.房地产抵押价值")</f>
        <v>3.房地产抵押价值</v>
      </c>
      <c r="F107" s="3084"/>
      <c r="G107" s="2519" t="s">
        <v>2292</v>
      </c>
      <c r="H107" s="1045">
        <f ca="1">IF(E107="——","——",H101-H103)</f>
        <v>496</v>
      </c>
      <c r="I107" s="138"/>
    </row>
    <row r="108" spans="1:35" ht="18.75" customHeight="1">
      <c r="A108" s="138"/>
      <c r="B108" s="138"/>
      <c r="C108" s="138"/>
      <c r="D108" s="138"/>
      <c r="E108" s="3114"/>
      <c r="F108" s="3084"/>
      <c r="G108" s="2519" t="s">
        <v>2294</v>
      </c>
      <c r="H108" s="371">
        <f ca="1">ROUND(H107*10000/'数据-汇总表'!E3,0)</f>
        <v>1113</v>
      </c>
      <c r="I108" s="138"/>
    </row>
    <row r="109" spans="1:35" ht="18.75" customHeight="1">
      <c r="A109" s="138"/>
      <c r="B109" s="138"/>
      <c r="C109" s="138"/>
      <c r="D109" s="138"/>
      <c r="E109" s="3114" t="str">
        <f>IF(项目基本情况!E8="已注销及未注销","4.抵押担保权已注销时的房地产抵押价值",IF(项目基本情况!E8="已注销","3.抵押担保权已注销时的房地产抵押价值","——"))</f>
        <v>——</v>
      </c>
      <c r="F109" s="3084"/>
      <c r="G109" s="2519" t="s">
        <v>2292</v>
      </c>
      <c r="H109" s="348" t="str">
        <f>IF(E109="——","——",H101-H105-H106)</f>
        <v>——</v>
      </c>
      <c r="I109" s="138"/>
    </row>
    <row r="110" spans="1:35" ht="18.75" customHeight="1">
      <c r="A110" s="138"/>
      <c r="B110" s="138"/>
      <c r="C110" s="138"/>
      <c r="D110" s="138"/>
      <c r="E110" s="3114"/>
      <c r="F110" s="3084"/>
      <c r="G110" s="2519" t="s">
        <v>2294</v>
      </c>
      <c r="H110" s="371" t="str">
        <f>IF(H109="——","——",ROUND(H109*10000/'数据-汇总表'!E3,0))</f>
        <v>——</v>
      </c>
      <c r="I110" s="138"/>
    </row>
    <row r="111" spans="1:35" ht="18.75" customHeight="1">
      <c r="A111" s="138"/>
      <c r="B111" s="138"/>
      <c r="C111" s="138"/>
      <c r="D111" s="138"/>
      <c r="E111" s="3115" t="str">
        <f>IF(项目基本情况!E9="抵押净值",IF(OR(项目基本情况!E8="已注销",项目基本情况!E8="房地产抵押价值"),"4.抵押净值","5.抵押净值"),"——")</f>
        <v>——</v>
      </c>
      <c r="F111" s="3116"/>
      <c r="G111" s="2519" t="s">
        <v>2292</v>
      </c>
      <c r="H111" s="1045" t="str">
        <f>IF(E111="——","——",N59)</f>
        <v>——</v>
      </c>
      <c r="I111" s="138"/>
    </row>
    <row r="112" spans="1:35" ht="18.75" customHeight="1" thickBot="1">
      <c r="A112" s="138"/>
      <c r="B112" s="138"/>
      <c r="C112" s="138"/>
      <c r="D112" s="138"/>
      <c r="E112" s="3117"/>
      <c r="F112" s="3118"/>
      <c r="G112" s="2524" t="s">
        <v>2294</v>
      </c>
      <c r="H112" s="790" t="str">
        <f>IF(E111="——","——",N61)</f>
        <v>——</v>
      </c>
      <c r="I112" s="138"/>
    </row>
    <row r="113" spans="1:11" ht="18.75" customHeight="1">
      <c r="A113" s="138"/>
      <c r="B113" s="138"/>
      <c r="C113" s="138"/>
      <c r="D113" s="138"/>
      <c r="E113" s="3126" t="s">
        <v>2300</v>
      </c>
      <c r="F113" s="3126"/>
      <c r="G113" s="3126"/>
      <c r="H113" s="3126"/>
      <c r="I113" s="138"/>
    </row>
    <row r="114" spans="1:11" ht="3.75" customHeight="1">
      <c r="A114" s="2417"/>
      <c r="B114" s="2417"/>
      <c r="C114" s="2417"/>
      <c r="D114" s="2417"/>
      <c r="E114" s="2495"/>
      <c r="F114" s="2495"/>
      <c r="G114" s="2495"/>
      <c r="H114" s="2495"/>
      <c r="I114" s="2417"/>
    </row>
    <row r="115" spans="1:11" ht="18.75" customHeight="1">
      <c r="A115" s="3139" t="s">
        <v>2302</v>
      </c>
      <c r="B115" s="3140"/>
      <c r="C115" s="3140"/>
      <c r="D115" s="3140"/>
      <c r="E115" s="3140"/>
      <c r="F115" s="3140"/>
      <c r="G115" s="3140"/>
      <c r="H115" s="3140"/>
      <c r="I115" s="3141"/>
    </row>
    <row r="116" spans="1:11" ht="27" customHeight="1">
      <c r="A116" s="3050" t="s">
        <v>2303</v>
      </c>
      <c r="B116" s="3093" t="s">
        <v>2304</v>
      </c>
      <c r="C116" s="3093" t="s">
        <v>2305</v>
      </c>
      <c r="D116" s="3099" t="s">
        <v>2306</v>
      </c>
      <c r="E116" s="3100"/>
      <c r="F116" s="3135" t="s">
        <v>2307</v>
      </c>
      <c r="G116" s="3135"/>
      <c r="H116" s="3050" t="s">
        <v>2308</v>
      </c>
      <c r="I116" s="3050"/>
    </row>
    <row r="117" spans="1:11" ht="18.75" customHeight="1">
      <c r="A117" s="3050"/>
      <c r="B117" s="3094"/>
      <c r="C117" s="3094"/>
      <c r="D117" s="2960" t="s">
        <v>2309</v>
      </c>
      <c r="E117" s="2960" t="s">
        <v>2310</v>
      </c>
      <c r="F117" s="2960" t="s">
        <v>2309</v>
      </c>
      <c r="G117" s="2960" t="s">
        <v>2311</v>
      </c>
      <c r="H117" s="2960" t="s">
        <v>2309</v>
      </c>
      <c r="I117" s="2960" t="s">
        <v>2311</v>
      </c>
    </row>
    <row r="118" spans="1:11" ht="24.75" customHeight="1">
      <c r="A118" s="2525" t="str">
        <f>项目基本情况!S2</f>
        <v>北京市房地产</v>
      </c>
      <c r="B118" s="2960">
        <f>M18</f>
        <v>65</v>
      </c>
      <c r="C118" s="2960">
        <f>M19</f>
        <v>23.15</v>
      </c>
      <c r="D118" s="2960">
        <f ca="1">ROUND(IF(D32="总价",C34,E118*B118/10000),0)</f>
        <v>326</v>
      </c>
      <c r="E118" s="2960">
        <f ca="1">ROUND(IF(C33="自定义",IF(D32="楼面单价",C34,D118*10000/B118),I118-G118),0)</f>
        <v>50180</v>
      </c>
      <c r="F118" s="2960">
        <f ca="1">ROUND(IF(D32="总价",C35,G118*B118/10000),0)</f>
        <v>170</v>
      </c>
      <c r="G118" s="2960">
        <f ca="1">ROUND(IF(D32="楼面单价",C35,F118*10000/B118),0)</f>
        <v>26082</v>
      </c>
      <c r="H118" s="2960">
        <f ca="1">ROUND(IF(D32="总价",C32,I118*B118/10000),0)</f>
        <v>496</v>
      </c>
      <c r="I118" s="2960">
        <f ca="1">ROUND(IF(D32="楼面单价",C32,H118*10000/B118),0)</f>
        <v>76262</v>
      </c>
    </row>
    <row r="119" spans="1:11" ht="18.75" customHeight="1">
      <c r="A119" s="3050" t="s">
        <v>2312</v>
      </c>
      <c r="B119" s="3050"/>
      <c r="C119" s="3050"/>
      <c r="D119" s="3095" t="str">
        <f ca="1">NUMBERSTRING(INT(D118*10000),2)&amp;"元整"</f>
        <v>叁佰贰拾陆万元整</v>
      </c>
      <c r="E119" s="3096"/>
      <c r="F119" s="3095" t="str">
        <f ca="1">NUMBERSTRING(INT(F118*10000),2)&amp;"元整"</f>
        <v>壹佰柒拾万元整</v>
      </c>
      <c r="G119" s="3096"/>
      <c r="H119" s="3095" t="str">
        <f ca="1">NUMBERSTRING(INT(H118*10000),2)&amp;"元整"</f>
        <v>肆佰玖拾陆万元整</v>
      </c>
      <c r="I119" s="3096"/>
    </row>
    <row r="120" spans="1:11" ht="18.75" customHeight="1">
      <c r="A120" s="3090" t="str">
        <f>IF(项目基本情况!B9="房地产市场价值","",MID(E103,3,LEN(E103)-2))</f>
        <v>估价师知悉的法定优先受偿款</v>
      </c>
      <c r="B120" s="3091"/>
      <c r="C120" s="3092"/>
      <c r="D120" s="3090">
        <f>H103</f>
        <v>0</v>
      </c>
      <c r="E120" s="3091"/>
      <c r="F120" s="3091"/>
      <c r="G120" s="3091"/>
      <c r="H120" s="3091"/>
      <c r="I120" s="3092"/>
      <c r="K120" s="2422" t="str">
        <f>IF(D120=0,"故，本次评估不存在"&amp;A120,"故，本次评估"&amp;A120&amp;"为人民币"&amp;D120&amp;"万元整。")</f>
        <v>故，本次评估不存在估价师知悉的法定优先受偿款</v>
      </c>
    </row>
    <row r="121" spans="1:11" ht="18.75" customHeight="1">
      <c r="A121" s="3136" t="s">
        <v>2312</v>
      </c>
      <c r="B121" s="3137"/>
      <c r="C121" s="3138"/>
      <c r="D121" s="3095" t="str">
        <f>IF(D120=0,"零元整",NUMBERSTRING(INT(D120*10000),2)&amp;"元整")</f>
        <v>零元整</v>
      </c>
      <c r="E121" s="3097"/>
      <c r="F121" s="3097"/>
      <c r="G121" s="3097"/>
      <c r="H121" s="3097"/>
      <c r="I121" s="3096"/>
    </row>
    <row r="122" spans="1:11" ht="18.75" customHeight="1">
      <c r="A122" s="3101" t="str">
        <f>IF(项目基本情况!B9="房地产市场价值","",MID(E107,3,LEN(E107)-2))</f>
        <v>房地产抵押价值</v>
      </c>
      <c r="B122" s="3101"/>
      <c r="C122" s="3101"/>
      <c r="D122" s="3090">
        <f ca="1">H107</f>
        <v>496</v>
      </c>
      <c r="E122" s="3091"/>
      <c r="F122" s="3091"/>
      <c r="G122" s="3091"/>
      <c r="H122" s="3091"/>
      <c r="I122" s="3092"/>
    </row>
    <row r="123" spans="1:11" ht="18.75" customHeight="1">
      <c r="A123" s="3050" t="s">
        <v>2312</v>
      </c>
      <c r="B123" s="3050"/>
      <c r="C123" s="3050"/>
      <c r="D123" s="3095" t="str">
        <f ca="1">NUMBERSTRING(INT(D122*10000),2)&amp;"元整"</f>
        <v>肆佰玖拾陆万元整</v>
      </c>
      <c r="E123" s="3097"/>
      <c r="F123" s="3097"/>
      <c r="G123" s="3097"/>
      <c r="H123" s="3097"/>
      <c r="I123" s="3096"/>
    </row>
    <row r="124" spans="1:11" ht="18.75" customHeight="1">
      <c r="A124" s="3101" t="str">
        <f>IF(项目基本情况!B9="房地产市场价值","",MID(E109,3,LEN(E109)-2))</f>
        <v/>
      </c>
      <c r="B124" s="3101"/>
      <c r="C124" s="3101"/>
      <c r="D124" s="3090" t="str">
        <f>H109</f>
        <v>——</v>
      </c>
      <c r="E124" s="3091"/>
      <c r="F124" s="3091"/>
      <c r="G124" s="3091"/>
      <c r="H124" s="3091"/>
      <c r="I124" s="3092"/>
    </row>
    <row r="125" spans="1:11" ht="18.75" customHeight="1">
      <c r="A125" s="3050" t="s">
        <v>2312</v>
      </c>
      <c r="B125" s="3050"/>
      <c r="C125" s="3050"/>
      <c r="D125" s="3095" t="e">
        <f>NUMBERSTRING(INT(D124*10000),2)&amp;"元整"</f>
        <v>#VALUE!</v>
      </c>
      <c r="E125" s="3097"/>
      <c r="F125" s="3097"/>
      <c r="G125" s="3097"/>
      <c r="H125" s="3097"/>
      <c r="I125" s="3096"/>
    </row>
    <row r="126" spans="1:11" ht="18.75" customHeight="1">
      <c r="A126" s="3101" t="str">
        <f>IF(项目基本情况!B9="房地产市场价值","",MID(E111,3,LEN(E111)-2))</f>
        <v/>
      </c>
      <c r="B126" s="3101"/>
      <c r="C126" s="3101"/>
      <c r="D126" s="3090" t="str">
        <f>H111</f>
        <v>——</v>
      </c>
      <c r="E126" s="3091"/>
      <c r="F126" s="3091"/>
      <c r="G126" s="3091"/>
      <c r="H126" s="3091"/>
      <c r="I126" s="3092"/>
    </row>
    <row r="127" spans="1:11" ht="18.75" customHeight="1">
      <c r="A127" s="3050" t="s">
        <v>2312</v>
      </c>
      <c r="B127" s="3050"/>
      <c r="C127" s="3050"/>
      <c r="D127" s="3095" t="e">
        <f>NUMBERSTRING(INT(D126*10000),2)&amp;"元整"</f>
        <v>#VALUE!</v>
      </c>
      <c r="E127" s="3097"/>
      <c r="F127" s="3097"/>
      <c r="G127" s="3097"/>
      <c r="H127" s="3097"/>
      <c r="I127" s="3096"/>
    </row>
    <row r="128" spans="1:11" ht="21.75" customHeight="1">
      <c r="A128" s="3098" t="s">
        <v>2313</v>
      </c>
      <c r="B128" s="3098"/>
      <c r="C128" s="3098"/>
      <c r="D128" s="3098"/>
      <c r="E128" s="3098"/>
      <c r="F128" s="3098"/>
      <c r="G128" s="3098"/>
      <c r="H128" s="3098"/>
      <c r="I128" s="3098"/>
    </row>
    <row r="129" spans="1:35" ht="21.75" customHeight="1">
      <c r="A129" s="2526" t="s">
        <v>2314</v>
      </c>
      <c r="B129" s="2527"/>
      <c r="C129" s="2528" t="s">
        <v>2315</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2316</v>
      </c>
      <c r="G135" s="2543"/>
      <c r="H135" s="2543"/>
      <c r="I135" s="2544" t="s">
        <v>2317</v>
      </c>
    </row>
    <row r="136" spans="1:35" ht="21.75" customHeight="1">
      <c r="A136" s="795"/>
      <c r="B136" s="2545"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2319</v>
      </c>
    </row>
    <row r="139" spans="1:35" ht="21.75" customHeight="1">
      <c r="A139" s="795"/>
      <c r="B139" s="2545" t="s">
        <v>2320</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2319</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1" sqref="B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2321</v>
      </c>
      <c r="B1" s="1935" t="s">
        <v>3057</v>
      </c>
      <c r="C1" s="2554" t="s">
        <v>2423</v>
      </c>
      <c r="D1" s="242"/>
      <c r="E1" s="242"/>
      <c r="F1" s="242"/>
      <c r="G1" s="1378">
        <f>MATCH(B1,'数据-取费表'!A6:A16,0)+5</f>
        <v>6</v>
      </c>
      <c r="H1" s="1281" t="str">
        <f>IF(ISERROR(FIND("住宅",B1)),"非住宅","住宅")</f>
        <v>住宅</v>
      </c>
    </row>
    <row r="2" spans="1:8" s="244" customFormat="1" ht="18" customHeight="1">
      <c r="A2" s="245" t="s">
        <v>2322</v>
      </c>
      <c r="B2" s="246">
        <f ca="1">ROUND(IF(D2="——",C52/10000,C52/10000-E2),0)</f>
        <v>267</v>
      </c>
      <c r="C2" s="243" t="s">
        <v>2323</v>
      </c>
      <c r="D2" s="2548" t="s">
        <v>70</v>
      </c>
      <c r="E2" s="1439" t="e">
        <f ca="1">SUMIF(INDIRECT("'"&amp;G2&amp;"'"&amp;"!A:A"),"承租人权益价值",INDIRECT("'"&amp;G2&amp;"'"&amp;"!c:c"))</f>
        <v>#REF!</v>
      </c>
      <c r="F2" s="2549" t="s">
        <v>2323</v>
      </c>
      <c r="G2" s="2550"/>
    </row>
    <row r="3" spans="1:8" s="244" customFormat="1" ht="18" customHeight="1" thickBot="1">
      <c r="A3" s="247" t="s">
        <v>2324</v>
      </c>
      <c r="B3" s="248">
        <f ca="1">ROUND(B2*10000/(IF(B1="",'数据-汇总表'!E3,INDIRECT("'数据-取费表'!k"&amp;$G$1))),0)</f>
        <v>41077</v>
      </c>
      <c r="C3" s="243" t="s">
        <v>2325</v>
      </c>
      <c r="D3" s="243"/>
      <c r="E3" s="243"/>
      <c r="F3" s="243"/>
      <c r="G3" s="243"/>
    </row>
    <row r="4" spans="1:8" s="252" customFormat="1" ht="16.2">
      <c r="A4" s="249" t="s">
        <v>2326</v>
      </c>
      <c r="B4" s="250"/>
      <c r="C4" s="250"/>
      <c r="D4" s="250"/>
      <c r="E4" s="250"/>
      <c r="F4" s="250"/>
      <c r="G4" s="251"/>
    </row>
    <row r="5" spans="1:8" s="258" customFormat="1" ht="13.5" customHeight="1">
      <c r="A5" s="299" t="s">
        <v>2327</v>
      </c>
      <c r="B5" s="254" t="s">
        <v>2328</v>
      </c>
      <c r="C5" s="255">
        <f ca="1">C6+C7+C8</f>
        <v>1722205</v>
      </c>
      <c r="D5" s="255" t="s">
        <v>2329</v>
      </c>
      <c r="E5" s="256" t="s">
        <v>2330</v>
      </c>
      <c r="F5" s="256" t="s">
        <v>2331</v>
      </c>
      <c r="G5" s="257"/>
    </row>
    <row r="6" spans="1:8" s="258" customFormat="1" ht="13.5" customHeight="1">
      <c r="A6" s="949" t="s">
        <v>2332</v>
      </c>
      <c r="B6" s="259" t="s">
        <v>2333</v>
      </c>
      <c r="C6" s="260">
        <f ca="1">基准地价修正!C29*基准地价修正!D29</f>
        <v>1661140</v>
      </c>
      <c r="D6" s="261"/>
      <c r="E6" s="262"/>
      <c r="F6" s="262"/>
      <c r="G6" s="263"/>
    </row>
    <row r="7" spans="1:8" s="258" customFormat="1" ht="13.5" customHeight="1">
      <c r="A7" s="949" t="s">
        <v>2334</v>
      </c>
      <c r="B7" s="259" t="s">
        <v>2335</v>
      </c>
      <c r="C7" s="264">
        <f ca="1">ROUND(C6*F7,0)</f>
        <v>50665</v>
      </c>
      <c r="D7" s="264"/>
      <c r="E7" s="262"/>
      <c r="F7" s="265">
        <f>IF(项目基本情况!B8="出让",0,'数据-取费表'!B48+'数据-取费表'!B49)</f>
        <v>3.0499999999999999E-2</v>
      </c>
      <c r="G7" s="263"/>
    </row>
    <row r="8" spans="1:8" s="267" customFormat="1">
      <c r="A8" s="949" t="s">
        <v>2336</v>
      </c>
      <c r="B8" s="259" t="s">
        <v>2337</v>
      </c>
      <c r="C8" s="264">
        <f ca="1">IF(G8="已包含在土地购买价格中",0,C9+C10)</f>
        <v>10400</v>
      </c>
      <c r="D8" s="266"/>
      <c r="E8" s="264"/>
      <c r="F8" s="265"/>
      <c r="G8" s="2551" t="s">
        <v>3078</v>
      </c>
    </row>
    <row r="9" spans="1:8" s="258" customFormat="1" ht="13.5" customHeight="1">
      <c r="A9" s="950" t="s">
        <v>800</v>
      </c>
      <c r="B9" s="268" t="s">
        <v>2338</v>
      </c>
      <c r="C9" s="269">
        <f ca="1">ROUND(D9*E9,0)</f>
        <v>10400</v>
      </c>
      <c r="D9" s="1032">
        <f ca="1">IF(B1="",'数据-汇总表'!E5,IF(INDIRECT("'数据-取费表'!c"&amp;$G$1)="住宅",INDIRECT("'数据-取费表'!k"&amp;$G$1),0))</f>
        <v>65</v>
      </c>
      <c r="E9" s="269">
        <f>'数据-取费表'!B27</f>
        <v>160</v>
      </c>
      <c r="F9" s="265"/>
      <c r="G9" s="270"/>
    </row>
    <row r="10" spans="1:8" s="258" customFormat="1" ht="13.5" customHeight="1">
      <c r="A10" s="950" t="s">
        <v>801</v>
      </c>
      <c r="B10" s="268" t="s">
        <v>2340</v>
      </c>
      <c r="C10" s="269">
        <f ca="1">ROUND(D10*E10,0)</f>
        <v>0</v>
      </c>
      <c r="D10" s="1032">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t="str">
        <f>IF(G19="已包含在土地取得成本中","0",ROUND(D19*E19,0))</f>
        <v>0</v>
      </c>
      <c r="D19" s="1036">
        <f ca="1">D9+D10</f>
        <v>65</v>
      </c>
      <c r="E19" s="255">
        <f>'数据-取费表'!B31</f>
        <v>0</v>
      </c>
      <c r="F19" s="275"/>
      <c r="G19" s="2551" t="s">
        <v>3079</v>
      </c>
    </row>
    <row r="20" spans="1:7" s="258" customFormat="1" ht="13.5" customHeight="1">
      <c r="A20" s="299" t="s">
        <v>2434</v>
      </c>
      <c r="B20" s="254" t="s">
        <v>2435</v>
      </c>
      <c r="C20" s="276">
        <f ca="1">ROUND((C5+C19)*F20,0)</f>
        <v>34444</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79">
        <f ca="1">ROUND(SUM(C23:C25),0)</f>
        <v>169131</v>
      </c>
      <c r="D22" s="279">
        <f ca="1">C26</f>
        <v>1E-3</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0">
        <f ca="1">ROUND(IF('数据-取费表'!B22&lt;=1,C5*F22*'数据-取费表'!B22,C5*(POWER((1+F22),'数据-取费表'!B22)-1)),0)</f>
        <v>167495</v>
      </c>
      <c r="D23" s="282"/>
      <c r="E23" s="282"/>
      <c r="F23" s="283"/>
      <c r="G23" s="284" t="s">
        <v>2444</v>
      </c>
    </row>
    <row r="24" spans="1:7" s="258" customFormat="1" ht="13.5" customHeight="1">
      <c r="A24" s="951" t="s">
        <v>2334</v>
      </c>
      <c r="B24" s="259" t="s">
        <v>2445</v>
      </c>
      <c r="C24" s="1380">
        <f ca="1">ROUND(IF('数据-取费表'!B22&lt;=1,C19*F22*('数据-取费表'!B19/2+'数据-取费表'!B20),C19*(POWER((1+F22),('数据-取费表'!B19/2+'数据-取费表'!B20))-1)),0)</f>
        <v>0</v>
      </c>
      <c r="D24" s="282"/>
      <c r="E24" s="282"/>
      <c r="F24" s="283"/>
      <c r="G24" s="284" t="s">
        <v>2446</v>
      </c>
    </row>
    <row r="25" spans="1:7" s="258" customFormat="1" ht="24">
      <c r="A25" s="951" t="s">
        <v>2336</v>
      </c>
      <c r="B25" s="259" t="s">
        <v>2447</v>
      </c>
      <c r="C25" s="1380">
        <f ca="1">ROUND(IF('数据-取费表'!B22&lt;=1,C20*F22*'数据-取费表'!B22/2,C20*(POWER((1+F22),'数据-取费表'!B22/2)-1)),0)</f>
        <v>1636</v>
      </c>
      <c r="D25" s="282"/>
      <c r="E25" s="285"/>
      <c r="F25" s="283"/>
      <c r="G25" s="286" t="s">
        <v>2448</v>
      </c>
    </row>
    <row r="26" spans="1:7" s="258" customFormat="1">
      <c r="A26" s="951" t="s">
        <v>795</v>
      </c>
      <c r="B26" s="259" t="s">
        <v>2371</v>
      </c>
      <c r="C26" s="282">
        <f ca="1">ROUND(IF('数据-取费表'!B22&lt;=1,F21*F22*'数据-取费表'!B22/2,F21*(POWER((1+F22),'数据-取费表'!B22/2)-1)),4)</f>
        <v>1E-3</v>
      </c>
      <c r="D26" s="282"/>
      <c r="E26" s="285"/>
      <c r="F26" s="283"/>
      <c r="G26" s="287"/>
    </row>
    <row r="27" spans="1:7" s="258" customFormat="1" ht="26.4">
      <c r="A27" s="299" t="s">
        <v>2372</v>
      </c>
      <c r="B27" s="288" t="s">
        <v>2373</v>
      </c>
      <c r="C27" s="289">
        <f ca="1">C28</f>
        <v>351330</v>
      </c>
      <c r="D27" s="279">
        <f ca="1">C29</f>
        <v>4.0000000000000001E-3</v>
      </c>
      <c r="E27" s="280" t="s">
        <v>2374</v>
      </c>
      <c r="F27" s="290">
        <f ca="1">IF(B1="",'数据-取费表'!Q16,INDIRECT("'数据-取费表'!q"&amp;$G$1))</f>
        <v>0.2</v>
      </c>
      <c r="G27" s="291" t="s">
        <v>2375</v>
      </c>
    </row>
    <row r="28" spans="1:7" s="258" customFormat="1" ht="13.5" customHeight="1">
      <c r="A28" s="951" t="s">
        <v>791</v>
      </c>
      <c r="B28" s="292" t="s">
        <v>2376</v>
      </c>
      <c r="C28" s="293">
        <f ca="1">ROUND((C5+C19+C20)*F27,0)</f>
        <v>351330</v>
      </c>
      <c r="D28" s="279"/>
      <c r="E28" s="280"/>
      <c r="F28" s="290"/>
      <c r="G28" s="291"/>
    </row>
    <row r="29" spans="1:7" s="258" customFormat="1" ht="13.5" customHeight="1">
      <c r="A29" s="951" t="s">
        <v>792</v>
      </c>
      <c r="B29" s="292" t="s">
        <v>2377</v>
      </c>
      <c r="C29" s="282">
        <f ca="1">ROUND(C21*F27,4)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2470554</v>
      </c>
      <c r="D31" s="274"/>
      <c r="E31" s="255"/>
      <c r="F31" s="294"/>
      <c r="G31" s="278" t="s">
        <v>2382</v>
      </c>
    </row>
    <row r="32" spans="1:7" s="252" customFormat="1" ht="16.2">
      <c r="A32" s="296" t="s">
        <v>2449</v>
      </c>
      <c r="B32" s="297"/>
      <c r="C32" s="297"/>
      <c r="D32" s="297"/>
      <c r="E32" s="297"/>
      <c r="F32" s="297"/>
      <c r="G32" s="298"/>
    </row>
    <row r="33" spans="1:7" s="258" customFormat="1" ht="13.5" customHeight="1">
      <c r="A33" s="299" t="s">
        <v>782</v>
      </c>
      <c r="B33" s="254" t="s">
        <v>2450</v>
      </c>
      <c r="C33" s="300">
        <f ca="1">SUM(C34:C38)</f>
        <v>212290</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182000</v>
      </c>
      <c r="D34" s="261"/>
      <c r="E34" s="264"/>
      <c r="F34" s="301"/>
      <c r="G34" s="263"/>
    </row>
    <row r="35" spans="1:7" ht="13.5" customHeight="1">
      <c r="A35" s="951" t="s">
        <v>796</v>
      </c>
      <c r="B35" s="259" t="s">
        <v>2387</v>
      </c>
      <c r="C35" s="264">
        <f ca="1">ROUND(C34*F35,0)</f>
        <v>5460</v>
      </c>
      <c r="D35" s="264"/>
      <c r="E35" s="264"/>
      <c r="F35" s="303">
        <f>'数据-取费表'!B33</f>
        <v>0.03</v>
      </c>
      <c r="G35" s="263" t="s">
        <v>2388</v>
      </c>
    </row>
    <row r="36" spans="1:7" ht="24">
      <c r="A36" s="951" t="s">
        <v>797</v>
      </c>
      <c r="B36" s="259" t="s">
        <v>2389</v>
      </c>
      <c r="C36" s="264">
        <f ca="1">ROUND(IF(B1="",SUM('数据-取费表'!AP6:AP13)*F36,IF(INDIRECT("'数据-取费表'!c"&amp;$G$1)="住宅",INDIRECT("'数据-取费表'!k"&amp;$G$1)*INDIRECT("'数据-取费表'!l"&amp;$G$1)*F36,0)),0)</f>
        <v>9100</v>
      </c>
      <c r="D36" s="264"/>
      <c r="E36" s="264"/>
      <c r="F36" s="303">
        <f>'数据-取费表'!B34</f>
        <v>0.05</v>
      </c>
      <c r="G36" s="304" t="s">
        <v>2390</v>
      </c>
    </row>
    <row r="37" spans="1:7" s="302" customFormat="1" ht="13.5" customHeight="1">
      <c r="A37" s="951" t="s">
        <v>798</v>
      </c>
      <c r="B37" s="259" t="s">
        <v>2391</v>
      </c>
      <c r="C37" s="293">
        <f ca="1">ROUND(E37*D37,0)</f>
        <v>13000</v>
      </c>
      <c r="D37" s="261">
        <f ca="1">D19</f>
        <v>65</v>
      </c>
      <c r="E37" s="293">
        <f>'数据-取费表'!B35</f>
        <v>200</v>
      </c>
      <c r="F37" s="303"/>
      <c r="G37" s="305"/>
    </row>
    <row r="38" spans="1:7" ht="13.5" customHeight="1">
      <c r="A38" s="951" t="s">
        <v>799</v>
      </c>
      <c r="B38" s="259" t="s">
        <v>2393</v>
      </c>
      <c r="C38" s="264">
        <f ca="1">ROUND(C34*F38,0)</f>
        <v>2730</v>
      </c>
      <c r="D38" s="264"/>
      <c r="E38" s="264"/>
      <c r="F38" s="303">
        <f>'数据-取费表'!B36</f>
        <v>1.4999999999999999E-2</v>
      </c>
      <c r="G38" s="263" t="s">
        <v>2388</v>
      </c>
    </row>
    <row r="39" spans="1:7" s="258" customFormat="1" ht="13.5" customHeight="1">
      <c r="A39" s="299" t="s">
        <v>2394</v>
      </c>
      <c r="B39" s="254" t="s">
        <v>2395</v>
      </c>
      <c r="C39" s="276">
        <f ca="1">ROUND(C33*F20,0)</f>
        <v>4246</v>
      </c>
      <c r="D39" s="276"/>
      <c r="E39" s="276"/>
      <c r="F39" s="277"/>
      <c r="G39" s="278" t="s">
        <v>2396</v>
      </c>
    </row>
    <row r="40" spans="1:7" s="258" customFormat="1" ht="13.5" customHeight="1">
      <c r="A40" s="299" t="s">
        <v>2397</v>
      </c>
      <c r="B40" s="254" t="s">
        <v>2398</v>
      </c>
      <c r="C40" s="1727">
        <f>F21</f>
        <v>0.02</v>
      </c>
      <c r="D40" s="280" t="s">
        <v>2399</v>
      </c>
      <c r="E40" s="276"/>
      <c r="F40" s="277"/>
      <c r="G40" s="278" t="s">
        <v>2400</v>
      </c>
    </row>
    <row r="41" spans="1:7" s="258" customFormat="1" ht="13.5" customHeight="1">
      <c r="A41" s="299" t="s">
        <v>2401</v>
      </c>
      <c r="B41" s="254" t="s">
        <v>2402</v>
      </c>
      <c r="C41" s="276">
        <f ca="1">ROUND(SUM(C42:C43),0)</f>
        <v>10286</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10084</v>
      </c>
      <c r="D42" s="282"/>
      <c r="E42" s="282"/>
      <c r="F42" s="283"/>
      <c r="G42" s="3170" t="s">
        <v>2451</v>
      </c>
    </row>
    <row r="43" spans="1:7" ht="13.5" customHeight="1">
      <c r="A43" s="951" t="s">
        <v>792</v>
      </c>
      <c r="B43" s="259" t="s">
        <v>2405</v>
      </c>
      <c r="C43" s="282">
        <f ca="1">ROUND(IF('数据-取费表'!B22&lt;=1,C39*F22*'数据-取费表'!B20/2,C39*(POWER((1+F22),'数据-取费表'!B20/2)-1)),0)</f>
        <v>202</v>
      </c>
      <c r="D43" s="282"/>
      <c r="E43" s="282"/>
      <c r="F43" s="283"/>
      <c r="G43" s="3171"/>
    </row>
    <row r="44" spans="1:7" ht="13.5" customHeight="1">
      <c r="A44" s="951" t="s">
        <v>793</v>
      </c>
      <c r="B44" s="259" t="s">
        <v>2406</v>
      </c>
      <c r="C44" s="282">
        <f ca="1">ROUND(IF('数据-取费表'!B22&lt;=1,C40*F22*'数据-取费表'!B20/2,C40*(POWER((1+F22),'数据-取费表'!B20/2)-1)),4)</f>
        <v>1E-3</v>
      </c>
      <c r="D44" s="282"/>
      <c r="E44" s="282"/>
      <c r="F44" s="283"/>
      <c r="G44" s="3172"/>
    </row>
    <row r="45" spans="1:7" s="258" customFormat="1" ht="13.5" customHeight="1">
      <c r="A45" s="299" t="s">
        <v>2407</v>
      </c>
      <c r="B45" s="288" t="s">
        <v>2373</v>
      </c>
      <c r="C45" s="289">
        <f ca="1">C46</f>
        <v>43307</v>
      </c>
      <c r="D45" s="279">
        <f ca="1">C47</f>
        <v>4.0000000000000001E-3</v>
      </c>
      <c r="E45" s="280" t="s">
        <v>2399</v>
      </c>
      <c r="F45" s="290"/>
      <c r="G45" s="291" t="s">
        <v>2408</v>
      </c>
    </row>
    <row r="46" spans="1:7" s="258" customFormat="1" ht="13.5" customHeight="1">
      <c r="A46" s="951" t="s">
        <v>791</v>
      </c>
      <c r="B46" s="292" t="s">
        <v>2409</v>
      </c>
      <c r="C46" s="293">
        <f ca="1">ROUND((C33+C39)*F27,0)</f>
        <v>43307</v>
      </c>
      <c r="D46" s="307"/>
      <c r="E46" s="280"/>
      <c r="F46" s="290"/>
      <c r="G46" s="291"/>
    </row>
    <row r="47" spans="1:7" s="258" customFormat="1" ht="13.5" customHeight="1">
      <c r="A47" s="951" t="s">
        <v>792</v>
      </c>
      <c r="B47" s="292" t="s">
        <v>2410</v>
      </c>
      <c r="C47" s="282">
        <f ca="1">ROUND(C40*F27,4)</f>
        <v>4.0000000000000001E-3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293077</v>
      </c>
      <c r="D49" s="276"/>
      <c r="E49" s="276"/>
      <c r="F49" s="308"/>
      <c r="G49" s="278" t="s">
        <v>2414</v>
      </c>
    </row>
    <row r="50" spans="1:7" s="302" customFormat="1">
      <c r="A50" s="299" t="s">
        <v>2415</v>
      </c>
      <c r="B50" s="254" t="s">
        <v>2416</v>
      </c>
      <c r="C50" s="276"/>
      <c r="D50" s="276"/>
      <c r="E50" s="276"/>
      <c r="F50" s="308">
        <f>IF('数据-取费表'!B24=0,'数据-取费表'!N16,1)</f>
        <v>0.69</v>
      </c>
      <c r="G50" s="291"/>
    </row>
    <row r="51" spans="1:7" ht="16.5" customHeight="1">
      <c r="A51" s="299" t="s">
        <v>2418</v>
      </c>
      <c r="B51" s="254" t="s">
        <v>2453</v>
      </c>
      <c r="C51" s="276">
        <f ca="1">ROUND(C49*F50,0)</f>
        <v>202223</v>
      </c>
      <c r="D51" s="276"/>
      <c r="E51" s="276"/>
      <c r="F51" s="308"/>
      <c r="G51" s="278" t="s">
        <v>2420</v>
      </c>
    </row>
    <row r="52" spans="1:7" s="252" customFormat="1" ht="16.8" thickBot="1">
      <c r="A52" s="309" t="s">
        <v>2421</v>
      </c>
      <c r="B52" s="310"/>
      <c r="C52" s="311">
        <f ca="1">C31+C51</f>
        <v>2672777</v>
      </c>
      <c r="D52" s="310"/>
      <c r="E52" s="310"/>
      <c r="F52" s="310"/>
      <c r="G52" s="312"/>
    </row>
    <row r="55" spans="1:7" ht="15">
      <c r="B55" s="314" t="s">
        <v>2422</v>
      </c>
      <c r="C55" s="315"/>
    </row>
    <row r="56" spans="1:7">
      <c r="B56" s="317" t="s">
        <v>1507</v>
      </c>
      <c r="C56" s="319">
        <f ca="1">1-C57</f>
        <v>0.92400000000000004</v>
      </c>
    </row>
    <row r="57" spans="1:7">
      <c r="B57" s="317" t="s">
        <v>1508</v>
      </c>
      <c r="C57" s="318">
        <f ca="1">ROUND(C51/C52,3)</f>
        <v>7.5999999999999998E-2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2454</v>
      </c>
      <c r="B1" s="1580"/>
      <c r="C1" s="1581"/>
      <c r="D1" s="1579"/>
      <c r="E1" s="320"/>
      <c r="F1" s="320"/>
      <c r="G1" s="1580"/>
      <c r="H1" s="320"/>
      <c r="I1" s="320"/>
      <c r="J1" s="320"/>
      <c r="K1" s="320">
        <f>MATCH(C1,'数据-取费表'!A6:A16,0)+5</f>
        <v>8</v>
      </c>
    </row>
    <row r="2" spans="1:33" ht="18" customHeight="1">
      <c r="A2" s="245" t="s">
        <v>2322</v>
      </c>
      <c r="B2" s="248">
        <f ca="1">C32</f>
        <v>-212</v>
      </c>
      <c r="C2" s="320" t="s">
        <v>2455</v>
      </c>
      <c r="D2" s="320"/>
      <c r="E2" s="320"/>
      <c r="F2" s="320"/>
      <c r="G2" s="320"/>
      <c r="H2" s="320"/>
      <c r="I2" s="320"/>
      <c r="J2" s="320"/>
      <c r="K2" s="320"/>
    </row>
    <row r="3" spans="1:33" ht="18" customHeight="1" thickBot="1">
      <c r="A3" s="247" t="s">
        <v>2324</v>
      </c>
      <c r="B3" s="248">
        <f ca="1">ROUND(B2*10000/IF(C1="",'数据-汇总表'!E3,INDIRECT("'数据-取费表'!K"&amp;$K$1)),0)</f>
        <v>-476</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5.2">
      <c r="A5" s="957" t="s">
        <v>2458</v>
      </c>
      <c r="B5" s="958" t="s">
        <v>2459</v>
      </c>
      <c r="C5" s="2555" t="s">
        <v>2460</v>
      </c>
      <c r="D5" s="2555" t="s">
        <v>2461</v>
      </c>
      <c r="E5" s="2555" t="s">
        <v>2462</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1329</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2476</v>
      </c>
      <c r="C12" s="24">
        <f ca="1">ROUND(C11*F12,0)</f>
        <v>0</v>
      </c>
      <c r="D12" s="973"/>
      <c r="E12" s="375"/>
      <c r="F12" s="976">
        <f>'数据-取费表'!B33</f>
        <v>0.03</v>
      </c>
      <c r="G12" s="8" t="s">
        <v>2477</v>
      </c>
      <c r="H12" s="968"/>
      <c r="I12" s="968"/>
      <c r="J12" s="968"/>
      <c r="K12" s="969"/>
    </row>
    <row r="13" spans="1:33" s="975" customFormat="1" ht="13.5" customHeight="1">
      <c r="A13" s="971" t="s">
        <v>1331</v>
      </c>
      <c r="B13" s="972" t="s">
        <v>2478</v>
      </c>
      <c r="C13" s="24">
        <f ca="1">ROUND(IF(C1="",SUMIF('数据-取费表'!C:C,"住宅",'数据-取费表'!P:P)*F13,IF(INDIRECT("'数据-取费表'!c"&amp;$K$1)="住宅",INDIRECT("'数据-取费表'!P"&amp;$K$1)*F13,0)),0)</f>
        <v>0</v>
      </c>
      <c r="D13" s="1033"/>
      <c r="E13" s="375"/>
      <c r="F13" s="976">
        <f>'数据-取费表'!B34</f>
        <v>0.05</v>
      </c>
      <c r="G13" s="8" t="s">
        <v>2479</v>
      </c>
      <c r="H13" s="968"/>
      <c r="I13" s="968"/>
      <c r="J13" s="968"/>
      <c r="K13" s="969"/>
    </row>
    <row r="14" spans="1:33" s="977" customFormat="1" ht="13.5" customHeight="1">
      <c r="A14" s="971" t="s">
        <v>1332</v>
      </c>
      <c r="B14" s="972" t="s">
        <v>2480</v>
      </c>
      <c r="C14" s="24">
        <f ca="1">ROUND(D14*E14*F11/10000,0)</f>
        <v>0</v>
      </c>
      <c r="D14" s="1033">
        <f ca="1">IF(C1="",'数据-汇总表'!E3,INDIRECT("'数据-取费表'!K"&amp;$K$1)+INDIRECT("'数据-取费表'!S"&amp;$K$1))</f>
        <v>4457.2</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89</v>
      </c>
      <c r="D17" s="1033">
        <f ca="1">D14</f>
        <v>4457.2</v>
      </c>
      <c r="E17" s="24">
        <f>'数据-取费表'!B32</f>
        <v>200</v>
      </c>
      <c r="F17" s="978"/>
      <c r="G17" s="140" t="s">
        <v>2486</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2487</v>
      </c>
      <c r="C18" s="24">
        <f ca="1">C19+C20-IF(C1="",'数据-取费表'!B29,IF(G18="已全部缴纳",C19+C20,H18))</f>
        <v>89</v>
      </c>
      <c r="D18" s="1033"/>
      <c r="E18" s="24"/>
      <c r="F18" s="976"/>
      <c r="G18" s="2557"/>
      <c r="H18" s="1576"/>
      <c r="I18" s="2558"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2490</v>
      </c>
      <c r="C20" s="24">
        <f ca="1">ROUND(D20*E20/10000,0)</f>
        <v>89</v>
      </c>
      <c r="D20" s="1033">
        <f ca="1">IF(C1="",'数据-汇总表'!E6,IF(INDIRECT("'数据-取费表'!c"&amp;$K$1)="住宅",INDIRECT("'数据-取费表'!s"&amp;$K$1),INDIRECT("'数据-取费表'!k"&amp;$K$1)+INDIRECT("'数据-取费表'!s"&amp;$K$1)))</f>
        <v>4457.2</v>
      </c>
      <c r="E20" s="24">
        <f>'数据-取费表'!B28</f>
        <v>200</v>
      </c>
      <c r="F20" s="976"/>
      <c r="G20" s="15"/>
      <c r="H20" s="981"/>
      <c r="I20" s="981"/>
      <c r="J20" s="981"/>
      <c r="K20" s="982"/>
    </row>
    <row r="21" spans="1:33" s="975" customFormat="1" ht="13.5" customHeight="1">
      <c r="A21" s="961" t="s">
        <v>802</v>
      </c>
      <c r="B21" s="985" t="s">
        <v>2491</v>
      </c>
      <c r="C21" s="986">
        <f ca="1">C16+C17+C18</f>
        <v>178</v>
      </c>
      <c r="D21" s="987"/>
      <c r="E21" s="325"/>
      <c r="F21" s="325"/>
      <c r="G21" s="140" t="s">
        <v>2492</v>
      </c>
      <c r="H21" s="979"/>
      <c r="I21" s="979"/>
      <c r="J21" s="979"/>
      <c r="K21" s="980"/>
    </row>
    <row r="22" spans="1:33" s="975" customFormat="1" ht="13.5" customHeight="1">
      <c r="A22" s="961" t="s">
        <v>2464</v>
      </c>
      <c r="B22" s="985" t="s">
        <v>2493</v>
      </c>
      <c r="C22" s="986">
        <f ca="1">ROUND(C21*F22,0)</f>
        <v>4</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IF(项目基本情况!B8="出让",0,'数据-取费表'!B48+'数据-取费表'!B49)</f>
        <v>3.0499999999999999E-2</v>
      </c>
      <c r="G24" s="8" t="s">
        <v>2499</v>
      </c>
      <c r="H24" s="990"/>
      <c r="I24" s="990"/>
      <c r="J24" s="990"/>
      <c r="K24" s="991"/>
    </row>
    <row r="25" spans="1:33" s="975" customFormat="1" ht="13.5" customHeight="1">
      <c r="A25" s="961" t="s">
        <v>2500</v>
      </c>
      <c r="B25" s="987" t="s">
        <v>2501</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2504</v>
      </c>
      <c r="B28" s="2560" t="s">
        <v>2505</v>
      </c>
      <c r="C28" s="331">
        <f ca="1">C30</f>
        <v>36</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36</v>
      </c>
      <c r="D30" s="328"/>
      <c r="E30" s="329"/>
      <c r="F30" s="334"/>
      <c r="G30" s="140"/>
      <c r="H30" s="979"/>
      <c r="I30" s="979"/>
      <c r="J30" s="979"/>
      <c r="K30" s="980"/>
    </row>
    <row r="31" spans="1:33" s="975" customFormat="1" ht="13.5" customHeight="1" thickBot="1">
      <c r="A31" s="2561" t="s">
        <v>2509</v>
      </c>
      <c r="B31" s="1005" t="s">
        <v>2510</v>
      </c>
      <c r="C31" s="1006">
        <f>ROUND(C4*F31/(1+'数据-取费表'!C42),0)</f>
        <v>0</v>
      </c>
      <c r="D31" s="1007"/>
      <c r="E31" s="1008"/>
      <c r="F31" s="1009">
        <f>'数据-取费表'!B41</f>
        <v>5.6000000000000001E-2</v>
      </c>
      <c r="G31" s="1010" t="s">
        <v>2511</v>
      </c>
      <c r="H31" s="1011"/>
      <c r="I31" s="1011"/>
      <c r="J31" s="1011"/>
      <c r="K31" s="1012"/>
    </row>
    <row r="32" spans="1:33" s="970" customFormat="1" ht="13.5" customHeight="1" thickBot="1">
      <c r="A32" s="1000" t="s">
        <v>2512</v>
      </c>
      <c r="B32" s="1001"/>
      <c r="C32" s="1002">
        <f ca="1">ROUND((C4-C21-C22-C23-C25-C28-C31)/(1+C24+D25+D28),0)</f>
        <v>-212</v>
      </c>
      <c r="D32" s="1001"/>
      <c r="E32" s="1001"/>
      <c r="F32" s="1001"/>
      <c r="G32" s="1003" t="s">
        <v>2513</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29" sqref="C29"/>
    </sheetView>
  </sheetViews>
  <sheetFormatPr defaultColWidth="12" defaultRowHeight="13.2"/>
  <cols>
    <col min="1" max="1" width="9.77734375" style="2788" customWidth="1"/>
    <col min="2" max="2" width="19.21875" style="2894" customWidth="1"/>
    <col min="3" max="4" width="12" style="2720"/>
    <col min="5" max="5" width="14.6640625" style="2720" customWidth="1"/>
    <col min="6" max="8" width="12" style="2720"/>
    <col min="9" max="9" width="12.21875" style="2720" bestFit="1" customWidth="1"/>
    <col min="10" max="10" width="12" style="2720"/>
    <col min="11" max="11" width="8.109375" style="2783" customWidth="1"/>
    <col min="12" max="12" width="12" style="2720"/>
    <col min="13" max="13" width="8.44140625" style="2720" customWidth="1"/>
    <col min="14" max="14" width="9.77734375" style="2720" customWidth="1"/>
    <col min="15" max="25" width="12" style="2720"/>
    <col min="26" max="26" width="9.33203125" style="2788" customWidth="1"/>
    <col min="27" max="32" width="9.33203125" style="1371" customWidth="1"/>
    <col min="33" max="36" width="9.33203125" style="2788" customWidth="1"/>
    <col min="37" max="38" width="9.33203125" style="2720" customWidth="1"/>
    <col min="39" max="16384" width="12" style="2720"/>
  </cols>
  <sheetData>
    <row r="1" spans="1:36" ht="31.2">
      <c r="A1" s="240" t="s">
        <v>2799</v>
      </c>
      <c r="B1" s="241"/>
      <c r="C1" s="245" t="s">
        <v>2800</v>
      </c>
      <c r="D1" s="388">
        <f>SUM(D29:D30,D33:D39)</f>
        <v>65</v>
      </c>
      <c r="E1" s="2717"/>
      <c r="F1" s="2717"/>
      <c r="G1" s="2717"/>
      <c r="H1" s="2717"/>
      <c r="I1" s="2717"/>
      <c r="J1" s="2717"/>
      <c r="K1" s="1369"/>
      <c r="L1" s="2718" t="s">
        <v>2801</v>
      </c>
      <c r="M1" s="1080">
        <f>SUMPRODUCT((区片价!B5:B9=I2)*(区片价!C3:F3=E2)*(区片价!C5:F9))</f>
        <v>0</v>
      </c>
      <c r="N1" s="1083">
        <f>SUMPRODUCT((因素修正幅度!B5:B9=I2)*(因素修正幅度!C3:F3=E2)*(因素修正幅度!C5:F9))</f>
        <v>0</v>
      </c>
      <c r="O1" s="2719"/>
      <c r="P1" s="2719"/>
      <c r="Q1" s="1369"/>
      <c r="R1" s="1601" t="s">
        <v>2802</v>
      </c>
      <c r="S1" s="1601" t="s">
        <v>2803</v>
      </c>
      <c r="T1" s="1601" t="s">
        <v>2804</v>
      </c>
      <c r="U1" s="1601" t="s">
        <v>2805</v>
      </c>
      <c r="V1" s="1601" t="s">
        <v>2806</v>
      </c>
      <c r="W1" s="1605"/>
      <c r="X1" s="1605"/>
      <c r="Y1" s="1605"/>
      <c r="Z1" s="1605"/>
      <c r="AA1" s="1605"/>
      <c r="AB1" s="1605"/>
      <c r="AC1" s="1606"/>
      <c r="AD1" s="1607"/>
      <c r="AE1" s="1607"/>
      <c r="AF1" s="1607"/>
      <c r="AG1" s="1607"/>
      <c r="AH1" s="1607"/>
      <c r="AI1" s="1607"/>
      <c r="AJ1" s="1608"/>
    </row>
    <row r="2" spans="1:36" ht="15.6">
      <c r="A2" s="245" t="s">
        <v>2807</v>
      </c>
      <c r="B2" s="248">
        <f ca="1">C26</f>
        <v>166</v>
      </c>
      <c r="C2" s="2721" t="s">
        <v>2808</v>
      </c>
      <c r="D2" s="2722" t="s">
        <v>2809</v>
      </c>
      <c r="E2" s="2723" t="s">
        <v>3057</v>
      </c>
      <c r="F2" s="2722" t="s">
        <v>2810</v>
      </c>
      <c r="G2" s="2724" t="str">
        <f>IF(E2="商业",项目基本情况!B37,IF(E2="办公",项目基本情况!C37,IF(E2="住宅",项目基本情况!D37,项目基本情况!E37)))</f>
        <v>五级</v>
      </c>
      <c r="H2" s="2722" t="s">
        <v>2811</v>
      </c>
      <c r="I2" s="2724" t="str">
        <f>IF(E2="商业",项目基本情况!B38,IF(E2="办公",项目基本情况!C38,IF(E2="住宅",项目基本情况!D38,项目基本情况!E38)))</f>
        <v>Ⅴ-03</v>
      </c>
      <c r="J2" s="2725"/>
      <c r="K2" s="1369"/>
      <c r="L2" s="2726" t="s">
        <v>2812</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49096</v>
      </c>
      <c r="U2" s="1602"/>
      <c r="V2" s="1601">
        <f ca="1">ROUND(T2*U2/10000,0)</f>
        <v>0</v>
      </c>
      <c r="W2" s="1605"/>
      <c r="X2" s="1605"/>
      <c r="Y2" s="1605"/>
      <c r="Z2" s="1605"/>
      <c r="AA2" s="1605"/>
      <c r="AB2" s="1605"/>
      <c r="AC2" s="1606"/>
      <c r="AD2" s="1607"/>
      <c r="AE2" s="1607"/>
      <c r="AF2" s="1607"/>
      <c r="AG2" s="1607"/>
      <c r="AH2" s="1607"/>
      <c r="AI2" s="1607"/>
      <c r="AJ2" s="1608"/>
    </row>
    <row r="3" spans="1:36" ht="26.4">
      <c r="A3" s="247" t="s">
        <v>2813</v>
      </c>
      <c r="B3" s="248">
        <f ca="1">ROUND(B2*10000/D1,0)</f>
        <v>25538</v>
      </c>
      <c r="C3" s="2721" t="s">
        <v>2814</v>
      </c>
      <c r="D3" s="2722" t="s">
        <v>2815</v>
      </c>
      <c r="E3" s="2727" t="s">
        <v>3059</v>
      </c>
      <c r="F3" s="2728" t="s">
        <v>2816</v>
      </c>
      <c r="G3" s="916">
        <f>IF(F3="宗地容积率",'数据-汇总表'!I4,IF(F3="估价对象容积率",'数据-汇总表'!I6,'数据-汇总表'!I7))</f>
        <v>2.81</v>
      </c>
      <c r="H3" s="198" t="s">
        <v>2817</v>
      </c>
      <c r="I3" s="944"/>
      <c r="J3" s="2725" t="s">
        <v>2818</v>
      </c>
      <c r="K3" s="1369"/>
      <c r="L3" s="2726" t="s">
        <v>2819</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35241</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189"/>
      <c r="B4" s="3190"/>
      <c r="C4" s="3190"/>
      <c r="D4" s="3191"/>
      <c r="E4" s="3191"/>
      <c r="F4" s="3191"/>
      <c r="G4" s="3191"/>
      <c r="H4" s="3191"/>
      <c r="I4" s="3191"/>
      <c r="J4" s="3192"/>
      <c r="K4" s="1369"/>
      <c r="L4" s="2726" t="s">
        <v>2820</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28431</v>
      </c>
      <c r="U4" s="1602"/>
      <c r="V4" s="1601">
        <f t="shared" ca="1" si="1"/>
        <v>0</v>
      </c>
      <c r="W4" s="1605"/>
      <c r="X4" s="1605"/>
      <c r="Y4" s="1605"/>
      <c r="Z4" s="1605"/>
      <c r="AA4" s="1605"/>
      <c r="AB4" s="1605"/>
      <c r="AC4" s="1606"/>
      <c r="AD4" s="1607"/>
      <c r="AE4" s="1607"/>
      <c r="AF4" s="1607"/>
      <c r="AG4" s="1607"/>
      <c r="AH4" s="1607"/>
      <c r="AI4" s="1607"/>
      <c r="AJ4" s="1608"/>
    </row>
    <row r="5" spans="1:36" s="2738" customFormat="1" ht="15.6" thickBot="1">
      <c r="A5" s="2729" t="s">
        <v>807</v>
      </c>
      <c r="B5" s="2730" t="s">
        <v>2821</v>
      </c>
      <c r="C5" s="917">
        <f>ROUND(IF(E2="商业",C6*C7+C16,(IF(E2="住宅",C6*C12+C16,C6+C16))),0)</f>
        <v>16651</v>
      </c>
      <c r="D5" s="1786">
        <f>ROUND(C6+C16,0)</f>
        <v>12510</v>
      </c>
      <c r="E5" s="1786"/>
      <c r="F5" s="2731"/>
      <c r="G5" s="2732"/>
      <c r="H5" s="2732"/>
      <c r="I5" s="2732"/>
      <c r="J5" s="2733"/>
      <c r="K5" s="2734"/>
      <c r="L5" s="2726" t="s">
        <v>2822</v>
      </c>
      <c r="M5" s="1081">
        <f>SUMPRODUCT((区片价!B76:B109=I2)*(区片价!C3:F3=E2)*(区片价!C76:F109))</f>
        <v>12510</v>
      </c>
      <c r="N5" s="1083">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22813</v>
      </c>
      <c r="U5" s="1602"/>
      <c r="V5" s="1601">
        <f t="shared" ca="1" si="1"/>
        <v>0</v>
      </c>
      <c r="W5" s="1605"/>
      <c r="X5" s="1605"/>
      <c r="Y5" s="1605"/>
      <c r="Z5" s="1605"/>
      <c r="AA5" s="1605"/>
      <c r="AB5" s="1605"/>
      <c r="AC5" s="2735"/>
      <c r="AD5" s="2736"/>
      <c r="AE5" s="2736"/>
      <c r="AF5" s="2736"/>
      <c r="AG5" s="2736"/>
      <c r="AH5" s="2736"/>
      <c r="AI5" s="2736"/>
      <c r="AJ5" s="2737"/>
    </row>
    <row r="6" spans="1:36" ht="15.6" thickBot="1">
      <c r="A6" s="2739" t="s">
        <v>2823</v>
      </c>
      <c r="B6" s="2740" t="s">
        <v>2824</v>
      </c>
      <c r="C6" s="918">
        <f>SUMIF(L1:L12,G2,M1:M12)</f>
        <v>12510</v>
      </c>
      <c r="D6" s="2741" t="s">
        <v>2825</v>
      </c>
      <c r="E6" s="2742"/>
      <c r="F6" s="2742"/>
      <c r="G6" s="2743"/>
      <c r="H6" s="2743"/>
      <c r="I6" s="2743"/>
      <c r="J6" s="2744"/>
      <c r="K6" s="1841"/>
      <c r="L6" s="2726" t="s">
        <v>2826</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19426</v>
      </c>
      <c r="U6" s="1602"/>
      <c r="V6" s="1601">
        <f t="shared" ca="1" si="1"/>
        <v>0</v>
      </c>
      <c r="W6" s="1605"/>
      <c r="X6" s="1605"/>
      <c r="Y6" s="1605"/>
      <c r="Z6" s="1605"/>
      <c r="AA6" s="1605"/>
      <c r="AB6" s="1605"/>
      <c r="AC6" s="2735"/>
      <c r="AD6" s="2736"/>
      <c r="AE6" s="2736"/>
      <c r="AF6" s="2736"/>
      <c r="AG6" s="2736"/>
      <c r="AH6" s="2736"/>
      <c r="AI6" s="2736"/>
      <c r="AJ6" s="2737"/>
    </row>
    <row r="7" spans="1:36" ht="24">
      <c r="A7" s="3173" t="str">
        <f>IF(E2="商业",IF(C8="不临58条商业街","",2),"")</f>
        <v/>
      </c>
      <c r="B7" s="2745" t="s">
        <v>2827</v>
      </c>
      <c r="C7" s="919" t="e">
        <f>IF(C8="不临58条商业街",1,ROUND(1+(1.6*E8+1.2*E9+0.8*E10+0.4*E11)*C9,4))</f>
        <v>#DIV/0!</v>
      </c>
      <c r="D7" s="2746" t="s">
        <v>2828</v>
      </c>
      <c r="E7" s="945"/>
      <c r="F7" s="2747"/>
      <c r="G7" s="2748"/>
      <c r="H7" s="2748"/>
      <c r="I7" s="2748"/>
      <c r="J7" s="2749"/>
      <c r="K7" s="1841"/>
      <c r="L7" s="2726" t="s">
        <v>2829</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17083</v>
      </c>
      <c r="U7" s="1602"/>
      <c r="V7" s="1601">
        <f t="shared" ca="1" si="1"/>
        <v>0</v>
      </c>
      <c r="W7" s="1815" t="s">
        <v>2830</v>
      </c>
      <c r="X7" s="1603" t="str">
        <f>G2</f>
        <v>五级</v>
      </c>
      <c r="Y7" s="1603" t="s">
        <v>2831</v>
      </c>
      <c r="Z7" s="1604">
        <f>G3</f>
        <v>2.81</v>
      </c>
      <c r="AA7" s="1605"/>
      <c r="AB7" s="1605"/>
      <c r="AC7" s="1606"/>
      <c r="AD7" s="1607"/>
      <c r="AE7" s="1607"/>
      <c r="AF7" s="1607"/>
      <c r="AG7" s="1607"/>
      <c r="AH7" s="1607"/>
      <c r="AI7" s="1607"/>
      <c r="AJ7" s="1608"/>
    </row>
    <row r="8" spans="1:36" ht="15">
      <c r="A8" s="3193"/>
      <c r="B8" s="198" t="s">
        <v>2832</v>
      </c>
      <c r="C8" s="2750"/>
      <c r="D8" s="920" t="s">
        <v>139</v>
      </c>
      <c r="E8" s="921" t="e">
        <f>ROUND(C11/E7,4)</f>
        <v>#DIV/0!</v>
      </c>
      <c r="F8" s="2751" t="s">
        <v>2833</v>
      </c>
      <c r="G8" s="2752"/>
      <c r="H8" s="2752"/>
      <c r="I8" s="2752"/>
      <c r="J8" s="2753"/>
      <c r="K8" s="1369"/>
      <c r="L8" s="2726" t="s">
        <v>2834</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186" t="s">
        <v>2835</v>
      </c>
      <c r="X8" s="3187"/>
      <c r="Y8" s="1609" t="s">
        <v>2836</v>
      </c>
      <c r="Z8" s="1609" t="s">
        <v>2837</v>
      </c>
      <c r="AA8" s="1609" t="s">
        <v>2838</v>
      </c>
      <c r="AB8" s="1609" t="s">
        <v>2839</v>
      </c>
      <c r="AC8" s="1609" t="s">
        <v>2840</v>
      </c>
      <c r="AD8" s="1609" t="s">
        <v>2841</v>
      </c>
      <c r="AE8" s="1609" t="s">
        <v>2842</v>
      </c>
      <c r="AF8" s="1609" t="s">
        <v>2843</v>
      </c>
      <c r="AG8" s="1609" t="s">
        <v>2844</v>
      </c>
      <c r="AH8" s="1609" t="s">
        <v>2845</v>
      </c>
      <c r="AI8" s="1609" t="s">
        <v>2846</v>
      </c>
      <c r="AJ8" s="1609" t="s">
        <v>2847</v>
      </c>
    </row>
    <row r="9" spans="1:36" ht="15">
      <c r="A9" s="3193"/>
      <c r="B9" s="198" t="s">
        <v>2848</v>
      </c>
      <c r="C9" s="922">
        <f>SUMIF(修正!C59:C119,C8,修正!E59:E119)</f>
        <v>0</v>
      </c>
      <c r="D9" s="200" t="s">
        <v>140</v>
      </c>
      <c r="E9" s="200" t="e">
        <f>ROUND(C11/E7,4)</f>
        <v>#DIV/0!</v>
      </c>
      <c r="F9" s="2751" t="s">
        <v>2849</v>
      </c>
      <c r="G9" s="2752"/>
      <c r="H9" s="2752"/>
      <c r="I9" s="2752"/>
      <c r="J9" s="2753"/>
      <c r="K9" s="1369"/>
      <c r="L9" s="2726" t="s">
        <v>2850</v>
      </c>
      <c r="M9" s="1081">
        <f>SUMPRODUCT((区片价!B245:B289=I2)*(区片价!C3:F3=E2)*(区片价!C245:F289))</f>
        <v>0</v>
      </c>
      <c r="N9" s="1083">
        <f>SUMPRODUCT((因素修正幅度!B245:B289=I2)*(因素修正幅度!C3:F3=E2)*(因素修正幅度!C245:F289))</f>
        <v>0</v>
      </c>
      <c r="O9" s="1369"/>
      <c r="P9" s="1369"/>
      <c r="Q9" s="1369"/>
      <c r="R9" s="1601">
        <v>8</v>
      </c>
      <c r="S9" s="1602"/>
      <c r="T9" s="1601">
        <f t="shared" ca="1" si="0"/>
        <v>0</v>
      </c>
      <c r="U9" s="1602"/>
      <c r="V9" s="1601">
        <f t="shared" ca="1" si="1"/>
        <v>0</v>
      </c>
      <c r="W9" s="3188" t="s">
        <v>2851</v>
      </c>
      <c r="X9" s="1610" t="s">
        <v>2852</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93"/>
      <c r="B10" s="198" t="s">
        <v>2853</v>
      </c>
      <c r="C10" s="200">
        <f>SUMIF(修正!C59:C119,C8,修正!F59:F119)</f>
        <v>0</v>
      </c>
      <c r="D10" s="200" t="s">
        <v>141</v>
      </c>
      <c r="E10" s="200" t="e">
        <f>ROUND(C11/E7,4)</f>
        <v>#DIV/0!</v>
      </c>
      <c r="F10" s="2751" t="s">
        <v>2854</v>
      </c>
      <c r="G10" s="2752"/>
      <c r="H10" s="2752"/>
      <c r="I10" s="2752"/>
      <c r="J10" s="2753"/>
      <c r="K10" s="1369"/>
      <c r="L10" s="2726" t="s">
        <v>2855</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18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193"/>
      <c r="B11" s="2754" t="s">
        <v>2856</v>
      </c>
      <c r="C11" s="923">
        <f>C10/4</f>
        <v>0</v>
      </c>
      <c r="D11" s="923" t="s">
        <v>142</v>
      </c>
      <c r="E11" s="923" t="e">
        <f>ROUND(C11/E7,4)</f>
        <v>#DIV/0!</v>
      </c>
      <c r="F11" s="2755" t="s">
        <v>2857</v>
      </c>
      <c r="G11" s="2756"/>
      <c r="H11" s="2756"/>
      <c r="I11" s="2756"/>
      <c r="J11" s="2757"/>
      <c r="K11" s="1369"/>
      <c r="L11" s="2726" t="s">
        <v>2858</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188" t="s">
        <v>2859</v>
      </c>
      <c r="X11" s="1613" t="s">
        <v>2860</v>
      </c>
      <c r="Y11" s="1614">
        <f>$G$3</f>
        <v>2.81</v>
      </c>
      <c r="Z11" s="1614">
        <f t="shared" ref="Z11:AJ11" si="3">$G$3</f>
        <v>2.81</v>
      </c>
      <c r="AA11" s="1614">
        <f t="shared" si="3"/>
        <v>2.81</v>
      </c>
      <c r="AB11" s="1614">
        <f t="shared" si="3"/>
        <v>2.81</v>
      </c>
      <c r="AC11" s="1614">
        <f t="shared" si="3"/>
        <v>2.81</v>
      </c>
      <c r="AD11" s="1614">
        <f t="shared" si="3"/>
        <v>2.81</v>
      </c>
      <c r="AE11" s="1614">
        <f t="shared" si="3"/>
        <v>2.81</v>
      </c>
      <c r="AF11" s="1614">
        <f t="shared" si="3"/>
        <v>2.81</v>
      </c>
      <c r="AG11" s="1614">
        <f t="shared" si="3"/>
        <v>2.81</v>
      </c>
      <c r="AH11" s="1614">
        <f t="shared" si="3"/>
        <v>2.81</v>
      </c>
      <c r="AI11" s="1614">
        <f t="shared" si="3"/>
        <v>2.81</v>
      </c>
      <c r="AJ11" s="1614">
        <f t="shared" si="3"/>
        <v>2.81</v>
      </c>
    </row>
    <row r="12" spans="1:36" ht="25.8" thickBot="1">
      <c r="A12" s="3173" t="s">
        <v>2861</v>
      </c>
      <c r="B12" s="2758" t="s">
        <v>2862</v>
      </c>
      <c r="C12" s="919">
        <f>ROUND(C15*D15*E15*F15*G15*H15*I15*J15,4)</f>
        <v>1.331</v>
      </c>
      <c r="D12" s="2759" t="s">
        <v>2863</v>
      </c>
      <c r="E12" s="2760"/>
      <c r="F12" s="2760"/>
      <c r="G12" s="2761"/>
      <c r="H12" s="2761"/>
      <c r="I12" s="2761"/>
      <c r="J12" s="2762"/>
      <c r="K12" s="1369"/>
      <c r="L12" s="2763" t="s">
        <v>2864</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188"/>
      <c r="X12" s="1615" t="s">
        <v>2865</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94"/>
      <c r="B13" s="2764" t="s">
        <v>2866</v>
      </c>
      <c r="C13" s="2765" t="s">
        <v>2867</v>
      </c>
      <c r="D13" s="1807" t="s">
        <v>2868</v>
      </c>
      <c r="E13" s="1807" t="s">
        <v>2869</v>
      </c>
      <c r="F13" s="30" t="s">
        <v>2870</v>
      </c>
      <c r="G13" s="2766" t="s">
        <v>2871</v>
      </c>
      <c r="H13" s="2766" t="s">
        <v>2871</v>
      </c>
      <c r="I13" s="2766" t="s">
        <v>2871</v>
      </c>
      <c r="J13" s="2767" t="s">
        <v>2871</v>
      </c>
      <c r="K13" s="1369"/>
      <c r="L13" s="1369"/>
      <c r="M13" s="1369"/>
      <c r="N13" s="1369"/>
      <c r="O13" s="1369"/>
      <c r="P13" s="1369"/>
      <c r="Q13" s="1369"/>
      <c r="R13" s="1601">
        <v>12</v>
      </c>
      <c r="S13" s="1602"/>
      <c r="T13" s="1601">
        <f t="shared" ca="1" si="0"/>
        <v>0</v>
      </c>
      <c r="U13" s="1602"/>
      <c r="V13" s="1601">
        <f t="shared" ca="1" si="1"/>
        <v>0</v>
      </c>
      <c r="W13" s="3188"/>
      <c r="X13" s="1615"/>
      <c r="Y13" s="1612">
        <f>(-0.163*(Y12^2)-0.59*Y12+7617)*(10^(-4))/Y11</f>
        <v>0.27106761565836301</v>
      </c>
      <c r="Z13" s="1612">
        <f t="shared" ref="Z13:AJ13" si="5">(-0.163*(Z12^2)-0.59*Z12+7617)*(10^(-4))/Z11</f>
        <v>0.27106761565836301</v>
      </c>
      <c r="AA13" s="1612">
        <f t="shared" si="5"/>
        <v>0.27106761565836301</v>
      </c>
      <c r="AB13" s="1612">
        <f t="shared" si="5"/>
        <v>0.27106761565836301</v>
      </c>
      <c r="AC13" s="1612">
        <f t="shared" si="5"/>
        <v>0.27106761565836301</v>
      </c>
      <c r="AD13" s="1612">
        <f t="shared" si="5"/>
        <v>0.27106761565836301</v>
      </c>
      <c r="AE13" s="1612">
        <f t="shared" si="5"/>
        <v>0.27106761565836301</v>
      </c>
      <c r="AF13" s="1612">
        <f t="shared" si="5"/>
        <v>0.27106761565836301</v>
      </c>
      <c r="AG13" s="1612">
        <f t="shared" si="5"/>
        <v>0.27106761565836301</v>
      </c>
      <c r="AH13" s="1612">
        <f t="shared" si="5"/>
        <v>0.27106761565836301</v>
      </c>
      <c r="AI13" s="1612">
        <f t="shared" si="5"/>
        <v>0.27106761565836301</v>
      </c>
      <c r="AJ13" s="1612">
        <f t="shared" si="5"/>
        <v>0.27106761565836301</v>
      </c>
    </row>
    <row r="14" spans="1:36" ht="15">
      <c r="A14" s="3194"/>
      <c r="B14" s="2768"/>
      <c r="C14" s="2769" t="s">
        <v>3061</v>
      </c>
      <c r="D14" s="2770" t="s">
        <v>3062</v>
      </c>
      <c r="E14" s="2770" t="s">
        <v>3061</v>
      </c>
      <c r="F14" s="2771" t="s">
        <v>3060</v>
      </c>
      <c r="G14" s="2772" t="s">
        <v>2872</v>
      </c>
      <c r="H14" s="2773"/>
      <c r="I14" s="2774"/>
      <c r="J14" s="2775"/>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195"/>
      <c r="B15" s="2776" t="s">
        <v>2873</v>
      </c>
      <c r="C15" s="229">
        <f>IF(C14="有",1.1,1)</f>
        <v>1.1000000000000001</v>
      </c>
      <c r="D15" s="229">
        <f>IF(D14="有",1.1,1)</f>
        <v>1</v>
      </c>
      <c r="E15" s="229">
        <f>IF(E14="有",1.1,1)</f>
        <v>1.1000000000000001</v>
      </c>
      <c r="F15" s="229">
        <f>IF(F14="500米范围内",1.2,IF(F14="500-1000米",1.1,1))</f>
        <v>1.1000000000000001</v>
      </c>
      <c r="G15" s="946">
        <v>1</v>
      </c>
      <c r="H15" s="946">
        <v>1</v>
      </c>
      <c r="I15" s="946">
        <v>1</v>
      </c>
      <c r="J15" s="947">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173" t="s">
        <v>2878</v>
      </c>
      <c r="B16" s="2745" t="s">
        <v>2879</v>
      </c>
      <c r="C16" s="2932">
        <f>ROUND(IF(F17="与级别开发程度一致",0,(G17-E17)/C17),0)</f>
        <v>0</v>
      </c>
      <c r="D16" s="3184" t="s">
        <v>2883</v>
      </c>
      <c r="E16" s="3185"/>
      <c r="F16" s="3184" t="s">
        <v>2880</v>
      </c>
      <c r="G16" s="3185"/>
      <c r="H16" s="2779" t="s">
        <v>3063</v>
      </c>
      <c r="I16" s="2779" t="s">
        <v>3064</v>
      </c>
      <c r="J16" s="2936" t="s">
        <v>3065</v>
      </c>
      <c r="K16" s="2779" t="s">
        <v>3066</v>
      </c>
      <c r="L16" s="2779" t="s">
        <v>3067</v>
      </c>
      <c r="M16" s="2779" t="s">
        <v>3068</v>
      </c>
      <c r="N16" s="2779" t="s">
        <v>3069</v>
      </c>
      <c r="O16" s="2780" t="s">
        <v>3070</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174"/>
      <c r="B17" s="2943" t="s">
        <v>2882</v>
      </c>
      <c r="C17" s="2944">
        <f>SUMPRODUCT((修正!A2:A5=E2)*(修正!B1:M1=G2)*(修正!B2:M5))</f>
        <v>2.5</v>
      </c>
      <c r="D17" s="229" t="str">
        <f>IF(OR(G2="八级",G2="九级",G2="十级",G2="十一级",G2="十二级"),"五通一平","七通一平")</f>
        <v>七通一平</v>
      </c>
      <c r="E17" s="2933">
        <f>SUMPRODUCT((修正!B1:M1=G2)*(修正!B15:M15))</f>
        <v>300</v>
      </c>
      <c r="F17" s="2934" t="s">
        <v>3071</v>
      </c>
      <c r="G17" s="2935">
        <f>SUM(H17:O17)</f>
        <v>300</v>
      </c>
      <c r="H17" s="2944">
        <f>SUMPRODUCT((七通一平=H16)*(修正!B1:M1=G2)*(修正!B6:M14))</f>
        <v>65</v>
      </c>
      <c r="I17" s="2944">
        <f>SUMPRODUCT((七通一平=I16)*(修正!B1:M1=G2)*(修正!B6:M14))</f>
        <v>55</v>
      </c>
      <c r="J17" s="2945">
        <f>SUMPRODUCT((七通一平=J16)*(修正!B1:M1=G2)*(修正!B6:M14))</f>
        <v>15</v>
      </c>
      <c r="K17" s="2944">
        <f>SUMPRODUCT((七通一平=K16)*(修正!B1:M1=G2)*(修正!B6:M14))</f>
        <v>25</v>
      </c>
      <c r="L17" s="2944">
        <f>SUMPRODUCT((七通一平=L16)*(修正!B1:M1=G2)*(修正!B6:M14))</f>
        <v>35</v>
      </c>
      <c r="M17" s="2944">
        <f>SUMPRODUCT((七通一平=M16)*(修正!B1:M1=G2)*(修正!B6:M14))</f>
        <v>50</v>
      </c>
      <c r="N17" s="2944">
        <f>SUMPRODUCT((七通一平=N16)*(修正!B1:M1=G2)*(修正!B6:M14))</f>
        <v>40</v>
      </c>
      <c r="O17" s="2946">
        <f>SUMPRODUCT((七通一平=O16)*(修正!B1:M1=G2)*(修正!B6:M14))</f>
        <v>15</v>
      </c>
      <c r="Q17" s="1369"/>
      <c r="R17" s="1369"/>
      <c r="S17" s="1369"/>
      <c r="T17" s="1369"/>
      <c r="U17" s="1369"/>
      <c r="V17" s="1369"/>
      <c r="W17" s="1369"/>
      <c r="X17" s="1369"/>
      <c r="Y17" s="1369"/>
      <c r="Z17" s="1370"/>
      <c r="AE17" s="2783"/>
      <c r="AF17" s="2783"/>
      <c r="AG17" s="2720"/>
      <c r="AH17" s="2720"/>
      <c r="AI17" s="2720"/>
      <c r="AJ17" s="2720"/>
    </row>
    <row r="18" spans="1:37" s="2738" customFormat="1" ht="15" thickBot="1">
      <c r="A18" s="2937" t="s">
        <v>808</v>
      </c>
      <c r="B18" s="2938" t="s">
        <v>2885</v>
      </c>
      <c r="C18" s="2939">
        <f>SUMIF(修正!C18:C39,E3,修正!E18:E39)</f>
        <v>1</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9.4" thickBot="1">
      <c r="A19" s="2784" t="s">
        <v>809</v>
      </c>
      <c r="B19" s="2785" t="s">
        <v>2886</v>
      </c>
      <c r="C19" s="924">
        <f>ROUND(IF(H19="按公示增长率计算",SUMPRODUCT((地价!A3:A29=YEAR(G19)&amp;"-"&amp;ROUNDUP(MONTH(G19)/3,0))*(地价!X2:AB2=E2)*(地价!X3:AB29)),IF(H19="地价指数",M20/M19,(1+I19)^O19)),4)</f>
        <v>1.6123000000000001</v>
      </c>
      <c r="D19" s="2789" t="s">
        <v>2887</v>
      </c>
      <c r="E19" s="925">
        <v>41640</v>
      </c>
      <c r="F19" s="2789" t="s">
        <v>2888</v>
      </c>
      <c r="G19" s="926">
        <f>'数据-取费表'!B2</f>
        <v>43915</v>
      </c>
      <c r="H19" s="2790" t="s">
        <v>3072</v>
      </c>
      <c r="I19" s="927" t="str">
        <f>IF(H19="季度增幅（自定义）",SUMIF(N21:N24,E2,O21:O24),"")</f>
        <v/>
      </c>
      <c r="J19" s="2787"/>
      <c r="K19" s="1376"/>
      <c r="L19" s="2791" t="s">
        <v>2889</v>
      </c>
      <c r="M19" s="1733">
        <f>ROUND(SUMIF(地价!B2:F2,E2,地价!B29:F29),0)</f>
        <v>423</v>
      </c>
      <c r="N19" s="2792" t="s">
        <v>2890</v>
      </c>
      <c r="O19" s="928">
        <f>ROUNDDOWN(DATEDIF(E19,G19,"M")/3,0)</f>
        <v>24</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9.4" thickBot="1">
      <c r="A20" s="2796" t="s">
        <v>810</v>
      </c>
      <c r="B20" s="2797" t="s">
        <v>2891</v>
      </c>
      <c r="C20" s="929">
        <f ca="1">ROUND(POWER(1+G20,J20-I20)*(POWER(1+G20,I20)-1)/(POWER(1+G20,J20)-1),4)</f>
        <v>0.93689999999999996</v>
      </c>
      <c r="D20" s="2798" t="s">
        <v>2892</v>
      </c>
      <c r="E20" s="1767">
        <f ca="1">存贷款利率!D4/100</f>
        <v>4.3499999999999997E-2</v>
      </c>
      <c r="F20" s="2798" t="s">
        <v>2884</v>
      </c>
      <c r="G20" s="934">
        <f ca="1">SUMIF(M26:P26,E2,M28:P28)</f>
        <v>0.05</v>
      </c>
      <c r="H20" s="2798" t="s">
        <v>2893</v>
      </c>
      <c r="I20" s="935">
        <f>SUMIF('数据-取费表'!C6:C15,E2,'数据-取费表'!F6:F15)/COUNTIF('数据-取费表'!C6:C15,E2)</f>
        <v>48.49</v>
      </c>
      <c r="J20" s="936">
        <f>IF(E2="住宅",70,IF(E2="商业",40,50))</f>
        <v>70</v>
      </c>
      <c r="K20" s="1376"/>
      <c r="L20" s="2799" t="s">
        <v>2894</v>
      </c>
      <c r="M20" s="1734">
        <f>ROUND(SUMPRODUCT((地价!A4:A29=YEAR(G19)&amp;"-"&amp;ROUNDUP(MONTH(G19)/3,0))*(地价!B2:F2=E2)*(地价!B4:F29)),0)</f>
        <v>682</v>
      </c>
      <c r="N20" s="2800" t="s">
        <v>2895</v>
      </c>
      <c r="O20" s="2801" t="s">
        <v>2896</v>
      </c>
      <c r="P20" s="2802" t="s">
        <v>2897</v>
      </c>
      <c r="R20" s="1375"/>
      <c r="S20" s="1375"/>
      <c r="T20" s="1370"/>
      <c r="U20" s="1370"/>
      <c r="V20" s="1370"/>
      <c r="W20" s="1369"/>
      <c r="X20" s="1369"/>
      <c r="Y20" s="1369"/>
      <c r="Z20" s="1376"/>
      <c r="AA20" s="1377"/>
      <c r="AB20" s="1377"/>
      <c r="AC20" s="1377"/>
      <c r="AD20" s="1377"/>
      <c r="AE20" s="1377"/>
      <c r="AF20" s="1377"/>
    </row>
    <row r="21" spans="1:37" s="2738" customFormat="1" ht="14.4">
      <c r="A21" s="2803" t="s">
        <v>811</v>
      </c>
      <c r="B21" s="2804" t="s">
        <v>3073</v>
      </c>
      <c r="C21" s="937">
        <f>IF(B21="容积率修正",IF(G3&lt;=10,D22,J22),C23)</f>
        <v>0.96970000000000001</v>
      </c>
      <c r="D21" s="2805"/>
      <c r="E21" s="2805"/>
      <c r="F21" s="2805"/>
      <c r="G21" s="2805"/>
      <c r="H21" s="2805"/>
      <c r="I21" s="2805"/>
      <c r="J21" s="2806"/>
      <c r="K21" s="1376"/>
      <c r="N21" s="2807" t="s">
        <v>2898</v>
      </c>
      <c r="O21" s="1560"/>
      <c r="P21" s="1561">
        <f>SUMPRODUCT((地价!A3:A29=YEAR(G19)&amp;"-"&amp;ROUNDUP(MONTH(G19)/3,0))*(地价!AD2:AH2=N21)*(地价!AD3:AH29))</f>
        <v>1.35E-2</v>
      </c>
      <c r="R21" s="1375"/>
      <c r="S21" s="1375"/>
      <c r="T21" s="1370"/>
      <c r="U21" s="1370"/>
      <c r="V21" s="1370"/>
      <c r="W21" s="1369"/>
      <c r="X21" s="1369"/>
      <c r="Y21" s="1369"/>
      <c r="Z21" s="1376"/>
      <c r="AA21" s="1377"/>
      <c r="AB21" s="1377"/>
      <c r="AC21" s="1377"/>
      <c r="AD21" s="1377"/>
      <c r="AE21" s="1377"/>
      <c r="AF21" s="1377"/>
    </row>
    <row r="22" spans="1:37" s="2738" customFormat="1" ht="14.4">
      <c r="A22" s="2664" t="s">
        <v>2899</v>
      </c>
      <c r="B22" s="2808" t="s">
        <v>2900</v>
      </c>
      <c r="C22" s="1809" t="s">
        <v>2901</v>
      </c>
      <c r="D22" s="1809">
        <f>IF(E22=G22,F22,IF(G3&lt;=10,ROUND(F22+(H22-F22)*(G3-E22)/(G22-E22),4),"——"))</f>
        <v>0.96970000000000001</v>
      </c>
      <c r="E22" s="916">
        <f>ROUNDDOWN(G3,1)</f>
        <v>2.8</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0.97060000000000002</v>
      </c>
      <c r="G22" s="916">
        <f>ROUNDUP(G3,1)</f>
        <v>2.9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0.96179999999999999</v>
      </c>
      <c r="I22" s="1809" t="s">
        <v>155</v>
      </c>
      <c r="J22" s="938" t="str">
        <f>IF(G3&gt;10,D113,"——")</f>
        <v>——</v>
      </c>
      <c r="K22" s="1376"/>
      <c r="N22" s="2807" t="s">
        <v>2902</v>
      </c>
      <c r="O22" s="1560"/>
      <c r="P22" s="1561">
        <f>SUMPRODUCT((地价!A3:A29=YEAR(G19)&amp;"-"&amp;ROUNDUP(MONTH(G19)/3,0))*(地价!AD2:AH2=N22)*(地价!AD3:AH29))</f>
        <v>1.35E-2</v>
      </c>
      <c r="R22" s="1375"/>
      <c r="S22" s="1375"/>
      <c r="T22" s="1370"/>
      <c r="U22" s="1370"/>
      <c r="V22" s="1370"/>
      <c r="W22" s="1369"/>
      <c r="X22" s="1369"/>
      <c r="Y22" s="1369"/>
      <c r="Z22" s="1376"/>
      <c r="AA22" s="1377"/>
      <c r="AB22" s="1377"/>
      <c r="AC22" s="1377"/>
      <c r="AD22" s="1377"/>
      <c r="AE22" s="1377"/>
      <c r="AF22" s="1377"/>
    </row>
    <row r="23" spans="1:37" ht="29.4" thickBot="1">
      <c r="A23" s="2664" t="s">
        <v>2903</v>
      </c>
      <c r="B23" s="2809" t="s">
        <v>2904</v>
      </c>
      <c r="C23" s="1013">
        <f>ROUND(IF(G3&gt;1,IF(I3&lt;7,SUMPRODUCT((B93:B98=I3)*(C92:N92=G2)*(C93:N98)),SUMIF(C92:N92,G2,C100:N100)),IF(I3&lt;7,SUMPRODUCT((B102:B107=I3)*(C92:N92=G2)*(C102:N107)),SUMIF(C92:N92,G2,C109:N109))),4)</f>
        <v>0</v>
      </c>
      <c r="D23" s="2773"/>
      <c r="E23" s="2773"/>
      <c r="F23" s="2810"/>
      <c r="G23" s="2811"/>
      <c r="H23" s="2812"/>
      <c r="I23" s="2813"/>
      <c r="J23" s="2814"/>
      <c r="K23" s="1369"/>
      <c r="N23" s="2807" t="s">
        <v>2905</v>
      </c>
      <c r="O23" s="1560"/>
      <c r="P23" s="1561">
        <f>SUMPRODUCT((地价!A3:A29=YEAR(G19)&amp;"-"&amp;ROUNDUP(MONTH(G19)/3,0))*(地价!AD2:AH2=N23)*(地价!AD3:AH29))</f>
        <v>2.0799999999999999E-2</v>
      </c>
      <c r="R23" s="1375"/>
      <c r="S23" s="1375"/>
      <c r="T23" s="1370"/>
      <c r="U23" s="1370"/>
      <c r="V23" s="1370"/>
      <c r="W23" s="1369"/>
      <c r="X23" s="1369"/>
      <c r="Y23" s="1369"/>
      <c r="Z23" s="1376"/>
      <c r="AA23" s="1377"/>
      <c r="AB23" s="1377"/>
      <c r="AC23" s="1377"/>
      <c r="AD23" s="1377"/>
      <c r="AK23" s="2788"/>
    </row>
    <row r="24" spans="1:37" s="2738" customFormat="1" ht="15" thickBot="1">
      <c r="A24" s="2796" t="s">
        <v>812</v>
      </c>
      <c r="B24" s="2785" t="s">
        <v>2906</v>
      </c>
      <c r="C24" s="924">
        <f>SUMIF(A45:A88,E2,B45:B88)</f>
        <v>1.0478000000000001</v>
      </c>
      <c r="D24" s="2786"/>
      <c r="E24" s="2815"/>
      <c r="F24" s="2815"/>
      <c r="G24" s="2815"/>
      <c r="H24" s="2815"/>
      <c r="I24" s="2815"/>
      <c r="J24" s="2816"/>
      <c r="K24" s="1376"/>
      <c r="N24" s="2817" t="s">
        <v>2907</v>
      </c>
      <c r="O24" s="1562"/>
      <c r="P24" s="1563">
        <f>SUMPRODUCT((地价!A3:A29=YEAR(G19)&amp;"-"&amp;ROUNDUP(MONTH(G19)/3,0))*(地价!AD2:AH2=N24)*(地价!AD3:AH29))</f>
        <v>1.3299999999999999E-2</v>
      </c>
      <c r="R24" s="1375"/>
      <c r="S24" s="1375"/>
      <c r="T24" s="1370"/>
      <c r="U24" s="1370"/>
      <c r="V24" s="1370"/>
      <c r="W24" s="1369"/>
      <c r="X24" s="1369"/>
      <c r="Y24" s="1369"/>
      <c r="Z24" s="1376"/>
      <c r="AA24" s="1377"/>
      <c r="AB24" s="1377"/>
      <c r="AC24" s="1377"/>
      <c r="AD24" s="1377"/>
      <c r="AE24" s="1377"/>
      <c r="AF24" s="1377"/>
    </row>
    <row r="25" spans="1:37" ht="15" thickBot="1">
      <c r="A25" s="2796" t="s">
        <v>813</v>
      </c>
      <c r="B25" s="2818" t="s">
        <v>2908</v>
      </c>
      <c r="C25" s="930"/>
      <c r="D25" s="2748"/>
      <c r="E25" s="2748"/>
      <c r="F25" s="2819"/>
      <c r="G25" s="2748"/>
      <c r="H25" s="2748"/>
      <c r="I25" s="2748"/>
      <c r="J25" s="2749"/>
      <c r="K25" s="1369"/>
      <c r="N25" s="2820" t="s">
        <v>2909</v>
      </c>
      <c r="O25" s="1564"/>
      <c r="P25" s="1563">
        <f>SUMPRODUCT((地价!A3:A29=YEAR(G19)&amp;"-"&amp;ROUNDUP(MONTH(G19)/3,0))*(地价!AD2:AH2=N25)*(地价!AD3:AH29))</f>
        <v>1.9E-2</v>
      </c>
      <c r="R25" s="1375"/>
      <c r="S25" s="1375"/>
      <c r="T25" s="1370"/>
      <c r="U25" s="1370"/>
      <c r="V25" s="1370"/>
      <c r="W25" s="1369"/>
      <c r="X25" s="1369"/>
      <c r="Y25" s="1369"/>
      <c r="Z25" s="1376"/>
      <c r="AA25" s="1377"/>
      <c r="AB25" s="1377"/>
      <c r="AC25" s="1377"/>
      <c r="AD25" s="1377"/>
    </row>
    <row r="26" spans="1:37" ht="14.4">
      <c r="A26" s="2821"/>
      <c r="B26" s="2808" t="s">
        <v>2910</v>
      </c>
      <c r="C26" s="206">
        <f ca="1">E29+SUM(E33:E39)</f>
        <v>166</v>
      </c>
      <c r="D26" s="2822"/>
      <c r="E26" s="2773"/>
      <c r="F26" s="2823"/>
      <c r="G26" s="2773"/>
      <c r="H26" s="2773"/>
      <c r="I26" s="2773"/>
      <c r="J26" s="2824"/>
      <c r="K26" s="1369"/>
      <c r="L26" s="2777" t="s">
        <v>2809</v>
      </c>
      <c r="M26" s="920" t="s">
        <v>2874</v>
      </c>
      <c r="N26" s="920" t="s">
        <v>2875</v>
      </c>
      <c r="O26" s="920" t="s">
        <v>2876</v>
      </c>
      <c r="P26" s="2778" t="s">
        <v>2877</v>
      </c>
      <c r="R26" s="1375"/>
      <c r="S26" s="1375"/>
      <c r="T26" s="1370"/>
      <c r="U26" s="1370"/>
      <c r="V26" s="1370"/>
      <c r="W26" s="1369"/>
      <c r="X26" s="1369"/>
      <c r="Y26" s="1369"/>
      <c r="Z26" s="1376"/>
      <c r="AA26" s="1377"/>
      <c r="AB26" s="1377"/>
      <c r="AC26" s="1377"/>
      <c r="AD26" s="1377"/>
    </row>
    <row r="27" spans="1:37" ht="15" thickBot="1">
      <c r="A27" s="2821"/>
      <c r="B27" s="2825" t="s">
        <v>2911</v>
      </c>
      <c r="C27" s="931">
        <f ca="1">E30+SUM(I33:I39)</f>
        <v>0</v>
      </c>
      <c r="D27" s="2826"/>
      <c r="E27" s="2827"/>
      <c r="F27" s="2828"/>
      <c r="G27" s="2827"/>
      <c r="H27" s="2827"/>
      <c r="I27" s="2827"/>
      <c r="J27" s="2829"/>
      <c r="K27" s="1369"/>
      <c r="L27" s="2781" t="s">
        <v>2881</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 thickBot="1">
      <c r="A28" s="2830"/>
      <c r="B28" s="2831" t="s">
        <v>2912</v>
      </c>
      <c r="C28" s="2832" t="s">
        <v>2913</v>
      </c>
      <c r="D28" s="2832" t="s">
        <v>2914</v>
      </c>
      <c r="E28" s="2833" t="s">
        <v>2915</v>
      </c>
      <c r="F28" s="2834"/>
      <c r="G28" s="2761"/>
      <c r="H28" s="2761"/>
      <c r="I28" s="2761"/>
      <c r="J28" s="2762"/>
      <c r="K28" s="1369"/>
      <c r="L28" s="2782" t="s">
        <v>2884</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2916</v>
      </c>
      <c r="C29" s="206">
        <f ca="1">ROUND(C5*C18*C19*C20*C21*C24,0)</f>
        <v>25556</v>
      </c>
      <c r="D29" s="2837">
        <f>'数据-基础表'!I13</f>
        <v>65</v>
      </c>
      <c r="E29" s="942">
        <f ca="1">ROUND(C29*D29/10000,0)</f>
        <v>166</v>
      </c>
      <c r="F29" s="2838" t="s">
        <v>2917</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8" thickBot="1">
      <c r="A30" s="2841"/>
      <c r="B30" s="2842" t="s">
        <v>2918</v>
      </c>
      <c r="C30" s="229">
        <f ca="1">ROUND(IF(E2="工业",C29*M39,C29*M38),0)</f>
        <v>6389</v>
      </c>
      <c r="D30" s="2843"/>
      <c r="E30" s="942">
        <f ca="1">ROUND(C30*D30/10000,0)</f>
        <v>0</v>
      </c>
      <c r="F30" s="2844" t="s">
        <v>2919</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3.8">
      <c r="A31" s="2847"/>
      <c r="B31" s="2848" t="s">
        <v>2920</v>
      </c>
      <c r="C31" s="2849" t="s">
        <v>2921</v>
      </c>
      <c r="D31" s="2761"/>
      <c r="E31" s="2849"/>
      <c r="F31" s="2849"/>
      <c r="G31" s="2759" t="s">
        <v>2922</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36">
      <c r="A32" s="2835"/>
      <c r="B32" s="2851"/>
      <c r="C32" s="501" t="s">
        <v>2913</v>
      </c>
      <c r="D32" s="498" t="s">
        <v>2914</v>
      </c>
      <c r="E32" s="498" t="s">
        <v>2915</v>
      </c>
      <c r="F32" s="388" t="s">
        <v>2923</v>
      </c>
      <c r="G32" s="2852" t="s">
        <v>2913</v>
      </c>
      <c r="H32" s="2852" t="s">
        <v>2914</v>
      </c>
      <c r="I32" s="2852" t="s">
        <v>2915</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181" t="s">
        <v>2924</v>
      </c>
      <c r="B33" s="2853" t="s">
        <v>2925</v>
      </c>
      <c r="C33" s="206">
        <f ca="1">ROUND(D5*C19*C20*C24*F33,0)</f>
        <v>13860</v>
      </c>
      <c r="D33" s="2837"/>
      <c r="E33" s="200">
        <f ca="1">ROUND(C33*D33/10000,0)</f>
        <v>0</v>
      </c>
      <c r="F33" s="200">
        <f>SUMIF(修正!A45:A56,G2,修正!B45:B56)</f>
        <v>0.7</v>
      </c>
      <c r="G33" s="200">
        <f t="shared" ref="G33" ca="1" si="6">ROUND(IF(E2="工业",C33*$M$39,C33*$M$38),0)</f>
        <v>3465</v>
      </c>
      <c r="H33" s="200">
        <f>D33</f>
        <v>0</v>
      </c>
      <c r="I33" s="200">
        <f ca="1">ROUND(G33*H33/10000,0)</f>
        <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182"/>
      <c r="B34" s="2765" t="s">
        <v>2926</v>
      </c>
      <c r="C34" s="206">
        <f ca="1">ROUND(D5*C19*C20*C24*F34,0)</f>
        <v>7920</v>
      </c>
      <c r="D34" s="2837"/>
      <c r="E34" s="200">
        <f t="shared" ref="E34:E39" ca="1" si="7">ROUND(C34*D34/10000,0)</f>
        <v>0</v>
      </c>
      <c r="F34" s="200">
        <f>SUMIF(修正!A45:A56,G2,修正!C45:C56)</f>
        <v>0.4</v>
      </c>
      <c r="G34" s="200">
        <f ca="1">ROUND(IF(E2="工业",C34*$M$39,C34*$M$38),0)</f>
        <v>1980</v>
      </c>
      <c r="H34" s="200">
        <f t="shared" ref="H34:H39" si="8">D34</f>
        <v>0</v>
      </c>
      <c r="I34" s="200">
        <f t="shared" ref="I34:I39" ca="1" si="9">ROUND(G34*H34/10000,0)</f>
        <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182"/>
      <c r="B35" s="2765" t="s">
        <v>2927</v>
      </c>
      <c r="C35" s="206">
        <f ca="1">ROUND(D5*C19*C20*C24*F35,0)</f>
        <v>5544</v>
      </c>
      <c r="D35" s="2837"/>
      <c r="E35" s="200">
        <f t="shared" ca="1" si="7"/>
        <v>0</v>
      </c>
      <c r="F35" s="200">
        <f>SUMIF(修正!A45:A56,G2,修正!D45:D56)</f>
        <v>0.28000000000000003</v>
      </c>
      <c r="G35" s="200">
        <f ca="1">ROUND(IF(E2="工业",C35*$M$39,C35*$M$38),0)</f>
        <v>1386</v>
      </c>
      <c r="H35" s="200">
        <f t="shared" si="8"/>
        <v>0</v>
      </c>
      <c r="I35" s="200">
        <f t="shared" ca="1" si="9"/>
        <v>0</v>
      </c>
      <c r="J35" s="2854"/>
      <c r="K35" s="1369"/>
      <c r="L35" s="1369"/>
      <c r="M35" s="1369"/>
      <c r="N35" s="1369"/>
      <c r="O35" s="1369"/>
      <c r="P35" s="1369"/>
      <c r="Q35" s="1369"/>
      <c r="R35" s="1369"/>
      <c r="S35" s="1369"/>
      <c r="T35" s="1369"/>
      <c r="U35" s="1369"/>
      <c r="V35" s="1369"/>
      <c r="W35" s="1369"/>
      <c r="X35" s="1369"/>
      <c r="Y35" s="1369"/>
      <c r="Z35" s="1370"/>
    </row>
    <row r="36" spans="1:37" ht="13.8" thickBot="1">
      <c r="A36" s="3183"/>
      <c r="B36" s="2765" t="s">
        <v>2928</v>
      </c>
      <c r="C36" s="206">
        <f ca="1">ROUND(D5*C19*C20*C24*F36,0)</f>
        <v>4950</v>
      </c>
      <c r="D36" s="2837"/>
      <c r="E36" s="200">
        <f t="shared" ca="1" si="7"/>
        <v>0</v>
      </c>
      <c r="F36" s="200">
        <f>SUMIF(修正!A45:A56,G2,修正!E45:E56)</f>
        <v>0.25</v>
      </c>
      <c r="G36" s="200">
        <f ca="1">ROUND(IF(E2="工业",C36*$M$39,C36*$M$38),0)</f>
        <v>1238</v>
      </c>
      <c r="H36" s="200">
        <f t="shared" si="8"/>
        <v>0</v>
      </c>
      <c r="I36" s="200">
        <f t="shared" ca="1" si="9"/>
        <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2929</v>
      </c>
      <c r="C37" s="200">
        <f ca="1">ROUND(D5*C19*C20*C24*F37,0)</f>
        <v>4950</v>
      </c>
      <c r="D37" s="2837"/>
      <c r="E37" s="200">
        <f t="shared" ca="1" si="7"/>
        <v>0</v>
      </c>
      <c r="F37" s="206">
        <f>SUMIF(修正!A45:A56,G2,修正!F45:F56)</f>
        <v>0.25</v>
      </c>
      <c r="G37" s="200">
        <f ca="1">ROUND(IF(E2="工业",C37*$M$39,C37*$M$38),0)</f>
        <v>1238</v>
      </c>
      <c r="H37" s="200">
        <f t="shared" si="8"/>
        <v>0</v>
      </c>
      <c r="I37" s="200">
        <f t="shared" ca="1" si="9"/>
        <v>0</v>
      </c>
      <c r="J37" s="2854"/>
      <c r="K37" s="1369"/>
      <c r="L37" s="2856" t="s">
        <v>2930</v>
      </c>
      <c r="M37" s="2857"/>
      <c r="N37" s="1369"/>
      <c r="O37" s="1369"/>
      <c r="P37" s="1369"/>
      <c r="Q37" s="1369"/>
      <c r="R37" s="1369"/>
      <c r="S37" s="1369"/>
      <c r="T37" s="1369"/>
      <c r="U37" s="1369"/>
      <c r="V37" s="1369"/>
      <c r="W37" s="1369"/>
      <c r="X37" s="1369"/>
      <c r="Y37" s="1369"/>
      <c r="Z37" s="1370"/>
    </row>
    <row r="38" spans="1:37">
      <c r="A38" s="2855"/>
      <c r="B38" s="2765" t="s">
        <v>2931</v>
      </c>
      <c r="C38" s="200">
        <f ca="1">ROUND(D5*C19*C41*C24*F38,0)</f>
        <v>0</v>
      </c>
      <c r="D38" s="2837"/>
      <c r="E38" s="200">
        <f t="shared" ca="1" si="7"/>
        <v>0</v>
      </c>
      <c r="F38" s="206">
        <f>SUMIF(修正!A45:A56,G2,修正!G45:G56)</f>
        <v>0.25</v>
      </c>
      <c r="G38" s="200">
        <f ca="1">ROUND(IF(E2="工业",C38*$M$39,C38*$M$38),0)</f>
        <v>0</v>
      </c>
      <c r="H38" s="200">
        <f t="shared" si="8"/>
        <v>0</v>
      </c>
      <c r="I38" s="200">
        <f t="shared" ca="1" si="9"/>
        <v>0</v>
      </c>
      <c r="J38" s="2854"/>
      <c r="K38" s="1369"/>
      <c r="L38" s="1886" t="s">
        <v>2932</v>
      </c>
      <c r="M38" s="2858">
        <v>0.25</v>
      </c>
      <c r="N38" s="1369"/>
      <c r="O38" s="1369"/>
      <c r="P38" s="1369"/>
      <c r="Q38" s="1369"/>
      <c r="R38" s="1369"/>
      <c r="S38" s="1369"/>
      <c r="T38" s="1369"/>
      <c r="U38" s="1369"/>
      <c r="V38" s="1369"/>
      <c r="W38" s="1369"/>
      <c r="X38" s="1369"/>
      <c r="Y38" s="1369"/>
      <c r="Z38" s="1370"/>
    </row>
    <row r="39" spans="1:37" ht="13.8" thickBot="1">
      <c r="A39" s="2841"/>
      <c r="B39" s="2859" t="s">
        <v>2933</v>
      </c>
      <c r="C39" s="229">
        <f ca="1">ROUND(D5*C19*C41*C24*F39,0)</f>
        <v>0</v>
      </c>
      <c r="D39" s="2843"/>
      <c r="E39" s="229">
        <f t="shared" ca="1" si="7"/>
        <v>0</v>
      </c>
      <c r="F39" s="932">
        <f>SUMIF(修正!A45:A56,G2,修正!H45:H56)</f>
        <v>0.2</v>
      </c>
      <c r="G39" s="229">
        <f ca="1">ROUND(IF(E2="工业",C39*$M$39,C39*$M$38),0)</f>
        <v>0</v>
      </c>
      <c r="H39" s="229">
        <f t="shared" si="8"/>
        <v>0</v>
      </c>
      <c r="I39" s="229">
        <f t="shared" ca="1" si="9"/>
        <v>0</v>
      </c>
      <c r="J39" s="2860"/>
      <c r="K39" s="1369"/>
      <c r="L39" s="2861" t="s">
        <v>2877</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30" t="s">
        <v>3038</v>
      </c>
      <c r="C41" s="388">
        <f ca="1">ROUND(POWER(1+E41,H41-G41)*(POWER(1+E41,G41)-1)/(POWER(1+E41,H41)-1),4)</f>
        <v>0</v>
      </c>
      <c r="D41" s="200" t="s">
        <v>2884</v>
      </c>
      <c r="E41" s="2929">
        <f ca="1">G20</f>
        <v>0.05</v>
      </c>
      <c r="F41" s="200" t="s">
        <v>2893</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 thickBot="1">
      <c r="A45" s="2864" t="s">
        <v>2934</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4.4">
      <c r="A46" s="2866" t="s">
        <v>2935</v>
      </c>
      <c r="B46" s="2867">
        <f>1+E48</f>
        <v>1</v>
      </c>
      <c r="C46" s="2868"/>
      <c r="D46" s="814"/>
      <c r="E46" s="815"/>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5.2">
      <c r="A47" s="2870" t="s">
        <v>2936</v>
      </c>
      <c r="B47" s="1808" t="s">
        <v>2937</v>
      </c>
      <c r="C47" s="1808" t="s">
        <v>2938</v>
      </c>
      <c r="D47" s="1808" t="s">
        <v>2939</v>
      </c>
      <c r="E47" s="819" t="s">
        <v>2940</v>
      </c>
      <c r="F47" s="2871" t="s">
        <v>2941</v>
      </c>
      <c r="G47" s="1808" t="s">
        <v>754</v>
      </c>
      <c r="H47" s="2872" t="s">
        <v>2942</v>
      </c>
      <c r="I47" s="1808" t="s">
        <v>2943</v>
      </c>
      <c r="J47" s="603" t="s">
        <v>2592</v>
      </c>
      <c r="K47" s="603" t="s">
        <v>2593</v>
      </c>
      <c r="L47" s="603" t="s">
        <v>2594</v>
      </c>
      <c r="M47" s="603" t="s">
        <v>2595</v>
      </c>
      <c r="N47" s="603" t="s">
        <v>2596</v>
      </c>
      <c r="AA47" s="1370"/>
      <c r="AB47" s="1370"/>
      <c r="AC47" s="1370"/>
      <c r="AD47" s="1370"/>
      <c r="AE47" s="1370"/>
      <c r="AF47" s="1370"/>
      <c r="AG47" s="1370"/>
      <c r="AH47" s="1370"/>
      <c r="AI47" s="1370"/>
      <c r="AJ47" s="1370"/>
      <c r="AK47" s="1370"/>
    </row>
    <row r="48" spans="1:37" s="1369" customFormat="1" ht="52.8">
      <c r="A48" s="2870" t="s">
        <v>2944</v>
      </c>
      <c r="B48" s="2873" t="str">
        <f>估价对象房地状况!C4</f>
        <v>估价对象位于XX商圈，周边商业氛围成熟，人流量大，商业繁华度好</v>
      </c>
      <c r="C48" s="2770"/>
      <c r="D48" s="1285">
        <f t="shared" ref="D48:D56" si="10">SUMIF($J$47:$N$47,C48,J48:N48)</f>
        <v>0</v>
      </c>
      <c r="E48" s="821">
        <f>ROUND(SUM(D48:D56),4)</f>
        <v>0</v>
      </c>
      <c r="F48" s="2502"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70" t="s">
        <v>2945</v>
      </c>
      <c r="B49" s="2874" t="str">
        <f>估价对象房地状况!C18</f>
        <v>估价对象周边道路状况、公共交通通达情况、停车便捷程度，综合评价交通便捷度较好</v>
      </c>
      <c r="C49" s="2770"/>
      <c r="D49" s="1285">
        <f t="shared" si="10"/>
        <v>0</v>
      </c>
      <c r="E49" s="822"/>
      <c r="F49" s="2502"/>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2946</v>
      </c>
      <c r="B50" s="2874">
        <f>估价对象房地状况!C19</f>
        <v>0</v>
      </c>
      <c r="C50" s="2770"/>
      <c r="D50" s="1285">
        <f t="shared" si="10"/>
        <v>0</v>
      </c>
      <c r="E50" s="822"/>
      <c r="F50" s="2502"/>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70" t="s">
        <v>2947</v>
      </c>
      <c r="B51" s="2875" t="s">
        <v>2948</v>
      </c>
      <c r="C51" s="2770"/>
      <c r="D51" s="1285">
        <f t="shared" si="10"/>
        <v>0</v>
      </c>
      <c r="E51" s="822"/>
      <c r="F51" s="2502"/>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2949</v>
      </c>
      <c r="B52" s="2874">
        <f>估价对象房地状况!C24</f>
        <v>0</v>
      </c>
      <c r="C52" s="2770"/>
      <c r="D52" s="1285">
        <f t="shared" si="10"/>
        <v>0</v>
      </c>
      <c r="E52" s="822"/>
      <c r="F52" s="2502"/>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70" t="s">
        <v>2950</v>
      </c>
      <c r="B53" s="2876" t="s">
        <v>2951</v>
      </c>
      <c r="C53" s="2770"/>
      <c r="D53" s="1285">
        <f t="shared" si="10"/>
        <v>0</v>
      </c>
      <c r="E53" s="822"/>
      <c r="F53" s="2502"/>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77" t="s">
        <v>2952</v>
      </c>
      <c r="B54" s="1724" t="str">
        <f>估价对象房地状况!C21</f>
        <v>估价对象所在区域公共配套设施齐备情况</v>
      </c>
      <c r="C54" s="2770"/>
      <c r="D54" s="1285">
        <f t="shared" si="10"/>
        <v>0</v>
      </c>
      <c r="E54" s="822"/>
      <c r="F54" s="2502"/>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77" t="s">
        <v>2953</v>
      </c>
      <c r="B55" s="2874" t="str">
        <f>估价对象房地状况!C22</f>
        <v>估价对象所在区域基础设施水平</v>
      </c>
      <c r="C55" s="2770"/>
      <c r="D55" s="1285">
        <f t="shared" si="10"/>
        <v>0</v>
      </c>
      <c r="E55" s="822"/>
      <c r="F55" s="2502"/>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78" t="s">
        <v>2954</v>
      </c>
      <c r="B56" s="2879" t="str">
        <f>估价对象房地状况!C20</f>
        <v>区域自然环境：；人文环境；综合评价环境状况一般</v>
      </c>
      <c r="C56" s="2770"/>
      <c r="D56" s="1285">
        <f t="shared" si="10"/>
        <v>0</v>
      </c>
      <c r="E56" s="825"/>
      <c r="F56" s="2502"/>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6" t="s">
        <v>2955</v>
      </c>
      <c r="B57" s="2867">
        <f>1+E59</f>
        <v>1</v>
      </c>
      <c r="C57" s="814"/>
      <c r="D57" s="814"/>
      <c r="E57" s="815"/>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0" t="s">
        <v>2936</v>
      </c>
      <c r="B58" s="1808"/>
      <c r="C58" s="1808" t="s">
        <v>2938</v>
      </c>
      <c r="D58" s="1808" t="s">
        <v>2939</v>
      </c>
      <c r="E58" s="819" t="s">
        <v>2940</v>
      </c>
      <c r="F58" s="2871" t="s">
        <v>2956</v>
      </c>
      <c r="G58" s="1808" t="s">
        <v>754</v>
      </c>
      <c r="H58" s="2872" t="s">
        <v>2942</v>
      </c>
      <c r="I58" s="1808" t="s">
        <v>2943</v>
      </c>
      <c r="J58" s="603" t="s">
        <v>2592</v>
      </c>
      <c r="K58" s="603" t="s">
        <v>2593</v>
      </c>
      <c r="L58" s="603" t="s">
        <v>2594</v>
      </c>
      <c r="M58" s="603" t="s">
        <v>2595</v>
      </c>
      <c r="N58" s="603" t="s">
        <v>2596</v>
      </c>
      <c r="AA58" s="1370"/>
      <c r="AB58" s="1370"/>
      <c r="AC58" s="1370"/>
      <c r="AD58" s="1370"/>
      <c r="AE58" s="1370"/>
      <c r="AF58" s="1370"/>
      <c r="AG58" s="1370"/>
      <c r="AH58" s="1370"/>
      <c r="AI58" s="1370"/>
      <c r="AJ58" s="1370"/>
      <c r="AK58" s="1370"/>
    </row>
    <row r="59" spans="1:37" s="1369" customFormat="1" ht="52.8">
      <c r="A59" s="2870" t="s">
        <v>2957</v>
      </c>
      <c r="B59" s="2873" t="str">
        <f>估价对象房地状况!C17</f>
        <v>估价对象位于XX商圈，周边办公楼项目较多，入驻率高，办公集聚程度较好</v>
      </c>
      <c r="C59" s="2770"/>
      <c r="D59" s="1285">
        <f t="shared" ref="D59:D67" si="15">SUMIF($J$58:$N$58,C59,J59:N59)</f>
        <v>0</v>
      </c>
      <c r="E59" s="821">
        <f>ROUND(SUM(D59:D67),4)</f>
        <v>0</v>
      </c>
      <c r="F59" s="2502"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70" t="s">
        <v>2945</v>
      </c>
      <c r="B60" s="2874" t="str">
        <f>估价对象房地状况!C18</f>
        <v>估价对象周边道路状况、公共交通通达情况、停车便捷程度，综合评价交通便捷度较好</v>
      </c>
      <c r="C60" s="2770"/>
      <c r="D60" s="1285">
        <f t="shared" si="15"/>
        <v>0</v>
      </c>
      <c r="E60" s="822"/>
      <c r="F60" s="2502"/>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2946</v>
      </c>
      <c r="B61" s="2874">
        <f>估价对象房地状况!C19</f>
        <v>0</v>
      </c>
      <c r="C61" s="2770"/>
      <c r="D61" s="1285">
        <f t="shared" si="15"/>
        <v>0</v>
      </c>
      <c r="E61" s="822"/>
      <c r="F61" s="2502"/>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70" t="s">
        <v>2947</v>
      </c>
      <c r="B62" s="2875" t="s">
        <v>2948</v>
      </c>
      <c r="C62" s="2770"/>
      <c r="D62" s="1285">
        <f t="shared" si="15"/>
        <v>0</v>
      </c>
      <c r="E62" s="822"/>
      <c r="F62" s="2502"/>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2949</v>
      </c>
      <c r="B63" s="2874">
        <f>估价对象房地状况!C24</f>
        <v>0</v>
      </c>
      <c r="C63" s="2770"/>
      <c r="D63" s="1285">
        <f t="shared" si="15"/>
        <v>0</v>
      </c>
      <c r="E63" s="822"/>
      <c r="F63" s="2502"/>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70" t="s">
        <v>2950</v>
      </c>
      <c r="B64" s="2876" t="s">
        <v>2951</v>
      </c>
      <c r="C64" s="2770"/>
      <c r="D64" s="1285">
        <f t="shared" si="15"/>
        <v>0</v>
      </c>
      <c r="E64" s="822"/>
      <c r="F64" s="2502"/>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70" t="s">
        <v>2952</v>
      </c>
      <c r="B65" s="1724" t="str">
        <f>估价对象房地状况!C21</f>
        <v>估价对象所在区域公共配套设施齐备情况</v>
      </c>
      <c r="C65" s="2770"/>
      <c r="D65" s="1285">
        <f t="shared" si="15"/>
        <v>0</v>
      </c>
      <c r="E65" s="822"/>
      <c r="F65" s="2502"/>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70" t="s">
        <v>2953</v>
      </c>
      <c r="B66" s="1724" t="str">
        <f>估价对象房地状况!C22</f>
        <v>估价对象所在区域基础设施水平</v>
      </c>
      <c r="C66" s="2770"/>
      <c r="D66" s="1285">
        <f t="shared" si="15"/>
        <v>0</v>
      </c>
      <c r="E66" s="822"/>
      <c r="F66" s="2502"/>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78" t="s">
        <v>2954</v>
      </c>
      <c r="B67" s="2880" t="str">
        <f>估价对象房地状况!C20</f>
        <v>区域自然环境：；人文环境；综合评价环境状况一般</v>
      </c>
      <c r="C67" s="2770"/>
      <c r="D67" s="1285">
        <f t="shared" si="15"/>
        <v>0</v>
      </c>
      <c r="E67" s="825"/>
      <c r="F67" s="2502"/>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66" t="s">
        <v>2958</v>
      </c>
      <c r="B68" s="2867">
        <f>1+E70</f>
        <v>1.0478000000000001</v>
      </c>
      <c r="C68" s="814"/>
      <c r="D68" s="814"/>
      <c r="E68" s="815"/>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0" t="s">
        <v>2936</v>
      </c>
      <c r="B69" s="1808"/>
      <c r="C69" s="1808" t="s">
        <v>2938</v>
      </c>
      <c r="D69" s="1808" t="s">
        <v>2939</v>
      </c>
      <c r="E69" s="819" t="s">
        <v>2940</v>
      </c>
      <c r="F69" s="2871" t="s">
        <v>2956</v>
      </c>
      <c r="G69" s="1808" t="s">
        <v>754</v>
      </c>
      <c r="H69" s="2872" t="s">
        <v>2942</v>
      </c>
      <c r="I69" s="1808" t="s">
        <v>2943</v>
      </c>
      <c r="J69" s="603" t="s">
        <v>2592</v>
      </c>
      <c r="K69" s="603" t="s">
        <v>2593</v>
      </c>
      <c r="L69" s="603" t="s">
        <v>2594</v>
      </c>
      <c r="M69" s="603" t="s">
        <v>2595</v>
      </c>
      <c r="N69" s="603" t="s">
        <v>2596</v>
      </c>
      <c r="AA69" s="1370"/>
      <c r="AB69" s="1370"/>
      <c r="AC69" s="1370"/>
      <c r="AD69" s="1370"/>
      <c r="AE69" s="1370"/>
      <c r="AF69" s="1370"/>
      <c r="AG69" s="1370"/>
      <c r="AH69" s="1370"/>
      <c r="AI69" s="1370"/>
      <c r="AJ69" s="1370"/>
      <c r="AK69" s="1370"/>
    </row>
    <row r="70" spans="1:37" s="1369" customFormat="1" ht="66">
      <c r="A70" s="2870" t="s">
        <v>2959</v>
      </c>
      <c r="B70" s="2873" t="str">
        <f>估价对象房地状况!C15</f>
        <v>估价对象周边居住用地比例、居住小区规模和社区发展完善程度，综合评价居住社区成熟度一般</v>
      </c>
      <c r="C70" s="2770" t="s">
        <v>3074</v>
      </c>
      <c r="D70" s="1285">
        <f t="shared" ref="D70:D78" si="20">SUMIF($J$69:$N$69,C70,J70:N70)</f>
        <v>6.7000000000000002E-3</v>
      </c>
      <c r="E70" s="821">
        <f>ROUND(SUM(D70:D78),4)</f>
        <v>4.7800000000000002E-2</v>
      </c>
      <c r="F70" s="2502">
        <f>IF(E2="住宅",SUMIF(L1:L12,G2,N1:N12),"——")</f>
        <v>9.6000000000000002E-2</v>
      </c>
      <c r="G70" s="1283">
        <f>H70</f>
        <v>6.7000000000000002E-3</v>
      </c>
      <c r="H70" s="1287">
        <f t="shared" ref="H70:H78" si="21">IFERROR(ROUNDDOWN($F$70*I70/2,4),"——")</f>
        <v>6.7000000000000002E-3</v>
      </c>
      <c r="I70" s="820">
        <v>0.14000000000000001</v>
      </c>
      <c r="J70" s="1284">
        <f t="shared" ref="J70:J78" si="22">K70+$G70</f>
        <v>1.34E-2</v>
      </c>
      <c r="K70" s="1284">
        <f t="shared" ref="K70:K78" si="23">$L70+$G70</f>
        <v>6.7000000000000002E-3</v>
      </c>
      <c r="L70" s="1284">
        <v>0</v>
      </c>
      <c r="M70" s="1284">
        <f t="shared" ref="M70:N78" si="24">L70-$G70</f>
        <v>-6.7000000000000002E-3</v>
      </c>
      <c r="N70" s="1284">
        <f t="shared" si="24"/>
        <v>-1.34E-2</v>
      </c>
      <c r="AA70" s="1370"/>
      <c r="AB70" s="1370"/>
      <c r="AC70" s="1370"/>
      <c r="AD70" s="1370"/>
      <c r="AE70" s="1370"/>
      <c r="AF70" s="1370"/>
      <c r="AG70" s="1370"/>
      <c r="AH70" s="1370"/>
      <c r="AI70" s="1370"/>
      <c r="AJ70" s="1370"/>
      <c r="AK70" s="1370"/>
    </row>
    <row r="71" spans="1:37" s="1369" customFormat="1" ht="66">
      <c r="A71" s="2870" t="s">
        <v>2945</v>
      </c>
      <c r="B71" s="2874" t="str">
        <f>估价对象房地状况!C18</f>
        <v>估价对象周边道路状况、公共交通通达情况、停车便捷程度，综合评价交通便捷度较好</v>
      </c>
      <c r="C71" s="2770" t="s">
        <v>3074</v>
      </c>
      <c r="D71" s="1285">
        <f t="shared" si="20"/>
        <v>1.44E-2</v>
      </c>
      <c r="E71" s="826"/>
      <c r="F71" s="2502"/>
      <c r="G71" s="1283">
        <f t="shared" ref="G71:G78" si="25">H71</f>
        <v>1.44E-2</v>
      </c>
      <c r="H71" s="1287">
        <f t="shared" si="21"/>
        <v>1.44E-2</v>
      </c>
      <c r="I71" s="820">
        <v>0.3</v>
      </c>
      <c r="J71" s="1284">
        <f t="shared" si="22"/>
        <v>2.8799999999999999E-2</v>
      </c>
      <c r="K71" s="1284">
        <f t="shared" si="23"/>
        <v>1.44E-2</v>
      </c>
      <c r="L71" s="1284">
        <v>0</v>
      </c>
      <c r="M71" s="1284">
        <f t="shared" si="24"/>
        <v>-1.44E-2</v>
      </c>
      <c r="N71" s="1284">
        <f t="shared" si="24"/>
        <v>-2.8799999999999999E-2</v>
      </c>
      <c r="AA71" s="1370"/>
      <c r="AB71" s="1370"/>
      <c r="AC71" s="1370"/>
      <c r="AD71" s="1370"/>
      <c r="AE71" s="1370"/>
      <c r="AF71" s="1370"/>
      <c r="AG71" s="1370"/>
      <c r="AH71" s="1370"/>
      <c r="AI71" s="1370"/>
      <c r="AJ71" s="1370"/>
      <c r="AK71" s="1370"/>
    </row>
    <row r="72" spans="1:37" s="1369" customFormat="1" ht="24">
      <c r="A72" s="2870" t="s">
        <v>2946</v>
      </c>
      <c r="B72" s="2874">
        <f>估价对象房地状况!C19</f>
        <v>0</v>
      </c>
      <c r="C72" s="2770" t="s">
        <v>3074</v>
      </c>
      <c r="D72" s="1285">
        <f t="shared" si="20"/>
        <v>3.8E-3</v>
      </c>
      <c r="E72" s="826"/>
      <c r="F72" s="2502"/>
      <c r="G72" s="1283">
        <f t="shared" si="25"/>
        <v>3.8E-3</v>
      </c>
      <c r="H72" s="1287">
        <f t="shared" si="21"/>
        <v>3.8E-3</v>
      </c>
      <c r="I72" s="820">
        <v>0.08</v>
      </c>
      <c r="J72" s="1284">
        <f t="shared" si="22"/>
        <v>7.6E-3</v>
      </c>
      <c r="K72" s="1284">
        <f t="shared" si="23"/>
        <v>3.8E-3</v>
      </c>
      <c r="L72" s="1284">
        <v>0</v>
      </c>
      <c r="M72" s="1284">
        <f t="shared" si="24"/>
        <v>-3.8E-3</v>
      </c>
      <c r="N72" s="1284">
        <f t="shared" si="24"/>
        <v>-7.6E-3</v>
      </c>
      <c r="AA72" s="1370"/>
      <c r="AB72" s="1370"/>
      <c r="AC72" s="1370"/>
      <c r="AD72" s="1370"/>
      <c r="AE72" s="1370"/>
      <c r="AF72" s="1370"/>
      <c r="AG72" s="1370"/>
      <c r="AH72" s="1370"/>
      <c r="AI72" s="1370"/>
      <c r="AJ72" s="1370"/>
      <c r="AK72" s="1370"/>
    </row>
    <row r="73" spans="1:37" s="1369" customFormat="1" ht="13.8">
      <c r="A73" s="2870" t="s">
        <v>2960</v>
      </c>
      <c r="B73" s="2874">
        <f>估价对象房地状况!C24</f>
        <v>0</v>
      </c>
      <c r="C73" s="2770" t="s">
        <v>3075</v>
      </c>
      <c r="D73" s="1285">
        <f t="shared" si="20"/>
        <v>-3.8E-3</v>
      </c>
      <c r="E73" s="826"/>
      <c r="F73" s="2502"/>
      <c r="G73" s="1283">
        <f t="shared" si="25"/>
        <v>1.9E-3</v>
      </c>
      <c r="H73" s="1287">
        <f t="shared" si="21"/>
        <v>1.9E-3</v>
      </c>
      <c r="I73" s="820">
        <v>0.04</v>
      </c>
      <c r="J73" s="1284">
        <f t="shared" si="22"/>
        <v>3.8E-3</v>
      </c>
      <c r="K73" s="1284">
        <f t="shared" si="23"/>
        <v>1.9E-3</v>
      </c>
      <c r="L73" s="1284">
        <v>0</v>
      </c>
      <c r="M73" s="1284">
        <f t="shared" si="24"/>
        <v>-1.9E-3</v>
      </c>
      <c r="N73" s="1284">
        <f t="shared" si="24"/>
        <v>-3.8E-3</v>
      </c>
      <c r="AA73" s="1370"/>
      <c r="AB73" s="1370"/>
      <c r="AC73" s="1370"/>
      <c r="AD73" s="1370"/>
      <c r="AE73" s="1370"/>
      <c r="AF73" s="1370"/>
      <c r="AG73" s="1370"/>
      <c r="AH73" s="1370"/>
      <c r="AI73" s="1370"/>
      <c r="AJ73" s="1370"/>
      <c r="AK73" s="1370"/>
    </row>
    <row r="74" spans="1:37" s="1369" customFormat="1" ht="26.4">
      <c r="A74" s="2870" t="s">
        <v>2952</v>
      </c>
      <c r="B74" s="1724" t="str">
        <f>估价对象房地状况!C21</f>
        <v>估价对象所在区域公共配套设施齐备情况</v>
      </c>
      <c r="C74" s="2770" t="s">
        <v>3074</v>
      </c>
      <c r="D74" s="1285">
        <f t="shared" si="20"/>
        <v>3.8E-3</v>
      </c>
      <c r="E74" s="826"/>
      <c r="F74" s="2502"/>
      <c r="G74" s="1283">
        <f t="shared" si="25"/>
        <v>3.8E-3</v>
      </c>
      <c r="H74" s="1287">
        <f t="shared" si="21"/>
        <v>3.8E-3</v>
      </c>
      <c r="I74" s="820">
        <v>0.08</v>
      </c>
      <c r="J74" s="1284">
        <f t="shared" si="22"/>
        <v>7.6E-3</v>
      </c>
      <c r="K74" s="1284">
        <f t="shared" si="23"/>
        <v>3.8E-3</v>
      </c>
      <c r="L74" s="1284">
        <v>0</v>
      </c>
      <c r="M74" s="1284">
        <f t="shared" si="24"/>
        <v>-3.8E-3</v>
      </c>
      <c r="N74" s="1284">
        <f t="shared" si="24"/>
        <v>-7.6E-3</v>
      </c>
      <c r="AA74" s="1370"/>
      <c r="AB74" s="1370"/>
      <c r="AC74" s="1370"/>
      <c r="AD74" s="1370"/>
      <c r="AE74" s="1370"/>
      <c r="AF74" s="1370"/>
      <c r="AG74" s="1370"/>
      <c r="AH74" s="1370"/>
      <c r="AI74" s="1370"/>
      <c r="AJ74" s="1370"/>
      <c r="AK74" s="1370"/>
    </row>
    <row r="75" spans="1:37" s="1369" customFormat="1" ht="26.4">
      <c r="A75" s="2870" t="s">
        <v>2953</v>
      </c>
      <c r="B75" s="1724" t="str">
        <f>估价对象房地状况!C22</f>
        <v>估价对象所在区域基础设施水平</v>
      </c>
      <c r="C75" s="2770" t="s">
        <v>3076</v>
      </c>
      <c r="D75" s="1285">
        <f t="shared" si="20"/>
        <v>1.14E-2</v>
      </c>
      <c r="E75" s="826"/>
      <c r="F75" s="2502"/>
      <c r="G75" s="1283">
        <f t="shared" si="25"/>
        <v>5.7000000000000002E-3</v>
      </c>
      <c r="H75" s="1287">
        <f t="shared" si="21"/>
        <v>5.7000000000000002E-3</v>
      </c>
      <c r="I75" s="820">
        <v>0.12</v>
      </c>
      <c r="J75" s="1284">
        <f t="shared" si="22"/>
        <v>1.14E-2</v>
      </c>
      <c r="K75" s="1284">
        <f t="shared" si="23"/>
        <v>5.7000000000000002E-3</v>
      </c>
      <c r="L75" s="1284">
        <v>0</v>
      </c>
      <c r="M75" s="1284">
        <f t="shared" si="24"/>
        <v>-5.7000000000000002E-3</v>
      </c>
      <c r="N75" s="1284">
        <f t="shared" si="24"/>
        <v>-1.14E-2</v>
      </c>
      <c r="AA75" s="1370"/>
      <c r="AB75" s="1370"/>
      <c r="AC75" s="1370"/>
      <c r="AD75" s="1370"/>
      <c r="AE75" s="1370"/>
      <c r="AF75" s="1370"/>
      <c r="AG75" s="1370"/>
      <c r="AH75" s="1370"/>
      <c r="AI75" s="1370"/>
      <c r="AJ75" s="1370"/>
      <c r="AK75" s="1370"/>
    </row>
    <row r="76" spans="1:37" s="2719" customFormat="1" ht="36">
      <c r="A76" s="2870" t="s">
        <v>2950</v>
      </c>
      <c r="B76" s="2876" t="s">
        <v>2951</v>
      </c>
      <c r="C76" s="2770" t="s">
        <v>3074</v>
      </c>
      <c r="D76" s="1285">
        <f t="shared" si="20"/>
        <v>2.3999999999999998E-3</v>
      </c>
      <c r="E76" s="826"/>
      <c r="F76" s="2502"/>
      <c r="G76" s="1283">
        <f t="shared" si="25"/>
        <v>2.3999999999999998E-3</v>
      </c>
      <c r="H76" s="1287">
        <f t="shared" si="21"/>
        <v>2.3999999999999998E-3</v>
      </c>
      <c r="I76" s="820">
        <v>0.05</v>
      </c>
      <c r="J76" s="1284">
        <f t="shared" si="22"/>
        <v>4.7999999999999996E-3</v>
      </c>
      <c r="K76" s="1284">
        <f t="shared" si="23"/>
        <v>2.3999999999999998E-3</v>
      </c>
      <c r="L76" s="1284">
        <v>0</v>
      </c>
      <c r="M76" s="1284">
        <f t="shared" si="24"/>
        <v>-2.3999999999999998E-3</v>
      </c>
      <c r="N76" s="1284">
        <f t="shared" si="24"/>
        <v>-4.7999999999999996E-3</v>
      </c>
      <c r="AA76" s="2881"/>
      <c r="AB76" s="1370"/>
      <c r="AC76" s="1370"/>
      <c r="AD76" s="1370"/>
      <c r="AE76" s="1370"/>
      <c r="AF76" s="1370"/>
      <c r="AG76" s="1370"/>
      <c r="AH76" s="2881"/>
      <c r="AI76" s="2881"/>
      <c r="AJ76" s="2881"/>
      <c r="AK76" s="2881"/>
    </row>
    <row r="77" spans="1:37" ht="39.6">
      <c r="A77" s="2870" t="s">
        <v>2954</v>
      </c>
      <c r="B77" s="2873" t="str">
        <f>估价对象房地状况!C20</f>
        <v>区域自然环境：；人文环境；综合评价环境状况一般</v>
      </c>
      <c r="C77" s="2770" t="s">
        <v>3074</v>
      </c>
      <c r="D77" s="1285">
        <f t="shared" si="20"/>
        <v>7.1999999999999998E-3</v>
      </c>
      <c r="E77" s="826"/>
      <c r="F77" s="2502"/>
      <c r="G77" s="1283">
        <f t="shared" si="25"/>
        <v>7.1999999999999998E-3</v>
      </c>
      <c r="H77" s="1287">
        <f t="shared" si="21"/>
        <v>7.1999999999999998E-3</v>
      </c>
      <c r="I77" s="820">
        <v>0.15</v>
      </c>
      <c r="J77" s="1284">
        <f t="shared" si="22"/>
        <v>1.44E-2</v>
      </c>
      <c r="K77" s="1284">
        <f t="shared" si="23"/>
        <v>7.1999999999999998E-3</v>
      </c>
      <c r="L77" s="1284">
        <v>0</v>
      </c>
      <c r="M77" s="1284">
        <f t="shared" si="24"/>
        <v>-7.1999999999999998E-3</v>
      </c>
      <c r="N77" s="1284">
        <f t="shared" si="24"/>
        <v>-1.44E-2</v>
      </c>
      <c r="Z77" s="2720"/>
      <c r="AA77" s="2788"/>
      <c r="AG77" s="1371"/>
      <c r="AK77" s="2788"/>
    </row>
    <row r="78" spans="1:37" ht="36.6" thickBot="1">
      <c r="A78" s="2878" t="s">
        <v>2961</v>
      </c>
      <c r="B78" s="2882"/>
      <c r="C78" s="2770" t="s">
        <v>3074</v>
      </c>
      <c r="D78" s="1285">
        <f t="shared" si="20"/>
        <v>1.9E-3</v>
      </c>
      <c r="E78" s="827"/>
      <c r="F78" s="2502"/>
      <c r="G78" s="1283">
        <f t="shared" si="25"/>
        <v>1.9E-3</v>
      </c>
      <c r="H78" s="1287">
        <f t="shared" si="21"/>
        <v>1.9E-3</v>
      </c>
      <c r="I78" s="824">
        <v>0.04</v>
      </c>
      <c r="J78" s="1284">
        <f t="shared" si="22"/>
        <v>3.8E-3</v>
      </c>
      <c r="K78" s="1284">
        <f t="shared" si="23"/>
        <v>1.9E-3</v>
      </c>
      <c r="L78" s="1284">
        <v>0</v>
      </c>
      <c r="M78" s="1284">
        <f t="shared" si="24"/>
        <v>-1.9E-3</v>
      </c>
      <c r="N78" s="1284">
        <f t="shared" si="24"/>
        <v>-3.8E-3</v>
      </c>
      <c r="Z78" s="2720"/>
      <c r="AA78" s="2788"/>
      <c r="AG78" s="1371"/>
      <c r="AK78" s="2788"/>
    </row>
    <row r="79" spans="1:37" ht="14.4">
      <c r="A79" s="2866" t="s">
        <v>2962</v>
      </c>
      <c r="B79" s="2867">
        <f>1+E81</f>
        <v>1</v>
      </c>
      <c r="C79" s="814"/>
      <c r="D79" s="814"/>
      <c r="E79" s="815"/>
      <c r="F79" s="2869"/>
      <c r="G79" s="6"/>
      <c r="H79" s="6"/>
      <c r="I79" s="6"/>
      <c r="J79" s="7"/>
      <c r="K79" s="7"/>
      <c r="L79" s="7"/>
      <c r="M79" s="7"/>
      <c r="N79" s="7"/>
      <c r="Z79" s="2720"/>
      <c r="AA79" s="2788"/>
      <c r="AG79" s="1371"/>
      <c r="AK79" s="2788"/>
    </row>
    <row r="80" spans="1:37" ht="25.2">
      <c r="A80" s="2870" t="s">
        <v>2936</v>
      </c>
      <c r="B80" s="1808"/>
      <c r="C80" s="1808" t="s">
        <v>2938</v>
      </c>
      <c r="D80" s="1808" t="s">
        <v>2939</v>
      </c>
      <c r="E80" s="819" t="s">
        <v>2940</v>
      </c>
      <c r="F80" s="2871" t="s">
        <v>2956</v>
      </c>
      <c r="G80" s="1808" t="s">
        <v>754</v>
      </c>
      <c r="H80" s="2872" t="s">
        <v>2942</v>
      </c>
      <c r="I80" s="1808" t="s">
        <v>2943</v>
      </c>
      <c r="J80" s="603" t="s">
        <v>2592</v>
      </c>
      <c r="K80" s="603" t="s">
        <v>2593</v>
      </c>
      <c r="L80" s="603" t="s">
        <v>2594</v>
      </c>
      <c r="M80" s="603" t="s">
        <v>2595</v>
      </c>
      <c r="N80" s="603" t="s">
        <v>2596</v>
      </c>
      <c r="Z80" s="2720"/>
      <c r="AA80" s="2788"/>
      <c r="AG80" s="1371"/>
      <c r="AK80" s="2788"/>
    </row>
    <row r="81" spans="1:37" ht="39.6">
      <c r="A81" s="2870" t="s">
        <v>2963</v>
      </c>
      <c r="B81" s="2874" t="str">
        <f>估价对象房地状况!G15</f>
        <v>估价对象位于XX开发区，园区建设成熟度XX，产业集聚程度XX</v>
      </c>
      <c r="C81" s="2770"/>
      <c r="D81" s="1285">
        <f t="shared" ref="D81:D88" si="26">SUMIF($J$80:$N$80,C81,J81:N81)</f>
        <v>0</v>
      </c>
      <c r="E81" s="821">
        <f>ROUND(SUM(D81:D88),4)</f>
        <v>0</v>
      </c>
      <c r="F81" s="2502" t="str">
        <f>IF(E2="工业",SUMIF(L1:L12,G2,N1:N12),"——")</f>
        <v>——</v>
      </c>
      <c r="G81" s="1283"/>
      <c r="H81" s="1287" t="str">
        <f t="shared" ref="H81:H88" si="27">IFERROR(ROUNDDOWN($F$81*I81/2,4),"——")</f>
        <v>——</v>
      </c>
      <c r="I81" s="820">
        <v>0.26</v>
      </c>
      <c r="J81" s="1284">
        <f t="shared" ref="J81:J88" si="28">K81+$G81</f>
        <v>0</v>
      </c>
      <c r="K81" s="1284">
        <f t="shared" ref="K81:K88" si="29">$L81+$G81</f>
        <v>0</v>
      </c>
      <c r="L81" s="1284">
        <v>0</v>
      </c>
      <c r="M81" s="1284">
        <f t="shared" ref="M81:N88" si="30">L81-$G81</f>
        <v>0</v>
      </c>
      <c r="N81" s="1284">
        <f t="shared" si="30"/>
        <v>0</v>
      </c>
      <c r="Z81" s="2720"/>
      <c r="AA81" s="2788"/>
      <c r="AG81" s="1371"/>
      <c r="AK81" s="2788"/>
    </row>
    <row r="82" spans="1:37" ht="66">
      <c r="A82" s="2870" t="s">
        <v>2945</v>
      </c>
      <c r="B82" s="2874" t="str">
        <f>估价对象房地状况!G16</f>
        <v>估价对象周边道路状况、公共交通通达情况、停车便捷程度，综合评价交通便捷度较好</v>
      </c>
      <c r="C82" s="2770"/>
      <c r="D82" s="1285">
        <f t="shared" si="26"/>
        <v>0</v>
      </c>
      <c r="E82" s="826"/>
      <c r="F82" s="2502"/>
      <c r="G82" s="1283"/>
      <c r="H82" s="1287" t="str">
        <f t="shared" si="27"/>
        <v>——</v>
      </c>
      <c r="I82" s="820">
        <v>0.33</v>
      </c>
      <c r="J82" s="1284">
        <f t="shared" si="28"/>
        <v>0</v>
      </c>
      <c r="K82" s="1284">
        <f t="shared" si="29"/>
        <v>0</v>
      </c>
      <c r="L82" s="1284">
        <v>0</v>
      </c>
      <c r="M82" s="1284">
        <f t="shared" si="30"/>
        <v>0</v>
      </c>
      <c r="N82" s="1284">
        <f t="shared" si="30"/>
        <v>0</v>
      </c>
      <c r="Z82" s="2720"/>
      <c r="AA82" s="2788"/>
      <c r="AG82" s="1371"/>
      <c r="AK82" s="2788"/>
    </row>
    <row r="83" spans="1:37" ht="24">
      <c r="A83" s="2870" t="s">
        <v>2946</v>
      </c>
      <c r="B83" s="2874">
        <f>估价对象房地状况!G17</f>
        <v>0</v>
      </c>
      <c r="C83" s="2770"/>
      <c r="D83" s="1285">
        <f t="shared" si="26"/>
        <v>0</v>
      </c>
      <c r="E83" s="826"/>
      <c r="F83" s="2502"/>
      <c r="G83" s="1283"/>
      <c r="H83" s="1287" t="str">
        <f t="shared" si="27"/>
        <v>——</v>
      </c>
      <c r="I83" s="820">
        <v>0.05</v>
      </c>
      <c r="J83" s="1284">
        <f t="shared" si="28"/>
        <v>0</v>
      </c>
      <c r="K83" s="1284">
        <f t="shared" si="29"/>
        <v>0</v>
      </c>
      <c r="L83" s="1284">
        <v>0</v>
      </c>
      <c r="M83" s="1284">
        <f t="shared" si="30"/>
        <v>0</v>
      </c>
      <c r="N83" s="1284">
        <f t="shared" si="30"/>
        <v>0</v>
      </c>
      <c r="Z83" s="2720"/>
      <c r="AA83" s="2788"/>
      <c r="AG83" s="1371"/>
      <c r="AK83" s="2788"/>
    </row>
    <row r="84" spans="1:37" ht="13.8">
      <c r="A84" s="2870" t="s">
        <v>2960</v>
      </c>
      <c r="B84" s="2874">
        <f>估价对象房地状况!G22</f>
        <v>0</v>
      </c>
      <c r="C84" s="2770"/>
      <c r="D84" s="1285">
        <f t="shared" si="26"/>
        <v>0</v>
      </c>
      <c r="E84" s="826"/>
      <c r="F84" s="2502"/>
      <c r="G84" s="1283"/>
      <c r="H84" s="1287" t="str">
        <f t="shared" si="27"/>
        <v>——</v>
      </c>
      <c r="I84" s="820">
        <v>0.04</v>
      </c>
      <c r="J84" s="1284">
        <f t="shared" si="28"/>
        <v>0</v>
      </c>
      <c r="K84" s="1284">
        <f t="shared" si="29"/>
        <v>0</v>
      </c>
      <c r="L84" s="1284">
        <v>0</v>
      </c>
      <c r="M84" s="1284">
        <f t="shared" si="30"/>
        <v>0</v>
      </c>
      <c r="N84" s="1284">
        <f t="shared" si="30"/>
        <v>0</v>
      </c>
      <c r="Z84" s="2720"/>
      <c r="AA84" s="2788"/>
      <c r="AG84" s="1371"/>
      <c r="AK84" s="2788"/>
    </row>
    <row r="85" spans="1:37" ht="26.4">
      <c r="A85" s="2870" t="s">
        <v>2952</v>
      </c>
      <c r="B85" s="1724" t="str">
        <f>估价对象房地状况!G19</f>
        <v>估价对象所在区域公共配套设施齐备情况</v>
      </c>
      <c r="C85" s="2770"/>
      <c r="D85" s="1285">
        <f t="shared" si="26"/>
        <v>0</v>
      </c>
      <c r="E85" s="826"/>
      <c r="F85" s="2502"/>
      <c r="G85" s="1283"/>
      <c r="H85" s="1287" t="str">
        <f t="shared" si="27"/>
        <v>——</v>
      </c>
      <c r="I85" s="820">
        <v>0.06</v>
      </c>
      <c r="J85" s="1284">
        <f t="shared" si="28"/>
        <v>0</v>
      </c>
      <c r="K85" s="1284">
        <f t="shared" si="29"/>
        <v>0</v>
      </c>
      <c r="L85" s="1284">
        <v>0</v>
      </c>
      <c r="M85" s="1284">
        <f t="shared" si="30"/>
        <v>0</v>
      </c>
      <c r="N85" s="1284">
        <f t="shared" si="30"/>
        <v>0</v>
      </c>
      <c r="Z85" s="2720"/>
      <c r="AA85" s="2788"/>
      <c r="AG85" s="1371"/>
      <c r="AK85" s="2788"/>
    </row>
    <row r="86" spans="1:37" ht="26.4">
      <c r="A86" s="2870" t="s">
        <v>2953</v>
      </c>
      <c r="B86" s="1724" t="str">
        <f>估价对象房地状况!G20</f>
        <v>估价对象所在区域基础设施水平</v>
      </c>
      <c r="C86" s="2770"/>
      <c r="D86" s="1285">
        <f t="shared" si="26"/>
        <v>0</v>
      </c>
      <c r="E86" s="826"/>
      <c r="F86" s="2502"/>
      <c r="G86" s="1283"/>
      <c r="H86" s="1287" t="str">
        <f t="shared" si="27"/>
        <v>——</v>
      </c>
      <c r="I86" s="820">
        <v>0.15</v>
      </c>
      <c r="J86" s="1284">
        <f t="shared" si="28"/>
        <v>0</v>
      </c>
      <c r="K86" s="1284">
        <f t="shared" si="29"/>
        <v>0</v>
      </c>
      <c r="L86" s="1284">
        <v>0</v>
      </c>
      <c r="M86" s="1284">
        <f t="shared" si="30"/>
        <v>0</v>
      </c>
      <c r="N86" s="1284">
        <f t="shared" si="30"/>
        <v>0</v>
      </c>
      <c r="Z86" s="2720"/>
      <c r="AA86" s="2788"/>
      <c r="AG86" s="1371"/>
      <c r="AK86" s="2788"/>
    </row>
    <row r="87" spans="1:37" ht="36">
      <c r="A87" s="2870" t="s">
        <v>2950</v>
      </c>
      <c r="B87" s="2876" t="s">
        <v>2964</v>
      </c>
      <c r="C87" s="2770"/>
      <c r="D87" s="1285">
        <f t="shared" si="26"/>
        <v>0</v>
      </c>
      <c r="E87" s="826"/>
      <c r="F87" s="2502"/>
      <c r="G87" s="1283"/>
      <c r="H87" s="1287" t="str">
        <f t="shared" si="27"/>
        <v>——</v>
      </c>
      <c r="I87" s="820">
        <v>0.05</v>
      </c>
      <c r="J87" s="1284">
        <f t="shared" si="28"/>
        <v>0</v>
      </c>
      <c r="K87" s="1284">
        <f t="shared" si="29"/>
        <v>0</v>
      </c>
      <c r="L87" s="1284">
        <v>0</v>
      </c>
      <c r="M87" s="1284">
        <f t="shared" si="30"/>
        <v>0</v>
      </c>
      <c r="N87" s="1284">
        <f t="shared" si="30"/>
        <v>0</v>
      </c>
      <c r="Z87" s="2720"/>
      <c r="AA87" s="2788"/>
      <c r="AG87" s="1371"/>
      <c r="AK87" s="2788"/>
    </row>
    <row r="88" spans="1:37" ht="53.4" thickBot="1">
      <c r="A88" s="2878" t="s">
        <v>2965</v>
      </c>
      <c r="B88" s="2883" t="str">
        <f>估价对象房地状况!G18</f>
        <v>该园区内是否有污染型企业，绿化情况，卫生条件，整体环境状况判断</v>
      </c>
      <c r="C88" s="2770"/>
      <c r="D88" s="1285">
        <f t="shared" si="26"/>
        <v>0</v>
      </c>
      <c r="E88" s="827"/>
      <c r="F88" s="2502"/>
      <c r="G88" s="1283"/>
      <c r="H88" s="1287" t="str">
        <f t="shared" si="27"/>
        <v>——</v>
      </c>
      <c r="I88" s="824">
        <v>0.06</v>
      </c>
      <c r="J88" s="1284">
        <f t="shared" si="28"/>
        <v>0</v>
      </c>
      <c r="K88" s="1284">
        <f t="shared" si="29"/>
        <v>0</v>
      </c>
      <c r="L88" s="1284">
        <v>0</v>
      </c>
      <c r="M88" s="1284">
        <f t="shared" si="30"/>
        <v>0</v>
      </c>
      <c r="N88" s="1284">
        <f t="shared" si="30"/>
        <v>0</v>
      </c>
      <c r="Z88" s="2720"/>
      <c r="AA88" s="2788"/>
      <c r="AG88" s="1371"/>
      <c r="AK88" s="2788"/>
    </row>
    <row r="90" spans="1:37">
      <c r="A90" s="3175" t="s">
        <v>2966</v>
      </c>
      <c r="B90" s="3175"/>
      <c r="C90" s="3175"/>
      <c r="D90" s="3175"/>
      <c r="E90" s="3175"/>
      <c r="F90" s="3175"/>
      <c r="G90" s="3175"/>
      <c r="H90" s="3175"/>
      <c r="I90" s="3175"/>
      <c r="J90" s="3175"/>
      <c r="K90" s="2884"/>
      <c r="L90" s="2884"/>
      <c r="M90" s="2884"/>
      <c r="N90" s="2884"/>
    </row>
    <row r="91" spans="1:37">
      <c r="A91" s="3177" t="s">
        <v>2967</v>
      </c>
      <c r="B91" s="3177" t="s">
        <v>2968</v>
      </c>
      <c r="C91" s="2838" t="s">
        <v>2969</v>
      </c>
      <c r="D91" s="2839"/>
      <c r="E91" s="2839"/>
      <c r="F91" s="2839"/>
      <c r="G91" s="2839"/>
      <c r="H91" s="2839"/>
      <c r="I91" s="2839"/>
      <c r="J91" s="2885"/>
      <c r="K91" s="2886"/>
      <c r="L91" s="2886"/>
      <c r="M91" s="2886"/>
      <c r="N91" s="2886"/>
    </row>
    <row r="92" spans="1:37">
      <c r="A92" s="3177"/>
      <c r="B92" s="3177"/>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178" t="s">
        <v>2970</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179"/>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179"/>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179"/>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179"/>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179"/>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179"/>
      <c r="B99" s="2887" t="s">
        <v>2852</v>
      </c>
      <c r="C99" s="2889">
        <f>$I$3</f>
        <v>0</v>
      </c>
      <c r="D99" s="2889">
        <f t="shared" ref="D99:M99" si="31">$I$3</f>
        <v>0</v>
      </c>
      <c r="E99" s="2889">
        <f t="shared" si="31"/>
        <v>0</v>
      </c>
      <c r="F99" s="2889">
        <f t="shared" si="31"/>
        <v>0</v>
      </c>
      <c r="G99" s="2889">
        <f t="shared" si="31"/>
        <v>0</v>
      </c>
      <c r="H99" s="2889">
        <f t="shared" si="31"/>
        <v>0</v>
      </c>
      <c r="I99" s="2889">
        <f t="shared" si="31"/>
        <v>0</v>
      </c>
      <c r="J99" s="2889">
        <f t="shared" si="31"/>
        <v>0</v>
      </c>
      <c r="K99" s="2889">
        <f t="shared" si="31"/>
        <v>0</v>
      </c>
      <c r="L99" s="2889">
        <f t="shared" si="31"/>
        <v>0</v>
      </c>
      <c r="M99" s="2889">
        <f t="shared" si="31"/>
        <v>0</v>
      </c>
      <c r="N99" s="2889">
        <f>$I$3</f>
        <v>0</v>
      </c>
    </row>
    <row r="100" spans="1:14">
      <c r="A100" s="3180"/>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178" t="s">
        <v>2971</v>
      </c>
      <c r="B101" s="2891" t="s">
        <v>2972</v>
      </c>
      <c r="C101" s="2892">
        <f>$G$3</f>
        <v>2.81</v>
      </c>
      <c r="D101" s="2892">
        <f t="shared" ref="D101:N101" si="32">$G$3</f>
        <v>2.81</v>
      </c>
      <c r="E101" s="2892">
        <f t="shared" si="32"/>
        <v>2.81</v>
      </c>
      <c r="F101" s="2892">
        <f t="shared" si="32"/>
        <v>2.81</v>
      </c>
      <c r="G101" s="2892">
        <f t="shared" si="32"/>
        <v>2.81</v>
      </c>
      <c r="H101" s="2892">
        <f t="shared" si="32"/>
        <v>2.81</v>
      </c>
      <c r="I101" s="2892">
        <f t="shared" si="32"/>
        <v>2.81</v>
      </c>
      <c r="J101" s="2892">
        <f t="shared" si="32"/>
        <v>2.81</v>
      </c>
      <c r="K101" s="2892">
        <f t="shared" si="32"/>
        <v>2.81</v>
      </c>
      <c r="L101" s="2892">
        <f t="shared" si="32"/>
        <v>2.81</v>
      </c>
      <c r="M101" s="2892">
        <f t="shared" si="32"/>
        <v>2.81</v>
      </c>
      <c r="N101" s="2892">
        <f t="shared" si="32"/>
        <v>2.81</v>
      </c>
    </row>
    <row r="102" spans="1:14">
      <c r="A102" s="3179"/>
      <c r="B102" s="2887">
        <v>1</v>
      </c>
      <c r="C102" s="2888">
        <f>1.9362/C101</f>
        <v>0.68903914590747328</v>
      </c>
      <c r="D102" s="2888">
        <f>1.9362/D101</f>
        <v>0.68903914590747328</v>
      </c>
      <c r="E102" s="2888">
        <f>1.8629/E101</f>
        <v>0.66295373665480428</v>
      </c>
      <c r="F102" s="2888">
        <f>1.8629/F101</f>
        <v>0.66295373665480428</v>
      </c>
      <c r="G102" s="2888">
        <f>1.8629/G101</f>
        <v>0.66295373665480428</v>
      </c>
      <c r="H102" s="2888">
        <f>1.8629/H101</f>
        <v>0.66295373665480428</v>
      </c>
      <c r="I102" s="2888">
        <f>1.8629/I101</f>
        <v>0.66295373665480428</v>
      </c>
      <c r="J102" s="2888">
        <f>1.942/J101</f>
        <v>0.69110320284697502</v>
      </c>
      <c r="K102" s="2888">
        <f>1.942/K101</f>
        <v>0.69110320284697502</v>
      </c>
      <c r="L102" s="2888">
        <f>1.942/L101</f>
        <v>0.69110320284697502</v>
      </c>
      <c r="M102" s="2888">
        <f>1.942/M101</f>
        <v>0.69110320284697502</v>
      </c>
      <c r="N102" s="2888">
        <f>1.942/N101</f>
        <v>0.69110320284697502</v>
      </c>
    </row>
    <row r="103" spans="1:14">
      <c r="A103" s="3179"/>
      <c r="B103" s="2887">
        <v>2</v>
      </c>
      <c r="C103" s="2888">
        <f>1.4198/C101</f>
        <v>0.50526690391459073</v>
      </c>
      <c r="D103" s="2888">
        <f>1.4198/D101</f>
        <v>0.50526690391459073</v>
      </c>
      <c r="E103" s="2888">
        <f>1.3372/E101</f>
        <v>0.4758718861209964</v>
      </c>
      <c r="F103" s="2888">
        <f>1.3372/F101</f>
        <v>0.4758718861209964</v>
      </c>
      <c r="G103" s="2888">
        <f>1.3372/G101</f>
        <v>0.4758718861209964</v>
      </c>
      <c r="H103" s="2888">
        <f>1.3372/H101</f>
        <v>0.4758718861209964</v>
      </c>
      <c r="I103" s="2888">
        <f>1.3372/I101</f>
        <v>0.4758718861209964</v>
      </c>
      <c r="J103" s="2888">
        <f>1.2799/J101</f>
        <v>0.45548042704626335</v>
      </c>
      <c r="K103" s="2888">
        <f>1.2799/K101</f>
        <v>0.45548042704626335</v>
      </c>
      <c r="L103" s="2888">
        <f>1.2799/L101</f>
        <v>0.45548042704626335</v>
      </c>
      <c r="M103" s="2888">
        <f>1.2799/M101</f>
        <v>0.45548042704626335</v>
      </c>
      <c r="N103" s="2888">
        <f>1.2799/N101</f>
        <v>0.45548042704626335</v>
      </c>
    </row>
    <row r="104" spans="1:14">
      <c r="A104" s="3179"/>
      <c r="B104" s="2887">
        <v>3</v>
      </c>
      <c r="C104" s="2888">
        <f>1.1594/C101</f>
        <v>0.41259786476868326</v>
      </c>
      <c r="D104" s="2888">
        <f>1.1594/D101</f>
        <v>0.41259786476868326</v>
      </c>
      <c r="E104" s="2888">
        <f>1.0788/E101</f>
        <v>0.38391459074733092</v>
      </c>
      <c r="F104" s="2888">
        <f>1.0788/F101</f>
        <v>0.38391459074733092</v>
      </c>
      <c r="G104" s="2888">
        <f>1.0788/G101</f>
        <v>0.38391459074733092</v>
      </c>
      <c r="H104" s="2888">
        <f>1.0788/H101</f>
        <v>0.38391459074733092</v>
      </c>
      <c r="I104" s="2888">
        <f>1.0788/I101</f>
        <v>0.38391459074733092</v>
      </c>
      <c r="J104" s="2888">
        <f>1.0072/J101</f>
        <v>0.35843416370106762</v>
      </c>
      <c r="K104" s="2888">
        <f>1.0072/K101</f>
        <v>0.35843416370106762</v>
      </c>
      <c r="L104" s="2888">
        <f>1.0072/L101</f>
        <v>0.35843416370106762</v>
      </c>
      <c r="M104" s="2888">
        <f>1.0072/M101</f>
        <v>0.35843416370106762</v>
      </c>
      <c r="N104" s="2888">
        <f>1.0072/N101</f>
        <v>0.35843416370106762</v>
      </c>
    </row>
    <row r="105" spans="1:14">
      <c r="A105" s="3179"/>
      <c r="B105" s="2887">
        <v>4</v>
      </c>
      <c r="C105" s="2888">
        <f>0.9622/C101</f>
        <v>0.34241992882562278</v>
      </c>
      <c r="D105" s="2888">
        <f>0.9622/D101</f>
        <v>0.34241992882562278</v>
      </c>
      <c r="E105" s="2888">
        <f>0.8656/E101</f>
        <v>0.30804270462633454</v>
      </c>
      <c r="F105" s="2888">
        <f>0.8656/F101</f>
        <v>0.30804270462633454</v>
      </c>
      <c r="G105" s="2888">
        <f>0.8656/G101</f>
        <v>0.30804270462633454</v>
      </c>
      <c r="H105" s="2888">
        <f>0.8656/H101</f>
        <v>0.30804270462633454</v>
      </c>
      <c r="I105" s="2888">
        <f>0.8656/I101</f>
        <v>0.30804270462633454</v>
      </c>
      <c r="J105" s="2888">
        <f>0.7525/J101</f>
        <v>0.26779359430604982</v>
      </c>
      <c r="K105" s="2888">
        <f>0.7525/K101</f>
        <v>0.26779359430604982</v>
      </c>
      <c r="L105" s="2888">
        <f>0.7525/L101</f>
        <v>0.26779359430604982</v>
      </c>
      <c r="M105" s="2888">
        <f>0.7525/M101</f>
        <v>0.26779359430604982</v>
      </c>
      <c r="N105" s="2888">
        <f>0.7525/N101</f>
        <v>0.26779359430604982</v>
      </c>
    </row>
    <row r="106" spans="1:14">
      <c r="A106" s="3179"/>
      <c r="B106" s="2887">
        <v>5</v>
      </c>
      <c r="C106" s="2888">
        <f>0.8417/C101</f>
        <v>0.29953736654804269</v>
      </c>
      <c r="D106" s="2888">
        <f>0.8417/D101</f>
        <v>0.29953736654804269</v>
      </c>
      <c r="E106" s="2888">
        <f>0.7371/E101</f>
        <v>0.26231316725978648</v>
      </c>
      <c r="F106" s="2888">
        <f>0.7371/F101</f>
        <v>0.26231316725978648</v>
      </c>
      <c r="G106" s="2888">
        <f>0.7371/G101</f>
        <v>0.26231316725978648</v>
      </c>
      <c r="H106" s="2888">
        <f>0.7371/H101</f>
        <v>0.26231316725978648</v>
      </c>
      <c r="I106" s="2888">
        <f>0.7371/I101</f>
        <v>0.26231316725978648</v>
      </c>
      <c r="J106" s="2888">
        <f>0.5659/J101</f>
        <v>0.20138790035587187</v>
      </c>
      <c r="K106" s="2888">
        <f>0.5659/K101</f>
        <v>0.20138790035587187</v>
      </c>
      <c r="L106" s="2888">
        <f>0.5659/L101</f>
        <v>0.20138790035587187</v>
      </c>
      <c r="M106" s="2888">
        <f>0.5659/M101</f>
        <v>0.20138790035587187</v>
      </c>
      <c r="N106" s="2888">
        <f>0.5659/N101</f>
        <v>0.20138790035587187</v>
      </c>
    </row>
    <row r="107" spans="1:14">
      <c r="A107" s="3179"/>
      <c r="B107" s="2887">
        <v>6</v>
      </c>
      <c r="C107" s="2888">
        <f>0.7608/C101</f>
        <v>0.27074733096085407</v>
      </c>
      <c r="D107" s="2888">
        <f>0.7608/D101</f>
        <v>0.27074733096085407</v>
      </c>
      <c r="E107" s="2888">
        <f>0.6482/E101</f>
        <v>0.23067615658362989</v>
      </c>
      <c r="F107" s="2888">
        <f>0.6482/F101</f>
        <v>0.23067615658362989</v>
      </c>
      <c r="G107" s="2888">
        <f>0.6482/G101</f>
        <v>0.23067615658362989</v>
      </c>
      <c r="H107" s="2888">
        <f>0.6482/H101</f>
        <v>0.23067615658362989</v>
      </c>
      <c r="I107" s="2888">
        <f>0.6482/I101</f>
        <v>0.23067615658362989</v>
      </c>
      <c r="J107" s="2888">
        <f>0.4525/J101</f>
        <v>0.1610320284697509</v>
      </c>
      <c r="K107" s="2888">
        <f>0.4525/K101</f>
        <v>0.1610320284697509</v>
      </c>
      <c r="L107" s="2888">
        <f>0.4525/L101</f>
        <v>0.1610320284697509</v>
      </c>
      <c r="M107" s="2888">
        <f>0.4525/M101</f>
        <v>0.1610320284697509</v>
      </c>
      <c r="N107" s="2888">
        <f>0.4525/N101</f>
        <v>0.1610320284697509</v>
      </c>
    </row>
    <row r="108" spans="1:14">
      <c r="A108" s="3179"/>
      <c r="B108" s="3104" t="s">
        <v>2973</v>
      </c>
      <c r="C108" s="2889">
        <f>C99</f>
        <v>0</v>
      </c>
      <c r="D108" s="2889">
        <f t="shared" ref="D108:N108" si="33">D99</f>
        <v>0</v>
      </c>
      <c r="E108" s="2889">
        <f t="shared" si="33"/>
        <v>0</v>
      </c>
      <c r="F108" s="2889">
        <f t="shared" si="33"/>
        <v>0</v>
      </c>
      <c r="G108" s="2889">
        <f t="shared" si="33"/>
        <v>0</v>
      </c>
      <c r="H108" s="2889">
        <f t="shared" si="33"/>
        <v>0</v>
      </c>
      <c r="I108" s="2889">
        <f t="shared" si="33"/>
        <v>0</v>
      </c>
      <c r="J108" s="2889">
        <f t="shared" si="33"/>
        <v>0</v>
      </c>
      <c r="K108" s="2889">
        <f t="shared" si="33"/>
        <v>0</v>
      </c>
      <c r="L108" s="2889">
        <f t="shared" si="33"/>
        <v>0</v>
      </c>
      <c r="M108" s="2889">
        <f t="shared" si="33"/>
        <v>0</v>
      </c>
      <c r="N108" s="2889">
        <f t="shared" si="33"/>
        <v>0</v>
      </c>
    </row>
    <row r="109" spans="1:14">
      <c r="A109" s="3180"/>
      <c r="B109" s="3105"/>
      <c r="C109" s="2890">
        <f>(-0.163*(C108^2)-0.59*C108+7617)*(10^(-4))/C101</f>
        <v>0.27106761565836301</v>
      </c>
      <c r="D109" s="2890">
        <f>(-0.163*(D108^2)-0.59*D108+7617)*(10^(-4))/D101</f>
        <v>0.27106761565836301</v>
      </c>
      <c r="E109" s="2890">
        <f>(-0.161*(E108^2)-7.509*E108+6533)*(10^(-4))/E101</f>
        <v>0.23249110320284697</v>
      </c>
      <c r="F109" s="2890">
        <f>(-0.161*(F108^2)-7.509*F108+6533)*(10^(-4))/F101</f>
        <v>0.23249110320284697</v>
      </c>
      <c r="G109" s="2890">
        <f>(-0.161*(G108^2)-7.509*G108+6533)*(10^(-4))/G101</f>
        <v>0.23249110320284697</v>
      </c>
      <c r="H109" s="2890">
        <f>(-0.161*(H108^2)-7.509*H108+6533)*(10^(-4))/H101</f>
        <v>0.23249110320284697</v>
      </c>
      <c r="I109" s="2890">
        <f>(-0.161*(I108^2)-7.509*I108+6533)*(10^(-4))/I101</f>
        <v>0.23249110320284697</v>
      </c>
      <c r="J109" s="2890">
        <f>(-0.214*(J108^2)-21.991*J108+4665)*(10^(-4))/J101</f>
        <v>0.16601423487544484</v>
      </c>
      <c r="K109" s="2890">
        <f>(-0.214*(K108^2)-21.991*K108+4665)*(10^(-4))/K101</f>
        <v>0.16601423487544484</v>
      </c>
      <c r="L109" s="2890">
        <f>(-0.214*(L108^2)-21.991*L108+4665)*(10^(-4))/L101</f>
        <v>0.16601423487544484</v>
      </c>
      <c r="M109" s="2890">
        <f>(-0.214*(M108^2)-21.991*M108+4665)*(10^(-4))/M101</f>
        <v>0.16601423487544484</v>
      </c>
      <c r="N109" s="2890">
        <f>(-0.214*(N108^2)-21.991*N108+4665)*(10^(-4))/N101</f>
        <v>0.16601423487544484</v>
      </c>
    </row>
    <row r="110" spans="1:14">
      <c r="A110" s="3176" t="s">
        <v>2974</v>
      </c>
      <c r="B110" s="3176"/>
      <c r="C110" s="3176"/>
      <c r="D110" s="3176"/>
      <c r="E110" s="3176"/>
      <c r="F110" s="3176"/>
      <c r="G110" s="3176"/>
      <c r="H110" s="3176"/>
      <c r="I110" s="3176"/>
      <c r="J110" s="3176"/>
      <c r="K110" s="2893"/>
      <c r="L110" s="2893"/>
      <c r="M110" s="2893"/>
      <c r="N110" s="2893"/>
    </row>
    <row r="112" spans="1:14" ht="13.8" thickBot="1"/>
    <row r="113" spans="1:13" ht="25.8" thickBot="1">
      <c r="A113" s="903" t="s">
        <v>2975</v>
      </c>
      <c r="B113" s="1286">
        <f>G3</f>
        <v>2.81</v>
      </c>
      <c r="C113" s="904" t="s">
        <v>2976</v>
      </c>
      <c r="D113" s="905">
        <f>SUMPRODUCT((A115:A118=F113)*(B114:M114=H113)*B115:M118)</f>
        <v>0.85229999999999995</v>
      </c>
      <c r="E113" s="2724" t="s">
        <v>2809</v>
      </c>
      <c r="F113" s="2895" t="str">
        <f>E2</f>
        <v>住宅</v>
      </c>
      <c r="G113" s="2724" t="s">
        <v>2810</v>
      </c>
      <c r="H113" s="2895" t="str">
        <f>G2</f>
        <v>五级</v>
      </c>
      <c r="I113" s="2724"/>
      <c r="J113" s="2896"/>
      <c r="K113" s="2896"/>
      <c r="L113" s="2896"/>
      <c r="M113" s="2896"/>
    </row>
    <row r="114" spans="1:13">
      <c r="A114" s="908"/>
      <c r="B114" s="2897" t="s">
        <v>2977</v>
      </c>
      <c r="C114" s="2897" t="s">
        <v>2978</v>
      </c>
      <c r="D114" s="2897" t="s">
        <v>2979</v>
      </c>
      <c r="E114" s="2898" t="s">
        <v>2980</v>
      </c>
      <c r="F114" s="2898" t="s">
        <v>2981</v>
      </c>
      <c r="G114" s="2898" t="s">
        <v>2982</v>
      </c>
      <c r="H114" s="2899" t="s">
        <v>2983</v>
      </c>
      <c r="I114" s="2899" t="s">
        <v>2984</v>
      </c>
      <c r="J114" s="2900" t="s">
        <v>2985</v>
      </c>
      <c r="K114" s="2900" t="s">
        <v>2986</v>
      </c>
      <c r="L114" s="2900" t="s">
        <v>2987</v>
      </c>
      <c r="M114" s="2901" t="s">
        <v>2988</v>
      </c>
    </row>
    <row r="115" spans="1:13">
      <c r="A115" s="909" t="s">
        <v>2874</v>
      </c>
      <c r="B115" s="910">
        <f>ROUND(0.9335-0.0094*B113,4)</f>
        <v>0.90710000000000002</v>
      </c>
      <c r="C115" s="910">
        <f>B115</f>
        <v>0.90710000000000002</v>
      </c>
      <c r="D115" s="910">
        <f>ROUND(0.8331-0.0109*B113,4)</f>
        <v>0.80249999999999999</v>
      </c>
      <c r="E115" s="910">
        <f>D115</f>
        <v>0.80249999999999999</v>
      </c>
      <c r="F115" s="910">
        <f>E115</f>
        <v>0.80249999999999999</v>
      </c>
      <c r="G115" s="910">
        <f>F115</f>
        <v>0.80249999999999999</v>
      </c>
      <c r="H115" s="910">
        <f>G115</f>
        <v>0.80249999999999999</v>
      </c>
      <c r="I115" s="910">
        <f>ROUND(0.689-0.0155*B113,4)</f>
        <v>0.64539999999999997</v>
      </c>
      <c r="J115" s="910">
        <f t="shared" ref="J115:M118" si="34">I115</f>
        <v>0.64539999999999997</v>
      </c>
      <c r="K115" s="910">
        <f t="shared" si="34"/>
        <v>0.64539999999999997</v>
      </c>
      <c r="L115" s="910">
        <f t="shared" si="34"/>
        <v>0.64539999999999997</v>
      </c>
      <c r="M115" s="911">
        <f t="shared" si="34"/>
        <v>0.64539999999999997</v>
      </c>
    </row>
    <row r="116" spans="1:13">
      <c r="A116" s="909" t="s">
        <v>2875</v>
      </c>
      <c r="B116" s="910">
        <f>ROUND(0.949-0.012*B113,4)</f>
        <v>0.9153</v>
      </c>
      <c r="C116" s="910">
        <f>B116</f>
        <v>0.9153</v>
      </c>
      <c r="D116" s="910">
        <f>ROUND(0.8567-0.013*B113,4)</f>
        <v>0.82020000000000004</v>
      </c>
      <c r="E116" s="910">
        <f t="shared" ref="E116:H117" si="35">D116</f>
        <v>0.82020000000000004</v>
      </c>
      <c r="F116" s="910">
        <f t="shared" si="35"/>
        <v>0.82020000000000004</v>
      </c>
      <c r="G116" s="910">
        <f t="shared" si="35"/>
        <v>0.82020000000000004</v>
      </c>
      <c r="H116" s="910">
        <f t="shared" si="35"/>
        <v>0.82020000000000004</v>
      </c>
      <c r="I116" s="910">
        <f>ROUND(0.7694-0.014*B113,4)</f>
        <v>0.73009999999999997</v>
      </c>
      <c r="J116" s="910">
        <f t="shared" si="34"/>
        <v>0.73009999999999997</v>
      </c>
      <c r="K116" s="910">
        <f t="shared" si="34"/>
        <v>0.73009999999999997</v>
      </c>
      <c r="L116" s="910">
        <f t="shared" si="34"/>
        <v>0.73009999999999997</v>
      </c>
      <c r="M116" s="911">
        <f t="shared" si="34"/>
        <v>0.73009999999999997</v>
      </c>
    </row>
    <row r="117" spans="1:13">
      <c r="A117" s="909" t="s">
        <v>2876</v>
      </c>
      <c r="B117" s="910">
        <f>ROUND(0.8808-0.006*B113,4)</f>
        <v>0.8639</v>
      </c>
      <c r="C117" s="910">
        <f>B117</f>
        <v>0.8639</v>
      </c>
      <c r="D117" s="910">
        <f>ROUND(0.8748-0.008*B113,4)</f>
        <v>0.85229999999999995</v>
      </c>
      <c r="E117" s="910">
        <f t="shared" si="35"/>
        <v>0.85229999999999995</v>
      </c>
      <c r="F117" s="910">
        <f t="shared" si="35"/>
        <v>0.85229999999999995</v>
      </c>
      <c r="G117" s="910">
        <f t="shared" si="35"/>
        <v>0.85229999999999995</v>
      </c>
      <c r="H117" s="910">
        <f t="shared" si="35"/>
        <v>0.85229999999999995</v>
      </c>
      <c r="I117" s="910">
        <f>ROUND(0.7412-0.0095*B113,4)</f>
        <v>0.71450000000000002</v>
      </c>
      <c r="J117" s="910">
        <f t="shared" si="34"/>
        <v>0.71450000000000002</v>
      </c>
      <c r="K117" s="910">
        <f t="shared" si="34"/>
        <v>0.71450000000000002</v>
      </c>
      <c r="L117" s="910">
        <f t="shared" si="34"/>
        <v>0.71450000000000002</v>
      </c>
      <c r="M117" s="911">
        <f t="shared" si="34"/>
        <v>0.71450000000000002</v>
      </c>
    </row>
    <row r="118" spans="1:13" ht="13.8" thickBot="1">
      <c r="A118" s="714" t="s">
        <v>2877</v>
      </c>
      <c r="B118" s="912">
        <f>ROUND(0.7275-0.01*B113,4)</f>
        <v>0.69940000000000002</v>
      </c>
      <c r="C118" s="912">
        <f>B118</f>
        <v>0.69940000000000002</v>
      </c>
      <c r="D118" s="912">
        <f>ROUND(0.7043-0.012*B113,4)</f>
        <v>0.67059999999999997</v>
      </c>
      <c r="E118" s="912">
        <f>D118</f>
        <v>0.67059999999999997</v>
      </c>
      <c r="F118" s="912">
        <f>E118</f>
        <v>0.67059999999999997</v>
      </c>
      <c r="G118" s="912">
        <f>ROUND(0.6299-0.0122*B113,4)</f>
        <v>0.59560000000000002</v>
      </c>
      <c r="H118" s="912">
        <f>G118</f>
        <v>0.59560000000000002</v>
      </c>
      <c r="I118" s="912">
        <f>ROUND(0.5667-0.0136*B113,4)</f>
        <v>0.52849999999999997</v>
      </c>
      <c r="J118" s="912">
        <f t="shared" si="34"/>
        <v>0.52849999999999997</v>
      </c>
      <c r="K118" s="912">
        <f t="shared" si="34"/>
        <v>0.52849999999999997</v>
      </c>
      <c r="L118" s="912">
        <f t="shared" si="34"/>
        <v>0.52849999999999997</v>
      </c>
      <c r="M118" s="913">
        <f t="shared" si="34"/>
        <v>0.52849999999999997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64" zoomScale="90" zoomScaleNormal="90" workbookViewId="0">
      <selection activeCell="J94" sqref="J94"/>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2523</v>
      </c>
      <c r="B1" s="2583" t="s">
        <v>2524</v>
      </c>
      <c r="C1" s="1633" t="s">
        <v>2525</v>
      </c>
      <c r="D1" s="1620" t="s">
        <v>3057</v>
      </c>
      <c r="E1" s="2584"/>
      <c r="F1" s="2585" t="s">
        <v>2526</v>
      </c>
      <c r="G1" s="1630" t="s">
        <v>2527</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1388</v>
      </c>
      <c r="B2" s="1417">
        <f>IF(C2="——",ROUND(C49*D3/10000,0),ROUND(C49*D3/10000,0)-D2)</f>
        <v>590</v>
      </c>
      <c r="C2" s="2587" t="s">
        <v>70</v>
      </c>
      <c r="D2" s="1364" t="e">
        <f ca="1">SUMIF(INDIRECT("'"&amp;F2&amp;"'"&amp;"!A:A"),"承租人权益价值",INDIRECT("'"&amp;F2&amp;"'"&amp;"!c:c"))</f>
        <v>#REF!</v>
      </c>
      <c r="E2" s="2588" t="s">
        <v>2528</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f>IF(C2="——",C49,ROUND(B2*10000/D3,0))</f>
        <v>90746</v>
      </c>
      <c r="C3" s="400" t="s">
        <v>2529</v>
      </c>
      <c r="D3" s="399">
        <f>IF(D1="",'数据-汇总表'!E3,SUMIF('数据-汇总表'!$C19:$C33,D1,'数据-汇总表'!$E19:$E33))</f>
        <v>65</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1"/>
    </row>
    <row r="4" spans="1:29" ht="14.4">
      <c r="A4" s="401" t="s">
        <v>2530</v>
      </c>
      <c r="B4" s="402"/>
      <c r="C4" s="3214" t="s">
        <v>2531</v>
      </c>
      <c r="D4" s="3215"/>
      <c r="E4" s="3216" t="s">
        <v>2532</v>
      </c>
      <c r="F4" s="3217"/>
      <c r="G4" s="3214" t="s">
        <v>2533</v>
      </c>
      <c r="H4" s="3215"/>
      <c r="I4" s="3214" t="s">
        <v>2534</v>
      </c>
      <c r="J4" s="3215"/>
      <c r="K4" s="2597" t="s">
        <v>2535</v>
      </c>
      <c r="L4" s="1130"/>
      <c r="M4" s="1131"/>
      <c r="N4" s="1131"/>
      <c r="O4" s="1131"/>
      <c r="P4" s="3218" t="s">
        <v>2536</v>
      </c>
      <c r="Q4" s="3219"/>
      <c r="R4" s="3201" t="s">
        <v>2532</v>
      </c>
      <c r="S4" s="3202"/>
      <c r="T4" s="3201" t="s">
        <v>2533</v>
      </c>
      <c r="U4" s="3202"/>
      <c r="V4" s="3226" t="s">
        <v>2534</v>
      </c>
      <c r="W4" s="3226"/>
      <c r="X4" s="1812"/>
      <c r="Y4" s="3201" t="s">
        <v>2536</v>
      </c>
      <c r="Z4" s="3202"/>
      <c r="AA4" s="3196" t="s">
        <v>2532</v>
      </c>
      <c r="AB4" s="3196" t="s">
        <v>2533</v>
      </c>
      <c r="AC4" s="3196" t="s">
        <v>2534</v>
      </c>
    </row>
    <row r="5" spans="1:29">
      <c r="A5" s="404"/>
      <c r="B5" s="405"/>
      <c r="C5" s="3207" t="s">
        <v>2537</v>
      </c>
      <c r="D5" s="3208"/>
      <c r="E5" s="3205" t="s">
        <v>2538</v>
      </c>
      <c r="F5" s="3206"/>
      <c r="G5" s="3207" t="s">
        <v>2539</v>
      </c>
      <c r="H5" s="3208"/>
      <c r="I5" s="3207" t="s">
        <v>2540</v>
      </c>
      <c r="J5" s="3208"/>
      <c r="K5" s="2598"/>
      <c r="L5" s="1130"/>
      <c r="M5" s="1131"/>
      <c r="N5" s="1131"/>
      <c r="O5" s="1131"/>
      <c r="P5" s="3220"/>
      <c r="Q5" s="3221"/>
      <c r="R5" s="3203"/>
      <c r="S5" s="3204"/>
      <c r="T5" s="3203"/>
      <c r="U5" s="3204"/>
      <c r="V5" s="3226"/>
      <c r="W5" s="3226"/>
      <c r="X5" s="1812"/>
      <c r="Y5" s="3203"/>
      <c r="Z5" s="3204"/>
      <c r="AA5" s="3197"/>
      <c r="AB5" s="3197"/>
      <c r="AC5" s="3197"/>
    </row>
    <row r="6" spans="1:29" ht="15" thickBot="1">
      <c r="A6" s="406"/>
      <c r="B6" s="407"/>
      <c r="C6" s="3209" t="s">
        <v>2541</v>
      </c>
      <c r="D6" s="3210"/>
      <c r="E6" s="3211" t="s">
        <v>2541</v>
      </c>
      <c r="F6" s="3212"/>
      <c r="G6" s="3209" t="s">
        <v>2541</v>
      </c>
      <c r="H6" s="3210"/>
      <c r="I6" s="3209" t="s">
        <v>2541</v>
      </c>
      <c r="J6" s="3210"/>
      <c r="K6" s="2598" t="s">
        <v>2542</v>
      </c>
      <c r="L6" s="1130"/>
      <c r="M6" s="1131"/>
      <c r="N6" s="1131"/>
      <c r="O6" s="1131"/>
      <c r="P6" s="3222"/>
      <c r="Q6" s="3223"/>
      <c r="R6" s="3203"/>
      <c r="S6" s="3204"/>
      <c r="T6" s="3224"/>
      <c r="U6" s="3225"/>
      <c r="V6" s="3226"/>
      <c r="W6" s="3226"/>
      <c r="X6" s="1812"/>
      <c r="Y6" s="3224"/>
      <c r="Z6" s="3225"/>
      <c r="AA6" s="3198"/>
      <c r="AB6" s="3198"/>
      <c r="AC6" s="3198"/>
    </row>
    <row r="7" spans="1:29" s="117" customFormat="1" ht="15" thickBot="1">
      <c r="A7" s="408" t="s">
        <v>2543</v>
      </c>
      <c r="B7" s="409"/>
      <c r="C7" s="410">
        <f>'数据-取费表'!B2</f>
        <v>43915</v>
      </c>
      <c r="D7" s="411">
        <v>100</v>
      </c>
      <c r="E7" s="412">
        <v>43891</v>
      </c>
      <c r="F7" s="413">
        <f>SUMIF(58:58,YEAR(E7)&amp;"-"&amp;MONTH(E7),59:59)</f>
        <v>100</v>
      </c>
      <c r="G7" s="412">
        <v>43891</v>
      </c>
      <c r="H7" s="411">
        <f>SUMIF(58:58,YEAR(G7)&amp;"-"&amp;MONTH(G7),59:59)</f>
        <v>100</v>
      </c>
      <c r="I7" s="412">
        <v>43891</v>
      </c>
      <c r="J7" s="411">
        <f>SUMIF(58:58,YEAR(I7)&amp;"-"&amp;MONTH(I7),59:59)</f>
        <v>100</v>
      </c>
      <c r="K7" s="2599"/>
      <c r="L7" s="1132"/>
      <c r="M7" s="1133"/>
      <c r="N7" s="1133"/>
      <c r="O7" s="1133"/>
      <c r="P7" s="3199" t="s">
        <v>2544</v>
      </c>
      <c r="Q7" s="3227"/>
      <c r="R7" s="770" t="s">
        <v>23</v>
      </c>
      <c r="S7" s="771">
        <f t="shared" ref="S7:S15" si="0">F7</f>
        <v>100</v>
      </c>
      <c r="T7" s="770" t="s">
        <v>23</v>
      </c>
      <c r="U7" s="771">
        <f t="shared" ref="U7:U15" si="1">H7</f>
        <v>100</v>
      </c>
      <c r="V7" s="770" t="s">
        <v>23</v>
      </c>
      <c r="W7" s="771">
        <f t="shared" ref="W7:W15" si="2">J7</f>
        <v>100</v>
      </c>
      <c r="X7" s="772"/>
      <c r="Y7" s="3199" t="s">
        <v>2544</v>
      </c>
      <c r="Z7" s="3200"/>
      <c r="AA7" s="773">
        <f>D7/F7</f>
        <v>1</v>
      </c>
      <c r="AB7" s="773">
        <f>D7/H7</f>
        <v>1</v>
      </c>
      <c r="AC7" s="773">
        <f>D7/J7</f>
        <v>1</v>
      </c>
    </row>
    <row r="8" spans="1:29" s="117" customFormat="1" ht="15" thickBot="1">
      <c r="A8" s="408" t="s">
        <v>2545</v>
      </c>
      <c r="B8" s="409"/>
      <c r="C8" s="414" t="s">
        <v>2546</v>
      </c>
      <c r="D8" s="411">
        <v>100</v>
      </c>
      <c r="E8" s="2954" t="s">
        <v>3084</v>
      </c>
      <c r="F8" s="413">
        <f>SUMIF(61:61,E8,62:62)-SUMIF(61:61,C8,62:62)+100</f>
        <v>100</v>
      </c>
      <c r="G8" s="2955" t="s">
        <v>3084</v>
      </c>
      <c r="H8" s="411">
        <f>SUMIF(61:61,G8,62:62)-SUMIF(61:61,C8,62:62)+100</f>
        <v>100</v>
      </c>
      <c r="I8" s="2954" t="s">
        <v>3084</v>
      </c>
      <c r="J8" s="411">
        <f>SUMIF(61:61,I8,62:62)-SUMIF(61:61,C8,62:62)+100</f>
        <v>100</v>
      </c>
      <c r="K8" s="2599"/>
      <c r="L8" s="1132"/>
      <c r="M8" s="1133"/>
      <c r="N8" s="1133"/>
      <c r="O8" s="1133"/>
      <c r="P8" s="3199" t="s">
        <v>2547</v>
      </c>
      <c r="Q8" s="3200"/>
      <c r="R8" s="770" t="s">
        <v>23</v>
      </c>
      <c r="S8" s="771">
        <f t="shared" si="0"/>
        <v>100</v>
      </c>
      <c r="T8" s="770" t="s">
        <v>23</v>
      </c>
      <c r="U8" s="771">
        <f t="shared" si="1"/>
        <v>100</v>
      </c>
      <c r="V8" s="770" t="s">
        <v>23</v>
      </c>
      <c r="W8" s="771">
        <f t="shared" si="2"/>
        <v>100</v>
      </c>
      <c r="X8" s="772"/>
      <c r="Y8" s="3199" t="s">
        <v>2547</v>
      </c>
      <c r="Z8" s="3200"/>
      <c r="AA8" s="773">
        <f t="shared" ref="AA8:AA19" si="3">D8/F8</f>
        <v>1</v>
      </c>
      <c r="AB8" s="773">
        <f t="shared" ref="AB8:AB19" si="4">D8/H8</f>
        <v>1</v>
      </c>
      <c r="AC8" s="773">
        <f t="shared" ref="AC8:AC19" si="5">D8/J8</f>
        <v>1</v>
      </c>
    </row>
    <row r="9" spans="1:29" s="117" customFormat="1" ht="14.4">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13" t="s">
        <v>2550</v>
      </c>
      <c r="Q9" s="1794" t="str">
        <f t="shared" ref="Q9:Q15" si="6">B9</f>
        <v>用途</v>
      </c>
      <c r="R9" s="770" t="s">
        <v>17</v>
      </c>
      <c r="S9" s="771">
        <f t="shared" si="0"/>
        <v>100</v>
      </c>
      <c r="T9" s="770" t="s">
        <v>17</v>
      </c>
      <c r="U9" s="771">
        <f t="shared" si="1"/>
        <v>100</v>
      </c>
      <c r="V9" s="770" t="s">
        <v>17</v>
      </c>
      <c r="W9" s="771">
        <f t="shared" si="2"/>
        <v>100</v>
      </c>
      <c r="X9" s="772"/>
      <c r="Y9" s="3050" t="s">
        <v>2551</v>
      </c>
      <c r="Z9" s="55" t="str">
        <f t="shared" ref="Z9:Z15" si="7">Q9</f>
        <v>用途</v>
      </c>
      <c r="AA9" s="773">
        <f t="shared" si="3"/>
        <v>1</v>
      </c>
      <c r="AB9" s="773">
        <f t="shared" si="4"/>
        <v>1</v>
      </c>
      <c r="AC9" s="773">
        <f t="shared" si="5"/>
        <v>1</v>
      </c>
    </row>
    <row r="10" spans="1:29" s="427" customFormat="1" ht="28.8">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3"/>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2553</v>
      </c>
      <c r="C11" s="429"/>
      <c r="D11" s="136">
        <v>100</v>
      </c>
      <c r="E11" s="430"/>
      <c r="F11" s="425">
        <f>LOOKUP(E11,68:68,69:69)-LOOKUP(C11,68:68,69:69)+100</f>
        <v>100</v>
      </c>
      <c r="G11" s="429"/>
      <c r="H11" s="136">
        <f>LOOKUP(G11,68:68,69:69)-LOOKUP(C11,68:68,69:69)+100</f>
        <v>100</v>
      </c>
      <c r="I11" s="429"/>
      <c r="J11" s="136">
        <f>LOOKUP(I11,68:68,69:69)-LOOKUP(C11,68:68,69:69)+100</f>
        <v>100</v>
      </c>
      <c r="K11" s="426"/>
      <c r="L11" s="1138"/>
      <c r="M11" s="1131"/>
      <c r="N11" s="1131"/>
      <c r="O11" s="1131"/>
      <c r="P11" s="3213"/>
      <c r="Q11" s="1794" t="str">
        <f t="shared" si="6"/>
        <v>容积率</v>
      </c>
      <c r="R11" s="770" t="s">
        <v>21</v>
      </c>
      <c r="S11" s="771">
        <f t="shared" si="0"/>
        <v>100</v>
      </c>
      <c r="T11" s="770" t="s">
        <v>21</v>
      </c>
      <c r="U11" s="771">
        <f t="shared" si="1"/>
        <v>100</v>
      </c>
      <c r="V11" s="770" t="s">
        <v>21</v>
      </c>
      <c r="W11" s="771">
        <f t="shared" si="2"/>
        <v>100</v>
      </c>
      <c r="X11" s="772"/>
      <c r="Y11" s="3050"/>
      <c r="Z11" s="55" t="str">
        <f t="shared" si="7"/>
        <v>容积率</v>
      </c>
      <c r="AA11" s="773">
        <f t="shared" si="3"/>
        <v>1</v>
      </c>
      <c r="AB11" s="773">
        <f t="shared" si="4"/>
        <v>1</v>
      </c>
      <c r="AC11" s="773">
        <f t="shared" si="5"/>
        <v>1</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13"/>
      <c r="Q12" s="1794">
        <f t="shared" si="6"/>
        <v>111</v>
      </c>
      <c r="R12" s="770" t="s">
        <v>21</v>
      </c>
      <c r="S12" s="771">
        <f t="shared" si="0"/>
        <v>100</v>
      </c>
      <c r="T12" s="770" t="s">
        <v>21</v>
      </c>
      <c r="U12" s="771">
        <f t="shared" si="1"/>
        <v>100</v>
      </c>
      <c r="V12" s="770" t="s">
        <v>21</v>
      </c>
      <c r="W12" s="771">
        <f t="shared" si="2"/>
        <v>100</v>
      </c>
      <c r="X12" s="772"/>
      <c r="Y12" s="305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13"/>
      <c r="Q13" s="1794">
        <f t="shared" si="6"/>
        <v>111</v>
      </c>
      <c r="R13" s="770" t="s">
        <v>21</v>
      </c>
      <c r="S13" s="771">
        <f t="shared" si="0"/>
        <v>100</v>
      </c>
      <c r="T13" s="770" t="s">
        <v>21</v>
      </c>
      <c r="U13" s="771">
        <f t="shared" si="1"/>
        <v>100</v>
      </c>
      <c r="V13" s="770" t="s">
        <v>21</v>
      </c>
      <c r="W13" s="771">
        <f t="shared" si="2"/>
        <v>100</v>
      </c>
      <c r="X13" s="772"/>
      <c r="Y13" s="3050"/>
      <c r="Z13" s="55">
        <f t="shared" si="7"/>
        <v>111</v>
      </c>
      <c r="AA13" s="773">
        <f t="shared" si="3"/>
        <v>1</v>
      </c>
      <c r="AB13" s="773">
        <f t="shared" si="4"/>
        <v>1</v>
      </c>
      <c r="AC13" s="773">
        <f t="shared" si="5"/>
        <v>1</v>
      </c>
    </row>
    <row r="14" spans="1:29" ht="15.6"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13"/>
      <c r="Q14" s="1794">
        <f t="shared" si="6"/>
        <v>111</v>
      </c>
      <c r="R14" s="770" t="s">
        <v>21</v>
      </c>
      <c r="S14" s="771">
        <f t="shared" si="0"/>
        <v>100</v>
      </c>
      <c r="T14" s="770" t="s">
        <v>21</v>
      </c>
      <c r="U14" s="771">
        <f t="shared" si="1"/>
        <v>100</v>
      </c>
      <c r="V14" s="770" t="s">
        <v>21</v>
      </c>
      <c r="W14" s="771">
        <f t="shared" si="2"/>
        <v>100</v>
      </c>
      <c r="X14" s="772"/>
      <c r="Y14" s="3050"/>
      <c r="Z14" s="55">
        <f t="shared" si="7"/>
        <v>111</v>
      </c>
      <c r="AA14" s="773">
        <f t="shared" si="3"/>
        <v>1</v>
      </c>
      <c r="AB14" s="773">
        <f t="shared" si="4"/>
        <v>1</v>
      </c>
      <c r="AC14" s="773">
        <f t="shared" si="5"/>
        <v>1</v>
      </c>
    </row>
    <row r="15" spans="1:29" ht="96.6">
      <c r="A15" s="440" t="s">
        <v>2554</v>
      </c>
      <c r="B15" s="69" t="s">
        <v>2083</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0" t="s">
        <v>2555</v>
      </c>
      <c r="Q15" s="1809" t="str">
        <f t="shared" si="6"/>
        <v>居住社区成熟度</v>
      </c>
      <c r="R15" s="774" t="s">
        <v>21</v>
      </c>
      <c r="S15" s="775">
        <f t="shared" si="0"/>
        <v>100</v>
      </c>
      <c r="T15" s="774" t="s">
        <v>21</v>
      </c>
      <c r="U15" s="775">
        <f t="shared" si="1"/>
        <v>100</v>
      </c>
      <c r="V15" s="774" t="s">
        <v>21</v>
      </c>
      <c r="W15" s="775">
        <f t="shared" si="2"/>
        <v>100</v>
      </c>
      <c r="X15" s="1812"/>
      <c r="Y15" s="3233" t="s">
        <v>2555</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40"/>
      <c r="M16" s="1131"/>
      <c r="N16" s="1131"/>
      <c r="O16" s="1131"/>
      <c r="P16" s="3241"/>
      <c r="Q16" s="1809"/>
      <c r="R16" s="774"/>
      <c r="S16" s="775"/>
      <c r="T16" s="774"/>
      <c r="U16" s="775"/>
      <c r="V16" s="774"/>
      <c r="W16" s="775"/>
      <c r="X16" s="1812"/>
      <c r="Y16" s="3234"/>
      <c r="Z16" s="1813"/>
      <c r="AA16" s="1810">
        <v>1</v>
      </c>
      <c r="AB16" s="1810">
        <v>1</v>
      </c>
      <c r="AC16" s="1810">
        <v>1</v>
      </c>
    </row>
    <row r="17" spans="1:29" ht="82.8">
      <c r="A17" s="428"/>
      <c r="B17" s="451" t="s">
        <v>2095</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1"/>
      <c r="Q17" s="1809" t="str">
        <f>B17</f>
        <v>交通便捷度</v>
      </c>
      <c r="R17" s="774" t="s">
        <v>21</v>
      </c>
      <c r="S17" s="775">
        <f>F17</f>
        <v>100</v>
      </c>
      <c r="T17" s="774" t="s">
        <v>21</v>
      </c>
      <c r="U17" s="775">
        <f>H17</f>
        <v>100</v>
      </c>
      <c r="V17" s="774" t="s">
        <v>21</v>
      </c>
      <c r="W17" s="775">
        <f>J17</f>
        <v>100</v>
      </c>
      <c r="X17" s="1812"/>
      <c r="Y17" s="3234"/>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40"/>
      <c r="M18" s="1131"/>
      <c r="N18" s="1131"/>
      <c r="O18" s="1131"/>
      <c r="P18" s="3241"/>
      <c r="Q18" s="1809"/>
      <c r="R18" s="774"/>
      <c r="S18" s="775"/>
      <c r="T18" s="774"/>
      <c r="U18" s="775"/>
      <c r="V18" s="774"/>
      <c r="W18" s="775"/>
      <c r="X18" s="1812"/>
      <c r="Y18" s="3234"/>
      <c r="Z18" s="1813"/>
      <c r="AA18" s="1810">
        <v>1</v>
      </c>
      <c r="AB18" s="1810">
        <v>1</v>
      </c>
      <c r="AC18" s="1810">
        <v>1</v>
      </c>
    </row>
    <row r="19" spans="1:29" ht="41.4">
      <c r="A19" s="428"/>
      <c r="B19" s="451" t="s">
        <v>2093</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1"/>
      <c r="Q19" s="1809" t="str">
        <f>B19</f>
        <v>公共配套设施</v>
      </c>
      <c r="R19" s="774" t="s">
        <v>21</v>
      </c>
      <c r="S19" s="775">
        <f>F19</f>
        <v>100</v>
      </c>
      <c r="T19" s="774" t="s">
        <v>21</v>
      </c>
      <c r="U19" s="775">
        <f>H19</f>
        <v>100</v>
      </c>
      <c r="V19" s="774" t="s">
        <v>21</v>
      </c>
      <c r="W19" s="775">
        <f>J19</f>
        <v>100</v>
      </c>
      <c r="X19" s="1812"/>
      <c r="Y19" s="3234"/>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40"/>
      <c r="M20" s="1131"/>
      <c r="N20" s="1131"/>
      <c r="O20" s="1131"/>
      <c r="P20" s="3241"/>
      <c r="Q20" s="1809"/>
      <c r="R20" s="774"/>
      <c r="S20" s="775"/>
      <c r="T20" s="774"/>
      <c r="U20" s="775"/>
      <c r="V20" s="774"/>
      <c r="W20" s="775"/>
      <c r="X20" s="1812"/>
      <c r="Y20" s="3234"/>
      <c r="Z20" s="1813"/>
      <c r="AA20" s="1810">
        <v>1</v>
      </c>
      <c r="AB20" s="1810">
        <v>1</v>
      </c>
      <c r="AC20" s="1810">
        <v>1</v>
      </c>
    </row>
    <row r="21" spans="1:29" ht="27.6">
      <c r="A21" s="428"/>
      <c r="B21" s="1383" t="s">
        <v>2096</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1"/>
      <c r="Q21" s="1809" t="str">
        <f>B21</f>
        <v>基础设施水平</v>
      </c>
      <c r="R21" s="774" t="s">
        <v>17</v>
      </c>
      <c r="S21" s="775">
        <f>F21</f>
        <v>100</v>
      </c>
      <c r="T21" s="774" t="s">
        <v>17</v>
      </c>
      <c r="U21" s="775">
        <f>H21</f>
        <v>100</v>
      </c>
      <c r="V21" s="774" t="s">
        <v>17</v>
      </c>
      <c r="W21" s="775">
        <f>J21</f>
        <v>100</v>
      </c>
      <c r="X21" s="1812"/>
      <c r="Y21" s="3234"/>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8"/>
      <c r="G22" s="2611"/>
      <c r="H22" s="448"/>
      <c r="I22" s="447"/>
      <c r="J22" s="448"/>
      <c r="K22" s="2612"/>
      <c r="L22" s="1140"/>
      <c r="M22" s="1131"/>
      <c r="N22" s="1131"/>
      <c r="O22" s="1131"/>
      <c r="P22" s="3241"/>
      <c r="Q22" s="1809"/>
      <c r="R22" s="774"/>
      <c r="S22" s="775"/>
      <c r="T22" s="774"/>
      <c r="U22" s="775"/>
      <c r="V22" s="774"/>
      <c r="W22" s="775"/>
      <c r="X22" s="1812"/>
      <c r="Y22" s="3234"/>
      <c r="Z22" s="1813"/>
      <c r="AA22" s="1810">
        <v>1</v>
      </c>
      <c r="AB22" s="1810">
        <v>1</v>
      </c>
      <c r="AC22" s="1810">
        <v>1</v>
      </c>
    </row>
    <row r="23" spans="1:29" ht="55.2">
      <c r="A23" s="428"/>
      <c r="B23" s="451" t="s">
        <v>2100</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1"/>
      <c r="Q23" s="1809" t="str">
        <f>B23</f>
        <v>自然及人文环境</v>
      </c>
      <c r="R23" s="774" t="s">
        <v>21</v>
      </c>
      <c r="S23" s="775">
        <f>F23</f>
        <v>100</v>
      </c>
      <c r="T23" s="774" t="s">
        <v>21</v>
      </c>
      <c r="U23" s="775">
        <f>H23</f>
        <v>100</v>
      </c>
      <c r="V23" s="774" t="s">
        <v>21</v>
      </c>
      <c r="W23" s="775">
        <f>J23</f>
        <v>100</v>
      </c>
      <c r="X23" s="1812"/>
      <c r="Y23" s="3234"/>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40"/>
      <c r="M24" s="1131"/>
      <c r="N24" s="1131"/>
      <c r="O24" s="1131"/>
      <c r="P24" s="3241"/>
      <c r="Q24" s="1809"/>
      <c r="R24" s="774"/>
      <c r="S24" s="775"/>
      <c r="T24" s="774"/>
      <c r="U24" s="775"/>
      <c r="V24" s="774"/>
      <c r="W24" s="775"/>
      <c r="X24" s="1812"/>
      <c r="Y24" s="3234"/>
      <c r="Z24" s="1813"/>
      <c r="AA24" s="1810">
        <v>1</v>
      </c>
      <c r="AB24" s="1810">
        <v>1</v>
      </c>
      <c r="AC24" s="1810">
        <v>1</v>
      </c>
    </row>
    <row r="25" spans="1:29" ht="15">
      <c r="A25" s="428"/>
      <c r="B25" s="422" t="s">
        <v>2556</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41"/>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34"/>
      <c r="Z25" s="1813" t="str">
        <f>Q25</f>
        <v>楼层-1</v>
      </c>
      <c r="AA25" s="1810">
        <f t="shared" ref="AA25:AA46" si="15">D25/F25</f>
        <v>1</v>
      </c>
      <c r="AB25" s="1810">
        <f t="shared" ref="AB25:AB46" si="16">D25/H25</f>
        <v>1</v>
      </c>
      <c r="AC25" s="1810">
        <f t="shared" ref="AC25:AC46" si="17">D25/J25</f>
        <v>1</v>
      </c>
    </row>
    <row r="26" spans="1:29" ht="15">
      <c r="A26" s="428"/>
      <c r="B26" s="422" t="s">
        <v>2557</v>
      </c>
      <c r="C26" s="2980" t="s">
        <v>3178</v>
      </c>
      <c r="D26" s="435">
        <v>100</v>
      </c>
      <c r="E26" s="2978" t="s">
        <v>3175</v>
      </c>
      <c r="F26" s="435">
        <f>SUMIF(88:88,E26,89:89)-SUMIF(88:88,C26,89:89)+100</f>
        <v>102</v>
      </c>
      <c r="G26" s="2979" t="s">
        <v>3176</v>
      </c>
      <c r="H26" s="435">
        <f>SUMIF(88:88,G26,89:89)-SUMIF(88:88,C26,89:89)+100</f>
        <v>100</v>
      </c>
      <c r="I26" s="2979" t="s">
        <v>3178</v>
      </c>
      <c r="J26" s="435">
        <f>SUMIF(88:88,I26,89:89)-SUMIF(88:88,C26,89:89)+100</f>
        <v>100</v>
      </c>
      <c r="K26" s="426">
        <v>2</v>
      </c>
      <c r="L26" s="1140"/>
      <c r="M26" s="1131"/>
      <c r="N26" s="1131"/>
      <c r="O26" s="1131"/>
      <c r="P26" s="3241"/>
      <c r="Q26" s="1809" t="str">
        <f t="shared" si="11"/>
        <v>朝向</v>
      </c>
      <c r="R26" s="774" t="s">
        <v>21</v>
      </c>
      <c r="S26" s="775">
        <f t="shared" si="12"/>
        <v>102</v>
      </c>
      <c r="T26" s="774" t="s">
        <v>21</v>
      </c>
      <c r="U26" s="775">
        <f t="shared" si="13"/>
        <v>100</v>
      </c>
      <c r="V26" s="774" t="s">
        <v>21</v>
      </c>
      <c r="W26" s="775">
        <f t="shared" si="14"/>
        <v>100</v>
      </c>
      <c r="X26" s="1812"/>
      <c r="Y26" s="3234"/>
      <c r="Z26" s="1813" t="str">
        <f>Q26</f>
        <v>朝向</v>
      </c>
      <c r="AA26" s="1810">
        <f t="shared" si="15"/>
        <v>0.98039215686274506</v>
      </c>
      <c r="AB26" s="1810">
        <f t="shared" si="16"/>
        <v>1</v>
      </c>
      <c r="AC26" s="1810">
        <f t="shared" si="17"/>
        <v>1</v>
      </c>
    </row>
    <row r="27" spans="1:29" s="117" customFormat="1" ht="15">
      <c r="A27" s="431"/>
      <c r="B27" s="2983" t="s">
        <v>3182</v>
      </c>
      <c r="C27" s="432">
        <v>1</v>
      </c>
      <c r="D27" s="462">
        <v>100</v>
      </c>
      <c r="E27" s="465" t="s">
        <v>3174</v>
      </c>
      <c r="F27" s="462">
        <f>SUMIF(90:90,E27,91:91)-SUMIF(90:90,C27,91:91)+100</f>
        <v>100</v>
      </c>
      <c r="G27" s="463" t="s">
        <v>3183</v>
      </c>
      <c r="H27" s="462">
        <f>SUMIF(90:90,G27,91:91)-SUMIF(90:90,C27,91:91)+100</f>
        <v>100</v>
      </c>
      <c r="I27" s="463" t="s">
        <v>3177</v>
      </c>
      <c r="J27" s="462">
        <f>SUMIF(90:90,I27,91:91)-SUMIF(90:90,C27,91:91)+100</f>
        <v>102</v>
      </c>
      <c r="K27" s="2601"/>
      <c r="L27" s="1132"/>
      <c r="M27" s="1133"/>
      <c r="N27" s="1133"/>
      <c r="O27" s="1133"/>
      <c r="P27" s="3241"/>
      <c r="Q27" s="1794" t="str">
        <f t="shared" si="11"/>
        <v>楼层</v>
      </c>
      <c r="R27" s="770" t="s">
        <v>21</v>
      </c>
      <c r="S27" s="771">
        <f t="shared" si="12"/>
        <v>100</v>
      </c>
      <c r="T27" s="770" t="s">
        <v>21</v>
      </c>
      <c r="U27" s="771">
        <f t="shared" si="13"/>
        <v>100</v>
      </c>
      <c r="V27" s="770" t="s">
        <v>21</v>
      </c>
      <c r="W27" s="771">
        <f t="shared" si="14"/>
        <v>102</v>
      </c>
      <c r="X27" s="772"/>
      <c r="Y27" s="3234"/>
      <c r="Z27" s="55" t="str">
        <f>Q27</f>
        <v>楼层</v>
      </c>
      <c r="AA27" s="1810">
        <f t="shared" si="15"/>
        <v>1</v>
      </c>
      <c r="AB27" s="1810">
        <f t="shared" si="16"/>
        <v>1</v>
      </c>
      <c r="AC27" s="1810">
        <f t="shared" si="17"/>
        <v>0.98039215686274506</v>
      </c>
    </row>
    <row r="28" spans="1:29" ht="15">
      <c r="A28" s="428"/>
      <c r="B28" s="1385">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41"/>
      <c r="Q28" s="1809">
        <f t="shared" si="11"/>
        <v>111</v>
      </c>
      <c r="R28" s="774" t="s">
        <v>21</v>
      </c>
      <c r="S28" s="775">
        <f t="shared" si="12"/>
        <v>100</v>
      </c>
      <c r="T28" s="774" t="s">
        <v>21</v>
      </c>
      <c r="U28" s="775">
        <f t="shared" si="13"/>
        <v>100</v>
      </c>
      <c r="V28" s="774" t="s">
        <v>21</v>
      </c>
      <c r="W28" s="775">
        <f t="shared" si="14"/>
        <v>100</v>
      </c>
      <c r="X28" s="1812"/>
      <c r="Y28" s="3234"/>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41"/>
      <c r="Q29" s="1809">
        <f t="shared" si="11"/>
        <v>111</v>
      </c>
      <c r="R29" s="774" t="s">
        <v>21</v>
      </c>
      <c r="S29" s="775">
        <f t="shared" si="12"/>
        <v>100</v>
      </c>
      <c r="T29" s="774" t="s">
        <v>21</v>
      </c>
      <c r="U29" s="775">
        <f t="shared" si="13"/>
        <v>100</v>
      </c>
      <c r="V29" s="774" t="s">
        <v>21</v>
      </c>
      <c r="W29" s="775">
        <f t="shared" si="14"/>
        <v>100</v>
      </c>
      <c r="X29" s="1812"/>
      <c r="Y29" s="3234"/>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41"/>
      <c r="Q30" s="1809">
        <f t="shared" si="11"/>
        <v>111</v>
      </c>
      <c r="R30" s="774" t="s">
        <v>21</v>
      </c>
      <c r="S30" s="775">
        <f t="shared" si="12"/>
        <v>100</v>
      </c>
      <c r="T30" s="774" t="s">
        <v>21</v>
      </c>
      <c r="U30" s="775">
        <f t="shared" si="13"/>
        <v>100</v>
      </c>
      <c r="V30" s="774" t="s">
        <v>21</v>
      </c>
      <c r="W30" s="775">
        <f t="shared" si="14"/>
        <v>100</v>
      </c>
      <c r="X30" s="1812"/>
      <c r="Y30" s="3234"/>
      <c r="Z30" s="1813">
        <f t="shared" si="18"/>
        <v>111</v>
      </c>
      <c r="AA30" s="1810">
        <f t="shared" si="15"/>
        <v>1</v>
      </c>
      <c r="AB30" s="1810">
        <f t="shared" si="16"/>
        <v>1</v>
      </c>
      <c r="AC30" s="1810">
        <f t="shared" si="17"/>
        <v>1</v>
      </c>
    </row>
    <row r="31" spans="1:29" ht="15.6" thickBot="1">
      <c r="A31" s="436"/>
      <c r="B31" s="1385">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41"/>
      <c r="Q31" s="1809">
        <f t="shared" si="11"/>
        <v>111</v>
      </c>
      <c r="R31" s="774" t="s">
        <v>21</v>
      </c>
      <c r="S31" s="775">
        <f t="shared" si="12"/>
        <v>100</v>
      </c>
      <c r="T31" s="774" t="s">
        <v>21</v>
      </c>
      <c r="U31" s="775">
        <f t="shared" si="13"/>
        <v>100</v>
      </c>
      <c r="V31" s="774" t="s">
        <v>21</v>
      </c>
      <c r="W31" s="775">
        <f t="shared" si="14"/>
        <v>100</v>
      </c>
      <c r="X31" s="1812"/>
      <c r="Y31" s="3234"/>
      <c r="Z31" s="1813">
        <f t="shared" si="18"/>
        <v>111</v>
      </c>
      <c r="AA31" s="1810">
        <f t="shared" si="15"/>
        <v>1</v>
      </c>
      <c r="AB31" s="1810">
        <f t="shared" si="16"/>
        <v>1</v>
      </c>
      <c r="AC31" s="1810">
        <f t="shared" si="17"/>
        <v>1</v>
      </c>
    </row>
    <row r="32" spans="1:29" ht="15">
      <c r="A32" s="440" t="s">
        <v>2558</v>
      </c>
      <c r="B32" s="71" t="s">
        <v>2559</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35" t="s">
        <v>2560</v>
      </c>
      <c r="Q32" s="1809" t="str">
        <f t="shared" si="11"/>
        <v>建筑类型</v>
      </c>
      <c r="R32" s="774" t="s">
        <v>21</v>
      </c>
      <c r="S32" s="775">
        <f t="shared" si="12"/>
        <v>100</v>
      </c>
      <c r="T32" s="774" t="s">
        <v>21</v>
      </c>
      <c r="U32" s="775">
        <f t="shared" si="13"/>
        <v>100</v>
      </c>
      <c r="V32" s="774" t="s">
        <v>21</v>
      </c>
      <c r="W32" s="775">
        <f t="shared" si="14"/>
        <v>100</v>
      </c>
      <c r="X32" s="1812"/>
      <c r="Y32" s="3238" t="s">
        <v>2560</v>
      </c>
      <c r="Z32" s="1813" t="str">
        <f t="shared" si="18"/>
        <v>建筑类型</v>
      </c>
      <c r="AA32" s="1810">
        <f t="shared" si="15"/>
        <v>1</v>
      </c>
      <c r="AB32" s="1810">
        <f t="shared" si="16"/>
        <v>1</v>
      </c>
      <c r="AC32" s="1810">
        <f t="shared" si="17"/>
        <v>1</v>
      </c>
    </row>
    <row r="33" spans="1:29" s="471" customFormat="1" ht="15">
      <c r="A33" s="468"/>
      <c r="B33" s="422" t="s">
        <v>2561</v>
      </c>
      <c r="C33" s="469"/>
      <c r="D33" s="136">
        <v>100</v>
      </c>
      <c r="E33" s="430">
        <v>69.19</v>
      </c>
      <c r="F33" s="425">
        <f>LOOKUP(E33,103:103,104:104)-LOOKUP(C33,103:103,104:104)+100</f>
        <v>98</v>
      </c>
      <c r="G33" s="429">
        <v>126</v>
      </c>
      <c r="H33" s="136">
        <f>LOOKUP(G33,103:103,104:104)-LOOKUP(C33,103:103,104:104)+100</f>
        <v>94</v>
      </c>
      <c r="I33" s="430">
        <v>94.61</v>
      </c>
      <c r="J33" s="136">
        <f>LOOKUP(I33,103:103,104:104)-LOOKUP(C33,103:103,104:104)+100</f>
        <v>96</v>
      </c>
      <c r="K33" s="2601"/>
      <c r="L33" s="1138"/>
      <c r="M33" s="1141"/>
      <c r="N33" s="1141"/>
      <c r="O33" s="1141"/>
      <c r="P33" s="3236"/>
      <c r="Q33" s="776" t="str">
        <f t="shared" si="11"/>
        <v>项目建筑规模</v>
      </c>
      <c r="R33" s="777" t="s">
        <v>21</v>
      </c>
      <c r="S33" s="778">
        <f t="shared" si="12"/>
        <v>98</v>
      </c>
      <c r="T33" s="777" t="s">
        <v>21</v>
      </c>
      <c r="U33" s="778">
        <f t="shared" si="13"/>
        <v>94</v>
      </c>
      <c r="V33" s="777" t="s">
        <v>21</v>
      </c>
      <c r="W33" s="778">
        <f t="shared" si="14"/>
        <v>96</v>
      </c>
      <c r="X33" s="779"/>
      <c r="Y33" s="3238"/>
      <c r="Z33" s="780" t="str">
        <f t="shared" si="18"/>
        <v>项目建筑规模</v>
      </c>
      <c r="AA33" s="1810">
        <f t="shared" si="15"/>
        <v>1.0204081632653061</v>
      </c>
      <c r="AB33" s="1810">
        <f t="shared" si="16"/>
        <v>1.0638297872340425</v>
      </c>
      <c r="AC33" s="1810">
        <f t="shared" si="17"/>
        <v>1.0416666666666667</v>
      </c>
    </row>
    <row r="34" spans="1:29" ht="15">
      <c r="A34" s="472"/>
      <c r="B34" s="422" t="s">
        <v>2562</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36"/>
      <c r="Q34" s="1809" t="str">
        <f t="shared" si="11"/>
        <v>建筑结构</v>
      </c>
      <c r="R34" s="774" t="s">
        <v>21</v>
      </c>
      <c r="S34" s="775">
        <f t="shared" si="12"/>
        <v>100</v>
      </c>
      <c r="T34" s="774" t="s">
        <v>21</v>
      </c>
      <c r="U34" s="775">
        <f t="shared" si="13"/>
        <v>100</v>
      </c>
      <c r="V34" s="774" t="s">
        <v>21</v>
      </c>
      <c r="W34" s="775">
        <f t="shared" si="14"/>
        <v>100</v>
      </c>
      <c r="X34" s="1812"/>
      <c r="Y34" s="3238"/>
      <c r="Z34" s="1813" t="str">
        <f t="shared" si="18"/>
        <v>建筑结构</v>
      </c>
      <c r="AA34" s="1810">
        <f t="shared" si="15"/>
        <v>1</v>
      </c>
      <c r="AB34" s="1810">
        <f t="shared" si="16"/>
        <v>1</v>
      </c>
      <c r="AC34" s="1810">
        <f t="shared" si="17"/>
        <v>1</v>
      </c>
    </row>
    <row r="35" spans="1:29" ht="15">
      <c r="A35" s="472"/>
      <c r="B35" s="422" t="s">
        <v>2563</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36"/>
      <c r="Q35" s="1809" t="str">
        <f t="shared" si="11"/>
        <v>建筑品质</v>
      </c>
      <c r="R35" s="774" t="s">
        <v>21</v>
      </c>
      <c r="S35" s="775">
        <f t="shared" si="12"/>
        <v>100</v>
      </c>
      <c r="T35" s="774" t="s">
        <v>21</v>
      </c>
      <c r="U35" s="775">
        <f t="shared" si="13"/>
        <v>100</v>
      </c>
      <c r="V35" s="774" t="s">
        <v>21</v>
      </c>
      <c r="W35" s="775">
        <f t="shared" si="14"/>
        <v>100</v>
      </c>
      <c r="X35" s="1812"/>
      <c r="Y35" s="3238"/>
      <c r="Z35" s="1813" t="str">
        <f t="shared" si="18"/>
        <v>建筑品质</v>
      </c>
      <c r="AA35" s="1810">
        <f t="shared" si="15"/>
        <v>1</v>
      </c>
      <c r="AB35" s="1810">
        <f t="shared" si="16"/>
        <v>1</v>
      </c>
      <c r="AC35" s="1810">
        <f t="shared" si="17"/>
        <v>1</v>
      </c>
    </row>
    <row r="36" spans="1:29" ht="15">
      <c r="A36" s="472"/>
      <c r="B36" s="422" t="s">
        <v>2564</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36"/>
      <c r="Q36" s="1809" t="str">
        <f t="shared" si="11"/>
        <v>公共部分装修</v>
      </c>
      <c r="R36" s="774" t="s">
        <v>21</v>
      </c>
      <c r="S36" s="775">
        <f t="shared" si="12"/>
        <v>100</v>
      </c>
      <c r="T36" s="774" t="s">
        <v>21</v>
      </c>
      <c r="U36" s="775">
        <f t="shared" si="13"/>
        <v>100</v>
      </c>
      <c r="V36" s="774" t="s">
        <v>21</v>
      </c>
      <c r="W36" s="775">
        <f t="shared" si="14"/>
        <v>100</v>
      </c>
      <c r="X36" s="1812"/>
      <c r="Y36" s="3238"/>
      <c r="Z36" s="1813" t="str">
        <f t="shared" si="18"/>
        <v>公共部分装修</v>
      </c>
      <c r="AA36" s="1810">
        <f t="shared" si="15"/>
        <v>1</v>
      </c>
      <c r="AB36" s="1810">
        <f t="shared" si="16"/>
        <v>1</v>
      </c>
      <c r="AC36" s="1810">
        <f t="shared" si="17"/>
        <v>1</v>
      </c>
    </row>
    <row r="37" spans="1:29" s="117" customFormat="1" ht="15">
      <c r="A37" s="473"/>
      <c r="B37" s="422" t="s">
        <v>2565</v>
      </c>
      <c r="C37" s="474">
        <f>'数据-取费表'!Y6</f>
        <v>0.69</v>
      </c>
      <c r="D37" s="136">
        <v>100</v>
      </c>
      <c r="E37" s="474">
        <f>C37</f>
        <v>0.69</v>
      </c>
      <c r="F37" s="425">
        <f>LOOKUP(E37,112:112,113:113)-LOOKUP(C37,112:112,113:113)+100</f>
        <v>100</v>
      </c>
      <c r="G37" s="476">
        <f>E37</f>
        <v>0.69</v>
      </c>
      <c r="H37" s="136">
        <f>LOOKUP(G37,112:112,113:113)-LOOKUP(C37,112:112,113:113)+100</f>
        <v>100</v>
      </c>
      <c r="I37" s="475">
        <f>G37</f>
        <v>0.69</v>
      </c>
      <c r="J37" s="136">
        <f>LOOKUP(I37,112:112,113:113)-LOOKUP(C37,112:112,113:113)+100</f>
        <v>100</v>
      </c>
      <c r="K37" s="426"/>
      <c r="L37" s="1132"/>
      <c r="M37" s="1133"/>
      <c r="N37" s="1133"/>
      <c r="O37" s="1133"/>
      <c r="P37" s="3236"/>
      <c r="Q37" s="1794" t="str">
        <f t="shared" si="11"/>
        <v>成新度</v>
      </c>
      <c r="R37" s="770" t="s">
        <v>21</v>
      </c>
      <c r="S37" s="771">
        <f t="shared" si="12"/>
        <v>100</v>
      </c>
      <c r="T37" s="770" t="s">
        <v>21</v>
      </c>
      <c r="U37" s="771">
        <f t="shared" si="13"/>
        <v>100</v>
      </c>
      <c r="V37" s="770" t="s">
        <v>21</v>
      </c>
      <c r="W37" s="771">
        <f t="shared" si="14"/>
        <v>100</v>
      </c>
      <c r="X37" s="772"/>
      <c r="Y37" s="3238"/>
      <c r="Z37" s="55" t="str">
        <f t="shared" si="18"/>
        <v>成新度</v>
      </c>
      <c r="AA37" s="773">
        <f t="shared" si="15"/>
        <v>1</v>
      </c>
      <c r="AB37" s="773">
        <f t="shared" si="16"/>
        <v>1</v>
      </c>
      <c r="AC37" s="773">
        <f t="shared" si="17"/>
        <v>1</v>
      </c>
    </row>
    <row r="38" spans="1:29" ht="15">
      <c r="A38" s="472"/>
      <c r="B38" s="422" t="s">
        <v>2566</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36" t="s">
        <v>2560</v>
      </c>
      <c r="Q38" s="1809" t="str">
        <f t="shared" si="11"/>
        <v>物业管理</v>
      </c>
      <c r="R38" s="774" t="s">
        <v>21</v>
      </c>
      <c r="S38" s="775">
        <f t="shared" si="12"/>
        <v>100</v>
      </c>
      <c r="T38" s="774" t="s">
        <v>21</v>
      </c>
      <c r="U38" s="775">
        <f t="shared" si="13"/>
        <v>100</v>
      </c>
      <c r="V38" s="774" t="s">
        <v>21</v>
      </c>
      <c r="W38" s="775">
        <f t="shared" si="14"/>
        <v>100</v>
      </c>
      <c r="X38" s="1812"/>
      <c r="Y38" s="3238" t="s">
        <v>2560</v>
      </c>
      <c r="Z38" s="1813" t="str">
        <f t="shared" si="18"/>
        <v>物业管理</v>
      </c>
      <c r="AA38" s="1810">
        <f t="shared" si="15"/>
        <v>1</v>
      </c>
      <c r="AB38" s="1810">
        <f t="shared" si="16"/>
        <v>1</v>
      </c>
      <c r="AC38" s="1810">
        <f t="shared" si="17"/>
        <v>1</v>
      </c>
    </row>
    <row r="39" spans="1:29" ht="15">
      <c r="A39" s="472"/>
      <c r="B39" s="422" t="s">
        <v>2567</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36"/>
      <c r="Q39" s="1809" t="str">
        <f t="shared" si="11"/>
        <v>市政基础设施</v>
      </c>
      <c r="R39" s="774" t="s">
        <v>21</v>
      </c>
      <c r="S39" s="775">
        <f t="shared" si="12"/>
        <v>100</v>
      </c>
      <c r="T39" s="774" t="s">
        <v>21</v>
      </c>
      <c r="U39" s="775">
        <f t="shared" si="13"/>
        <v>100</v>
      </c>
      <c r="V39" s="774" t="s">
        <v>21</v>
      </c>
      <c r="W39" s="775">
        <f t="shared" si="14"/>
        <v>100</v>
      </c>
      <c r="X39" s="1812"/>
      <c r="Y39" s="3238"/>
      <c r="Z39" s="1813" t="str">
        <f t="shared" si="18"/>
        <v>市政基础设施</v>
      </c>
      <c r="AA39" s="1810">
        <f t="shared" si="15"/>
        <v>1</v>
      </c>
      <c r="AB39" s="1810">
        <f t="shared" si="16"/>
        <v>1</v>
      </c>
      <c r="AC39" s="1810">
        <f t="shared" si="17"/>
        <v>1</v>
      </c>
    </row>
    <row r="40" spans="1:29" ht="15">
      <c r="A40" s="472"/>
      <c r="B40" s="422" t="s">
        <v>2568</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36"/>
      <c r="Q40" s="1809" t="str">
        <f t="shared" si="11"/>
        <v>房型</v>
      </c>
      <c r="R40" s="774" t="s">
        <v>21</v>
      </c>
      <c r="S40" s="775">
        <f t="shared" si="12"/>
        <v>100</v>
      </c>
      <c r="T40" s="774" t="s">
        <v>21</v>
      </c>
      <c r="U40" s="775">
        <f t="shared" si="13"/>
        <v>100</v>
      </c>
      <c r="V40" s="774" t="s">
        <v>21</v>
      </c>
      <c r="W40" s="775">
        <f t="shared" si="14"/>
        <v>100</v>
      </c>
      <c r="X40" s="1812"/>
      <c r="Y40" s="3238"/>
      <c r="Z40" s="1813" t="str">
        <f t="shared" si="18"/>
        <v>房型</v>
      </c>
      <c r="AA40" s="1810">
        <f t="shared" si="15"/>
        <v>1</v>
      </c>
      <c r="AB40" s="1810">
        <f t="shared" si="16"/>
        <v>1</v>
      </c>
      <c r="AC40" s="1810">
        <f t="shared" si="17"/>
        <v>1</v>
      </c>
    </row>
    <row r="41" spans="1:29" s="471" customFormat="1" ht="28.8">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36"/>
      <c r="Q41" s="776" t="str">
        <f t="shared" si="11"/>
        <v>单套/主力户型建筑面积</v>
      </c>
      <c r="R41" s="777" t="s">
        <v>21</v>
      </c>
      <c r="S41" s="778">
        <f t="shared" si="12"/>
        <v>100</v>
      </c>
      <c r="T41" s="777" t="s">
        <v>21</v>
      </c>
      <c r="U41" s="778">
        <f t="shared" si="13"/>
        <v>100</v>
      </c>
      <c r="V41" s="777" t="s">
        <v>21</v>
      </c>
      <c r="W41" s="778">
        <f t="shared" si="14"/>
        <v>100</v>
      </c>
      <c r="X41" s="779"/>
      <c r="Y41" s="3238"/>
      <c r="Z41" s="780" t="str">
        <f t="shared" si="18"/>
        <v>单套/主力户型建筑面积</v>
      </c>
      <c r="AA41" s="1810">
        <f t="shared" si="15"/>
        <v>1</v>
      </c>
      <c r="AB41" s="1810">
        <f t="shared" si="16"/>
        <v>1</v>
      </c>
      <c r="AC41" s="1810">
        <f t="shared" si="17"/>
        <v>1</v>
      </c>
    </row>
    <row r="42" spans="1:29" ht="15">
      <c r="A42" s="472"/>
      <c r="B42" s="422" t="s">
        <v>2570</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36"/>
      <c r="Q42" s="1809" t="str">
        <f t="shared" si="11"/>
        <v>内部装修</v>
      </c>
      <c r="R42" s="774" t="s">
        <v>21</v>
      </c>
      <c r="S42" s="775">
        <f t="shared" si="12"/>
        <v>100</v>
      </c>
      <c r="T42" s="774" t="s">
        <v>21</v>
      </c>
      <c r="U42" s="775">
        <f t="shared" si="13"/>
        <v>100</v>
      </c>
      <c r="V42" s="774" t="s">
        <v>21</v>
      </c>
      <c r="W42" s="775">
        <f t="shared" si="14"/>
        <v>100</v>
      </c>
      <c r="X42" s="1812"/>
      <c r="Y42" s="3238"/>
      <c r="Z42" s="1813" t="str">
        <f t="shared" si="18"/>
        <v>内部装修</v>
      </c>
      <c r="AA42" s="1810">
        <f t="shared" si="15"/>
        <v>1</v>
      </c>
      <c r="AB42" s="1810">
        <f t="shared" si="16"/>
        <v>1</v>
      </c>
      <c r="AC42" s="1810">
        <f t="shared" si="17"/>
        <v>1</v>
      </c>
    </row>
    <row r="43" spans="1:29" ht="28.8">
      <c r="A43" s="472"/>
      <c r="B43" s="422" t="s">
        <v>2571</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36"/>
      <c r="Q43" s="1809" t="str">
        <f t="shared" si="11"/>
        <v>内部装修维护情况</v>
      </c>
      <c r="R43" s="774" t="s">
        <v>21</v>
      </c>
      <c r="S43" s="775">
        <f t="shared" si="12"/>
        <v>100</v>
      </c>
      <c r="T43" s="774" t="s">
        <v>21</v>
      </c>
      <c r="U43" s="775">
        <f t="shared" si="13"/>
        <v>100</v>
      </c>
      <c r="V43" s="774" t="s">
        <v>21</v>
      </c>
      <c r="W43" s="775">
        <f t="shared" si="14"/>
        <v>100</v>
      </c>
      <c r="X43" s="1812"/>
      <c r="Y43" s="3238"/>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36"/>
      <c r="Q44" s="1794">
        <f t="shared" si="11"/>
        <v>111</v>
      </c>
      <c r="R44" s="770" t="s">
        <v>21</v>
      </c>
      <c r="S44" s="771">
        <f t="shared" si="12"/>
        <v>100</v>
      </c>
      <c r="T44" s="770" t="s">
        <v>21</v>
      </c>
      <c r="U44" s="771">
        <f t="shared" si="13"/>
        <v>100</v>
      </c>
      <c r="V44" s="770" t="s">
        <v>21</v>
      </c>
      <c r="W44" s="771">
        <f t="shared" si="14"/>
        <v>100</v>
      </c>
      <c r="X44" s="772"/>
      <c r="Y44" s="3238"/>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36"/>
      <c r="Q45" s="1809">
        <f t="shared" si="11"/>
        <v>111</v>
      </c>
      <c r="R45" s="774" t="s">
        <v>21</v>
      </c>
      <c r="S45" s="775">
        <f t="shared" si="12"/>
        <v>100</v>
      </c>
      <c r="T45" s="774" t="s">
        <v>21</v>
      </c>
      <c r="U45" s="775">
        <f t="shared" si="13"/>
        <v>100</v>
      </c>
      <c r="V45" s="774" t="s">
        <v>21</v>
      </c>
      <c r="W45" s="775">
        <f t="shared" si="14"/>
        <v>100</v>
      </c>
      <c r="X45" s="1812"/>
      <c r="Y45" s="3238"/>
      <c r="Z45" s="1813">
        <f t="shared" si="18"/>
        <v>111</v>
      </c>
      <c r="AA45" s="1810">
        <f t="shared" si="15"/>
        <v>1</v>
      </c>
      <c r="AB45" s="1810">
        <f t="shared" si="16"/>
        <v>1</v>
      </c>
      <c r="AC45" s="1810">
        <f t="shared" si="17"/>
        <v>1</v>
      </c>
    </row>
    <row r="46" spans="1:29" ht="15.6"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37"/>
      <c r="Q46" s="1809">
        <f t="shared" si="11"/>
        <v>111</v>
      </c>
      <c r="R46" s="774" t="s">
        <v>20</v>
      </c>
      <c r="S46" s="775">
        <f t="shared" si="12"/>
        <v>100</v>
      </c>
      <c r="T46" s="774" t="s">
        <v>20</v>
      </c>
      <c r="U46" s="775">
        <f t="shared" si="13"/>
        <v>100</v>
      </c>
      <c r="V46" s="774" t="s">
        <v>20</v>
      </c>
      <c r="W46" s="775">
        <f t="shared" si="14"/>
        <v>100</v>
      </c>
      <c r="X46" s="1812"/>
      <c r="Y46" s="3239"/>
      <c r="Z46" s="1813">
        <f t="shared" si="18"/>
        <v>111</v>
      </c>
      <c r="AA46" s="1810">
        <f t="shared" si="15"/>
        <v>1</v>
      </c>
      <c r="AB46" s="1810">
        <f t="shared" si="16"/>
        <v>1</v>
      </c>
      <c r="AC46" s="1810">
        <f t="shared" si="17"/>
        <v>1</v>
      </c>
    </row>
    <row r="47" spans="1:29" ht="14.4">
      <c r="A47" s="479" t="s">
        <v>2572</v>
      </c>
      <c r="B47" s="480"/>
      <c r="C47" s="1406" t="s">
        <v>19</v>
      </c>
      <c r="D47" s="1407"/>
      <c r="E47" s="1408">
        <v>93583</v>
      </c>
      <c r="F47" s="1409"/>
      <c r="G47" s="1410">
        <v>81350</v>
      </c>
      <c r="H47" s="1411"/>
      <c r="I47" s="1408">
        <v>90160</v>
      </c>
      <c r="J47" s="1411"/>
      <c r="K47" s="2621"/>
      <c r="L47" s="1143"/>
      <c r="M47" s="1144"/>
      <c r="N47" s="1131"/>
      <c r="O47" s="1144"/>
      <c r="P47" s="3231" t="str">
        <f>A47</f>
        <v>成交单价（元/平方米）</v>
      </c>
      <c r="Q47" s="3231"/>
      <c r="R47" s="3232">
        <f>E47</f>
        <v>93583</v>
      </c>
      <c r="S47" s="3232"/>
      <c r="T47" s="3232">
        <f>G47</f>
        <v>81350</v>
      </c>
      <c r="U47" s="3232"/>
      <c r="V47" s="3232">
        <f>I47</f>
        <v>90160</v>
      </c>
      <c r="W47" s="3232"/>
      <c r="X47" s="759"/>
      <c r="Y47" s="781"/>
      <c r="Z47" s="759"/>
      <c r="AA47" s="759"/>
      <c r="AB47" s="759"/>
      <c r="AC47" s="759"/>
    </row>
    <row r="48" spans="1:29" ht="15" thickBot="1">
      <c r="A48" s="486" t="s">
        <v>2573</v>
      </c>
      <c r="B48" s="487"/>
      <c r="C48" s="1412">
        <f>R49</f>
        <v>90746</v>
      </c>
      <c r="D48" s="1413"/>
      <c r="E48" s="1414">
        <f>R48</f>
        <v>93620</v>
      </c>
      <c r="F48" s="1414"/>
      <c r="G48" s="1412">
        <f>T48</f>
        <v>86543</v>
      </c>
      <c r="H48" s="1413"/>
      <c r="I48" s="1414">
        <f>V48</f>
        <v>92075</v>
      </c>
      <c r="J48" s="1413"/>
      <c r="K48" s="2622"/>
      <c r="L48" s="1143"/>
      <c r="M48" s="1144"/>
      <c r="N48" s="1144"/>
      <c r="O48" s="1144"/>
      <c r="P48" s="3231" t="str">
        <f>A48</f>
        <v>比较价值（元/平方米）</v>
      </c>
      <c r="Q48" s="3231"/>
      <c r="R48" s="3232">
        <f>IF(F1="售价",ROUND(PRODUCT(R47,AA7:AA46),0),ROUND(PRODUCT(R47,AA7:AA46),1))</f>
        <v>93620</v>
      </c>
      <c r="S48" s="3232"/>
      <c r="T48" s="3232">
        <f>IF(F1="售价",ROUND(PRODUCT(T47,AB7:AB46),0),ROUND(PRODUCT(T47,AB7:AB46),1))</f>
        <v>86543</v>
      </c>
      <c r="U48" s="3232"/>
      <c r="V48" s="3232">
        <f>IF(F1="售价",ROUND(PRODUCT(V47,AC7:AC46),0),ROUND(PRODUCT(V47,AC7:AC46),1))</f>
        <v>92075</v>
      </c>
      <c r="W48" s="3232"/>
      <c r="X48" s="759"/>
      <c r="Y48" s="759"/>
      <c r="Z48" s="759"/>
      <c r="AA48" s="759"/>
      <c r="AB48" s="759"/>
      <c r="AC48" s="759"/>
    </row>
    <row r="49" spans="1:29" ht="15" thickBot="1">
      <c r="A49" s="492" t="s">
        <v>2574</v>
      </c>
      <c r="B49" s="493"/>
      <c r="C49" s="1415">
        <f>R49</f>
        <v>90746</v>
      </c>
      <c r="D49" s="1416"/>
      <c r="E49" s="1416"/>
      <c r="F49" s="1416"/>
      <c r="G49" s="1416"/>
      <c r="H49" s="1416"/>
      <c r="I49" s="1416"/>
      <c r="J49" s="1416"/>
      <c r="K49" s="2623"/>
      <c r="L49" s="1143"/>
      <c r="M49" s="1144"/>
      <c r="N49" s="1144"/>
      <c r="O49" s="1144"/>
      <c r="P49" s="3228" t="str">
        <f>A49</f>
        <v>估价对象XX用房的比较价值（楼面单价，元/平方米）</v>
      </c>
      <c r="Q49" s="3229"/>
      <c r="R49" s="3230">
        <f>IF(F1="售价",ROUND(AVERAGE(R48:V48),0),ROUND(AVERAGE(R48:V48),1))</f>
        <v>90746</v>
      </c>
      <c r="S49" s="3230"/>
      <c r="T49" s="3230"/>
      <c r="U49" s="3230"/>
      <c r="V49" s="3230"/>
      <c r="W49" s="32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f>IF(E47&lt;E48,E48/E47-1,E47/E48-1)</f>
        <v>3.9537095412622847E-4</v>
      </c>
      <c r="F52" s="500" t="str">
        <f>IF(OR(E52&gt;=0.3,E52&lt;=-0.3),"超过30%","")</f>
        <v/>
      </c>
      <c r="G52" s="499">
        <f>IF(G47&lt;G48,G48/G47-1,G47/G48-1)</f>
        <v>6.3835279655808153E-2</v>
      </c>
      <c r="H52" s="500" t="str">
        <f>IF(OR(G52&gt;=0.3,G52&lt;=-0.3),"超过30%","")</f>
        <v/>
      </c>
      <c r="I52" s="499">
        <f>IF(I47&lt;I48,I48/I47-1,I47/I48-1)</f>
        <v>2.1240017746228856E-2</v>
      </c>
      <c r="J52" s="500" t="str">
        <f>IF(OR(I52&gt;=0.3,I52&lt;=-0.3),"超过30%","")</f>
        <v/>
      </c>
      <c r="K52" s="1105"/>
      <c r="L52" s="1106"/>
      <c r="M52" s="1144"/>
      <c r="N52" s="1144"/>
      <c r="O52" s="1144"/>
    </row>
    <row r="53" spans="1:29" ht="13.5" customHeight="1">
      <c r="A53" s="1144"/>
      <c r="B53" s="1144"/>
      <c r="C53" s="497" t="s">
        <v>2576</v>
      </c>
      <c r="D53" s="501"/>
      <c r="E53" s="499">
        <f>IF(E48&lt;G48,G48/E48-1,E48/G48-1)</f>
        <v>8.1774378054839891E-2</v>
      </c>
      <c r="F53" s="500" t="str">
        <f>IF(OR(E53&gt;=0.2,E53&lt;=-0.2),"超过20%","")</f>
        <v/>
      </c>
      <c r="G53" s="499">
        <f>IF(G48&lt;I48,I48/G48-1,G48/I48-1)</f>
        <v>6.3921980980553128E-2</v>
      </c>
      <c r="H53" s="500" t="str">
        <f>IF(OR(G53&gt;=0.2,G53&lt;=-0.2),"超过20%","")</f>
        <v/>
      </c>
      <c r="I53" s="499">
        <f>IF(I48&lt;E48,E48/I48-1,I48/E48-1)</f>
        <v>1.6779799076839463E-2</v>
      </c>
      <c r="J53" s="500" t="str">
        <f>IF(OR(I53&gt;=0.2,I53&lt;=-0.2),"超过20%","")</f>
        <v/>
      </c>
      <c r="K53" s="1105"/>
      <c r="L53" s="1106"/>
      <c r="M53" s="1144"/>
      <c r="N53" s="1144"/>
      <c r="O53" s="1144"/>
    </row>
    <row r="54" spans="1:29" s="502" customFormat="1" ht="13.5" customHeight="1">
      <c r="A54" s="1145"/>
      <c r="B54" s="1145"/>
      <c r="C54" s="497" t="s">
        <v>2577</v>
      </c>
      <c r="D54" s="501"/>
      <c r="E54" s="499">
        <f>IF(E47&lt;G47,G47/E47-1,E47/G47-1)</f>
        <v>0.15037492317148127</v>
      </c>
      <c r="F54" s="500" t="str">
        <f>IF(OR(E54&gt;=0.3,E54&lt;=-0.3),"超过30%","")</f>
        <v/>
      </c>
      <c r="G54" s="499">
        <f>IF(G47&lt;I47,I47/G47-1,G47/I47-1)</f>
        <v>0.10829748002458506</v>
      </c>
      <c r="H54" s="500" t="str">
        <f>IF(OR(G54&gt;=0.3,G54&lt;=-0.3),"超过30%","")</f>
        <v/>
      </c>
      <c r="I54" s="499">
        <f>IF(I47&lt;E47,E47/I47-1,I47/E47-1)</f>
        <v>3.7965838509316674E-2</v>
      </c>
      <c r="J54" s="500" t="str">
        <f>IF(OR(I54&gt;=0.3,I54&lt;=-0.3),"超过30%","")</f>
        <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2.2" thickBot="1">
      <c r="A57" s="763" t="s">
        <v>2578</v>
      </c>
      <c r="B57" s="759"/>
      <c r="C57" s="764"/>
      <c r="D57" s="764"/>
      <c r="E57" s="764"/>
      <c r="F57" s="765"/>
      <c r="G57" s="765"/>
      <c r="H57" s="764"/>
      <c r="I57" s="764"/>
      <c r="J57" s="764"/>
      <c r="K57" s="1160"/>
      <c r="L57" s="1161"/>
      <c r="M57" s="1159"/>
      <c r="N57" s="1159"/>
      <c r="O57" s="1159"/>
      <c r="P57" s="2626"/>
      <c r="Q57" s="504"/>
    </row>
    <row r="58" spans="1:29" s="508" customFormat="1" ht="14.4">
      <c r="A58" s="505" t="s">
        <v>2579</v>
      </c>
      <c r="B58" s="506"/>
      <c r="C58" s="1575" t="str">
        <f>YEAR(C7)&amp;"-"&amp;MONTH(C7)</f>
        <v>2020-3</v>
      </c>
      <c r="D58" s="1574">
        <f>EDATE(C58,-1)</f>
        <v>43862</v>
      </c>
      <c r="E58" s="1574">
        <f>EDATE(D58,-1)</f>
        <v>43831</v>
      </c>
      <c r="F58" s="1574">
        <f t="shared" ref="F58:O58" si="19">EDATE(E58,-1)</f>
        <v>43800</v>
      </c>
      <c r="G58" s="1574">
        <f t="shared" si="19"/>
        <v>43770</v>
      </c>
      <c r="H58" s="1574">
        <f t="shared" si="19"/>
        <v>43739</v>
      </c>
      <c r="I58" s="1574">
        <f t="shared" si="19"/>
        <v>43709</v>
      </c>
      <c r="J58" s="1574">
        <f t="shared" si="19"/>
        <v>43678</v>
      </c>
      <c r="K58" s="1574">
        <f t="shared" si="19"/>
        <v>43647</v>
      </c>
      <c r="L58" s="1574">
        <f t="shared" si="19"/>
        <v>43617</v>
      </c>
      <c r="M58" s="1574">
        <f t="shared" si="19"/>
        <v>43586</v>
      </c>
      <c r="N58" s="1574">
        <f t="shared" si="19"/>
        <v>43556</v>
      </c>
      <c r="O58" s="1574">
        <f t="shared" si="19"/>
        <v>43525</v>
      </c>
      <c r="P58" s="1569"/>
    </row>
    <row r="59" spans="1:29" s="117" customFormat="1">
      <c r="A59" s="509"/>
      <c r="B59" s="2627"/>
      <c r="C59" s="1572">
        <v>100</v>
      </c>
      <c r="D59" s="511"/>
      <c r="E59" s="512"/>
      <c r="F59" s="512"/>
      <c r="G59" s="512"/>
      <c r="H59" s="512"/>
      <c r="I59" s="512"/>
      <c r="J59" s="512"/>
      <c r="K59" s="512"/>
      <c r="L59" s="512"/>
      <c r="M59" s="513"/>
      <c r="N59" s="512"/>
      <c r="O59" s="513"/>
      <c r="P59" s="2628"/>
    </row>
    <row r="60" spans="1:29" s="117" customFormat="1" ht="15" thickBot="1">
      <c r="A60" s="515" t="s">
        <v>2580</v>
      </c>
      <c r="B60" s="516"/>
      <c r="C60" s="517"/>
      <c r="D60" s="518"/>
      <c r="E60" s="518"/>
      <c r="F60" s="518"/>
      <c r="G60" s="518"/>
      <c r="H60" s="518"/>
      <c r="I60" s="518"/>
      <c r="J60" s="518"/>
      <c r="K60" s="518"/>
      <c r="L60" s="518"/>
      <c r="M60" s="519"/>
      <c r="N60" s="518"/>
      <c r="O60" s="519"/>
      <c r="P60" s="2628"/>
      <c r="Q60" s="504"/>
    </row>
    <row r="61" spans="1:29" s="117" customFormat="1" ht="14.4">
      <c r="A61" s="521" t="s">
        <v>2581</v>
      </c>
      <c r="B61" s="510"/>
      <c r="C61" s="522" t="s">
        <v>2582</v>
      </c>
      <c r="D61" s="523"/>
      <c r="E61" s="523"/>
      <c r="F61" s="523"/>
      <c r="G61" s="523"/>
      <c r="H61" s="523"/>
      <c r="I61" s="523"/>
      <c r="J61" s="523"/>
      <c r="K61" s="523"/>
      <c r="L61" s="524"/>
      <c r="M61" s="525"/>
      <c r="N61" s="1151"/>
      <c r="O61" s="1151"/>
      <c r="P61" s="2629"/>
      <c r="Q61" s="504"/>
    </row>
    <row r="62" spans="1:29" s="117" customFormat="1" ht="14.4" thickBot="1">
      <c r="A62" s="521"/>
      <c r="B62" s="510"/>
      <c r="C62" s="511">
        <v>100</v>
      </c>
      <c r="D62" s="512"/>
      <c r="E62" s="512"/>
      <c r="F62" s="512"/>
      <c r="G62" s="512"/>
      <c r="H62" s="512"/>
      <c r="I62" s="512"/>
      <c r="J62" s="512"/>
      <c r="K62" s="512"/>
      <c r="L62" s="512"/>
      <c r="M62" s="514"/>
      <c r="N62" s="1151"/>
      <c r="O62" s="1151"/>
      <c r="P62" s="2628"/>
      <c r="Q62" s="504"/>
    </row>
    <row r="63" spans="1:29" ht="14.4">
      <c r="A63" s="527" t="s">
        <v>2583</v>
      </c>
      <c r="B63" s="528" t="s">
        <v>2549</v>
      </c>
      <c r="C63" s="529">
        <f>C9</f>
        <v>0</v>
      </c>
      <c r="D63" s="530"/>
      <c r="E63" s="530"/>
      <c r="F63" s="530"/>
      <c r="G63" s="530"/>
      <c r="H63" s="530"/>
      <c r="I63" s="530"/>
      <c r="J63" s="530"/>
      <c r="K63" s="531"/>
      <c r="L63" s="532"/>
      <c r="M63" s="533"/>
      <c r="N63" s="1152"/>
      <c r="O63" s="1152"/>
      <c r="P63" s="2630"/>
      <c r="Q63" s="504"/>
    </row>
    <row r="64" spans="1:29" ht="14.4" thickBot="1">
      <c r="A64" s="534"/>
      <c r="B64" s="535"/>
      <c r="C64" s="536">
        <v>100</v>
      </c>
      <c r="D64" s="536"/>
      <c r="E64" s="536"/>
      <c r="F64" s="536"/>
      <c r="G64" s="536"/>
      <c r="H64" s="536"/>
      <c r="I64" s="536"/>
      <c r="J64" s="536"/>
      <c r="K64" s="536"/>
      <c r="L64" s="536"/>
      <c r="M64" s="537"/>
      <c r="N64" s="1153"/>
      <c r="O64" s="1153"/>
      <c r="P64" s="2630"/>
      <c r="Q64" s="504"/>
    </row>
    <row r="65" spans="1:17" ht="29.4"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0"/>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 thickTop="1">
      <c r="A67" s="534"/>
      <c r="B67" s="546" t="s">
        <v>2553</v>
      </c>
      <c r="C67" s="547" t="str">
        <f>C68&amp;"（含）"&amp;"-"&amp;D68</f>
        <v>0（含）-1</v>
      </c>
      <c r="D67" s="547" t="str">
        <f t="shared" ref="D67:L67" si="21">D68&amp;"（含）"&amp;"-"&amp;E68</f>
        <v>1（含）-2</v>
      </c>
      <c r="E67" s="547" t="str">
        <f t="shared" si="21"/>
        <v>2（含）-3</v>
      </c>
      <c r="F67" s="547" t="str">
        <f t="shared" si="21"/>
        <v>3（含）-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c r="A68" s="534"/>
      <c r="B68" s="548"/>
      <c r="C68" s="549">
        <v>0</v>
      </c>
      <c r="D68" s="549">
        <v>1</v>
      </c>
      <c r="E68" s="549">
        <v>2</v>
      </c>
      <c r="F68" s="549">
        <v>3</v>
      </c>
      <c r="G68" s="549"/>
      <c r="H68" s="549"/>
      <c r="I68" s="549"/>
      <c r="J68" s="549"/>
      <c r="K68" s="550"/>
      <c r="L68" s="551"/>
      <c r="M68" s="552"/>
      <c r="N68" s="1152"/>
      <c r="O68" s="1152"/>
      <c r="P68" s="2630"/>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4.4" thickTop="1">
      <c r="A70" s="553"/>
      <c r="B70" s="538">
        <f>B12</f>
        <v>111</v>
      </c>
      <c r="C70" s="554"/>
      <c r="D70" s="554"/>
      <c r="E70" s="554"/>
      <c r="F70" s="554"/>
      <c r="G70" s="554"/>
      <c r="H70" s="555"/>
      <c r="I70" s="555"/>
      <c r="J70" s="555"/>
      <c r="K70" s="555"/>
      <c r="L70" s="556"/>
      <c r="M70" s="557"/>
      <c r="N70" s="1154"/>
      <c r="O70" s="1154"/>
      <c r="P70" s="2631"/>
      <c r="Q70" s="559"/>
    </row>
    <row r="71" spans="1:17" s="471" customFormat="1" ht="14.4" thickBot="1">
      <c r="A71" s="553"/>
      <c r="B71" s="543"/>
      <c r="C71" s="560"/>
      <c r="D71" s="536"/>
      <c r="E71" s="536"/>
      <c r="F71" s="536"/>
      <c r="G71" s="536"/>
      <c r="H71" s="536"/>
      <c r="I71" s="536"/>
      <c r="J71" s="536"/>
      <c r="K71" s="536"/>
      <c r="L71" s="536"/>
      <c r="M71" s="537"/>
      <c r="N71" s="1153"/>
      <c r="O71" s="1153"/>
      <c r="P71" s="2631"/>
      <c r="Q71" s="559"/>
    </row>
    <row r="72" spans="1:17" s="471" customFormat="1" ht="14.4" thickTop="1">
      <c r="A72" s="553"/>
      <c r="B72" s="538">
        <f>B13</f>
        <v>111</v>
      </c>
      <c r="C72" s="554"/>
      <c r="D72" s="554"/>
      <c r="E72" s="554"/>
      <c r="F72" s="554"/>
      <c r="G72" s="554"/>
      <c r="H72" s="555"/>
      <c r="I72" s="555"/>
      <c r="J72" s="555"/>
      <c r="K72" s="555"/>
      <c r="L72" s="556"/>
      <c r="M72" s="557"/>
      <c r="N72" s="1154"/>
      <c r="O72" s="1154"/>
      <c r="P72" s="2632"/>
      <c r="Q72" s="561"/>
    </row>
    <row r="73" spans="1:17" s="471" customFormat="1" ht="14.4" thickBot="1">
      <c r="A73" s="553"/>
      <c r="B73" s="543"/>
      <c r="C73" s="560"/>
      <c r="D73" s="560"/>
      <c r="E73" s="560"/>
      <c r="F73" s="560"/>
      <c r="G73" s="560"/>
      <c r="H73" s="562"/>
      <c r="I73" s="562"/>
      <c r="J73" s="562"/>
      <c r="K73" s="562"/>
      <c r="L73" s="562"/>
      <c r="M73" s="563"/>
      <c r="N73" s="1154"/>
      <c r="O73" s="1154"/>
      <c r="P73" s="2631"/>
      <c r="Q73" s="559"/>
    </row>
    <row r="74" spans="1:17" s="471" customFormat="1" ht="14.4" thickTop="1">
      <c r="A74" s="553"/>
      <c r="B74" s="546">
        <f>B14</f>
        <v>111</v>
      </c>
      <c r="C74" s="554"/>
      <c r="D74" s="554"/>
      <c r="E74" s="554"/>
      <c r="F74" s="554"/>
      <c r="G74" s="523"/>
      <c r="H74" s="564"/>
      <c r="I74" s="564"/>
      <c r="J74" s="564"/>
      <c r="K74" s="564"/>
      <c r="L74" s="565"/>
      <c r="M74" s="566"/>
      <c r="N74" s="1154"/>
      <c r="O74" s="1154"/>
      <c r="P74" s="2633"/>
      <c r="Q74" s="559"/>
    </row>
    <row r="75" spans="1:17" s="471" customFormat="1" ht="14.4" thickBot="1">
      <c r="A75" s="568"/>
      <c r="B75" s="569"/>
      <c r="C75" s="570"/>
      <c r="D75" s="570"/>
      <c r="E75" s="570"/>
      <c r="F75" s="570"/>
      <c r="G75" s="570"/>
      <c r="H75" s="571"/>
      <c r="I75" s="571"/>
      <c r="J75" s="571"/>
      <c r="K75" s="571"/>
      <c r="L75" s="571"/>
      <c r="M75" s="572"/>
      <c r="N75" s="1154"/>
      <c r="O75" s="1154"/>
      <c r="P75" s="2631"/>
      <c r="Q75" s="559"/>
    </row>
    <row r="76" spans="1:17" ht="14.4">
      <c r="A76" s="527" t="s">
        <v>2554</v>
      </c>
      <c r="B76" s="528" t="s">
        <v>2591</v>
      </c>
      <c r="C76" s="573" t="s">
        <v>2592</v>
      </c>
      <c r="D76" s="573" t="s">
        <v>2593</v>
      </c>
      <c r="E76" s="573" t="s">
        <v>2594</v>
      </c>
      <c r="F76" s="573" t="s">
        <v>2595</v>
      </c>
      <c r="G76" s="573" t="s">
        <v>2596</v>
      </c>
      <c r="H76" s="529"/>
      <c r="I76" s="529"/>
      <c r="J76" s="529"/>
      <c r="K76" s="574"/>
      <c r="L76" s="575"/>
      <c r="M76" s="576"/>
      <c r="N76" s="1152"/>
      <c r="O76" s="1152"/>
      <c r="P76" s="263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 thickTop="1">
      <c r="A78" s="534"/>
      <c r="B78" s="538" t="s">
        <v>2597</v>
      </c>
      <c r="C78" s="578" t="s">
        <v>2592</v>
      </c>
      <c r="D78" s="578" t="s">
        <v>2593</v>
      </c>
      <c r="E78" s="578" t="s">
        <v>2594</v>
      </c>
      <c r="F78" s="578" t="s">
        <v>2595</v>
      </c>
      <c r="G78" s="578" t="s">
        <v>2596</v>
      </c>
      <c r="H78" s="539"/>
      <c r="I78" s="539"/>
      <c r="J78" s="539"/>
      <c r="K78" s="540"/>
      <c r="L78" s="541"/>
      <c r="M78" s="542"/>
      <c r="N78" s="1152"/>
      <c r="O78" s="1152"/>
      <c r="P78" s="263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 thickTop="1">
      <c r="A80" s="534"/>
      <c r="B80" s="538" t="s">
        <v>2598</v>
      </c>
      <c r="C80" s="578" t="s">
        <v>2592</v>
      </c>
      <c r="D80" s="578" t="s">
        <v>2593</v>
      </c>
      <c r="E80" s="578" t="s">
        <v>2594</v>
      </c>
      <c r="F80" s="578" t="s">
        <v>2595</v>
      </c>
      <c r="G80" s="578" t="s">
        <v>2596</v>
      </c>
      <c r="H80" s="539"/>
      <c r="I80" s="539"/>
      <c r="J80" s="539"/>
      <c r="K80" s="540"/>
      <c r="L80" s="541"/>
      <c r="M80" s="542"/>
      <c r="N80" s="1152"/>
      <c r="O80" s="1152"/>
      <c r="P80" s="263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 thickTop="1">
      <c r="A82" s="534"/>
      <c r="B82" s="546" t="s">
        <v>2096</v>
      </c>
      <c r="C82" s="539" t="s">
        <v>2599</v>
      </c>
      <c r="D82" s="539" t="s">
        <v>2600</v>
      </c>
      <c r="E82" s="539" t="s">
        <v>2601</v>
      </c>
      <c r="F82" s="539" t="s">
        <v>2602</v>
      </c>
      <c r="G82" s="539" t="s">
        <v>2603</v>
      </c>
      <c r="H82" s="539"/>
      <c r="I82" s="539"/>
      <c r="J82" s="539"/>
      <c r="K82" s="539"/>
      <c r="L82" s="539"/>
      <c r="M82" s="1381"/>
      <c r="N82" s="1153"/>
      <c r="O82" s="1153"/>
      <c r="P82" s="2630"/>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 thickTop="1">
      <c r="A84" s="534"/>
      <c r="B84" s="538" t="s">
        <v>2604</v>
      </c>
      <c r="C84" s="578" t="s">
        <v>2592</v>
      </c>
      <c r="D84" s="578" t="s">
        <v>2593</v>
      </c>
      <c r="E84" s="578" t="s">
        <v>2594</v>
      </c>
      <c r="F84" s="578" t="s">
        <v>2595</v>
      </c>
      <c r="G84" s="578" t="s">
        <v>2596</v>
      </c>
      <c r="H84" s="539"/>
      <c r="I84" s="539"/>
      <c r="J84" s="539"/>
      <c r="K84" s="540"/>
      <c r="L84" s="541"/>
      <c r="M84" s="542"/>
      <c r="N84" s="1152"/>
      <c r="O84" s="1152"/>
      <c r="P84" s="263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 thickTop="1">
      <c r="A86" s="579"/>
      <c r="B86" s="538" t="s">
        <v>2605</v>
      </c>
      <c r="C86" s="554"/>
      <c r="D86" s="554"/>
      <c r="E86" s="554"/>
      <c r="F86" s="554"/>
      <c r="G86" s="554"/>
      <c r="H86" s="554"/>
      <c r="I86" s="554"/>
      <c r="J86" s="554"/>
      <c r="K86" s="554"/>
      <c r="L86" s="580"/>
      <c r="M86" s="581"/>
      <c r="N86" s="1151"/>
      <c r="O86" s="1151"/>
      <c r="P86" s="2630"/>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 thickTop="1">
      <c r="A88" s="579"/>
      <c r="B88" s="538" t="s">
        <v>2606</v>
      </c>
      <c r="C88" s="2981" t="s">
        <v>3175</v>
      </c>
      <c r="D88" s="2981" t="s">
        <v>3178</v>
      </c>
      <c r="E88" s="2981" t="s">
        <v>3179</v>
      </c>
      <c r="F88" s="2982" t="s">
        <v>3180</v>
      </c>
      <c r="G88" s="2981" t="s">
        <v>3181</v>
      </c>
      <c r="H88" s="554"/>
      <c r="I88" s="554"/>
      <c r="J88" s="554"/>
      <c r="K88" s="554"/>
      <c r="L88" s="554"/>
      <c r="M88" s="581"/>
      <c r="N88" s="1151"/>
      <c r="O88" s="1151"/>
      <c r="P88" s="2630"/>
      <c r="Q88" s="504"/>
    </row>
    <row r="89" spans="1:17" s="117" customFormat="1" ht="14.4" thickBot="1">
      <c r="A89" s="579"/>
      <c r="B89" s="543"/>
      <c r="C89" s="582">
        <v>100</v>
      </c>
      <c r="D89" s="544">
        <f t="shared" ref="D89:M89" si="25">C89-$K26</f>
        <v>98</v>
      </c>
      <c r="E89" s="544">
        <f t="shared" si="25"/>
        <v>96</v>
      </c>
      <c r="F89" s="544">
        <f t="shared" si="25"/>
        <v>94</v>
      </c>
      <c r="G89" s="544">
        <f t="shared" si="25"/>
        <v>92</v>
      </c>
      <c r="H89" s="544">
        <f t="shared" si="25"/>
        <v>90</v>
      </c>
      <c r="I89" s="544">
        <f t="shared" si="25"/>
        <v>88</v>
      </c>
      <c r="J89" s="544">
        <f t="shared" si="25"/>
        <v>86</v>
      </c>
      <c r="K89" s="544">
        <f t="shared" si="25"/>
        <v>84</v>
      </c>
      <c r="L89" s="544">
        <f t="shared" si="25"/>
        <v>82</v>
      </c>
      <c r="M89" s="544">
        <f t="shared" si="25"/>
        <v>80</v>
      </c>
      <c r="N89" s="1153"/>
      <c r="O89" s="1153"/>
      <c r="P89" s="2630"/>
      <c r="Q89" s="504"/>
    </row>
    <row r="90" spans="1:17" s="471" customFormat="1" ht="14.4" thickTop="1">
      <c r="A90" s="553"/>
      <c r="B90" s="538" t="str">
        <f>B27</f>
        <v>楼层</v>
      </c>
      <c r="C90" s="554">
        <v>1</v>
      </c>
      <c r="D90" s="554">
        <v>2</v>
      </c>
      <c r="E90" s="554">
        <v>3</v>
      </c>
      <c r="F90" s="554">
        <v>4</v>
      </c>
      <c r="G90" s="554">
        <v>5</v>
      </c>
      <c r="H90" s="555">
        <v>6</v>
      </c>
      <c r="I90" s="555"/>
      <c r="J90" s="555"/>
      <c r="K90" s="555"/>
      <c r="L90" s="556"/>
      <c r="M90" s="557"/>
      <c r="N90" s="1154"/>
      <c r="O90" s="1154"/>
      <c r="P90" s="2631"/>
      <c r="Q90" s="559"/>
    </row>
    <row r="91" spans="1:17" s="471" customFormat="1" ht="14.4" thickBot="1">
      <c r="A91" s="553"/>
      <c r="B91" s="543"/>
      <c r="C91" s="560">
        <v>98</v>
      </c>
      <c r="D91" s="560">
        <v>100</v>
      </c>
      <c r="E91" s="560">
        <v>103</v>
      </c>
      <c r="F91" s="560">
        <v>102</v>
      </c>
      <c r="G91" s="560">
        <v>100</v>
      </c>
      <c r="H91" s="562">
        <v>96</v>
      </c>
      <c r="I91" s="562"/>
      <c r="J91" s="562"/>
      <c r="K91" s="562"/>
      <c r="L91" s="562"/>
      <c r="M91" s="563"/>
      <c r="N91" s="1154"/>
      <c r="O91" s="1154"/>
      <c r="P91" s="2631"/>
      <c r="Q91" s="559"/>
    </row>
    <row r="92" spans="1:17" ht="14.4" thickTop="1">
      <c r="A92" s="534"/>
      <c r="B92" s="538">
        <f>B28</f>
        <v>111</v>
      </c>
      <c r="C92" s="554"/>
      <c r="D92" s="554"/>
      <c r="E92" s="554"/>
      <c r="F92" s="554"/>
      <c r="G92" s="583"/>
      <c r="H92" s="583"/>
      <c r="I92" s="583"/>
      <c r="J92" s="583"/>
      <c r="K92" s="584"/>
      <c r="L92" s="585"/>
      <c r="M92" s="586"/>
      <c r="N92" s="1152"/>
      <c r="O92" s="1152"/>
      <c r="P92" s="2630"/>
      <c r="Q92" s="504"/>
    </row>
    <row r="93" spans="1:17" ht="14.4" thickBot="1">
      <c r="A93" s="534"/>
      <c r="B93" s="543"/>
      <c r="C93" s="560"/>
      <c r="D93" s="536"/>
      <c r="E93" s="536"/>
      <c r="F93" s="536"/>
      <c r="G93" s="536"/>
      <c r="H93" s="536"/>
      <c r="I93" s="536"/>
      <c r="J93" s="536"/>
      <c r="K93" s="536"/>
      <c r="L93" s="536"/>
      <c r="M93" s="537"/>
      <c r="N93" s="1153"/>
      <c r="O93" s="1153"/>
      <c r="P93" s="2630"/>
      <c r="Q93" s="504"/>
    </row>
    <row r="94" spans="1:17" ht="14.4" thickTop="1">
      <c r="A94" s="534"/>
      <c r="B94" s="538">
        <f>B29</f>
        <v>111</v>
      </c>
      <c r="C94" s="554"/>
      <c r="D94" s="554"/>
      <c r="E94" s="554"/>
      <c r="F94" s="554"/>
      <c r="G94" s="583"/>
      <c r="H94" s="583"/>
      <c r="I94" s="583"/>
      <c r="J94" s="583"/>
      <c r="K94" s="584"/>
      <c r="L94" s="585"/>
      <c r="M94" s="586"/>
      <c r="N94" s="1152"/>
      <c r="O94" s="1152"/>
      <c r="P94" s="2630"/>
      <c r="Q94" s="504"/>
    </row>
    <row r="95" spans="1:17" ht="14.4" thickBot="1">
      <c r="A95" s="534"/>
      <c r="B95" s="543"/>
      <c r="C95" s="560"/>
      <c r="D95" s="560"/>
      <c r="E95" s="560"/>
      <c r="F95" s="560"/>
      <c r="G95" s="536"/>
      <c r="H95" s="536"/>
      <c r="I95" s="536"/>
      <c r="J95" s="536"/>
      <c r="K95" s="536"/>
      <c r="L95" s="536"/>
      <c r="M95" s="537"/>
      <c r="N95" s="1153"/>
      <c r="O95" s="1153"/>
      <c r="P95" s="2630"/>
      <c r="Q95" s="504"/>
    </row>
    <row r="96" spans="1:17" ht="14.4" thickTop="1">
      <c r="A96" s="534"/>
      <c r="B96" s="538">
        <f>B30</f>
        <v>111</v>
      </c>
      <c r="C96" s="554"/>
      <c r="D96" s="554"/>
      <c r="E96" s="554"/>
      <c r="F96" s="554"/>
      <c r="G96" s="583"/>
      <c r="H96" s="583"/>
      <c r="I96" s="583"/>
      <c r="J96" s="583"/>
      <c r="K96" s="584"/>
      <c r="L96" s="585"/>
      <c r="M96" s="586"/>
      <c r="N96" s="1152"/>
      <c r="O96" s="1152"/>
      <c r="P96" s="2630"/>
      <c r="Q96" s="504"/>
    </row>
    <row r="97" spans="1:17" ht="14.4" thickBot="1">
      <c r="A97" s="534"/>
      <c r="B97" s="543"/>
      <c r="C97" s="570"/>
      <c r="D97" s="570"/>
      <c r="E97" s="570"/>
      <c r="F97" s="570"/>
      <c r="G97" s="536"/>
      <c r="H97" s="536"/>
      <c r="I97" s="536"/>
      <c r="J97" s="536"/>
      <c r="K97" s="536"/>
      <c r="L97" s="536"/>
      <c r="M97" s="537"/>
      <c r="N97" s="1153"/>
      <c r="O97" s="1153"/>
      <c r="P97" s="2630"/>
      <c r="Q97" s="504"/>
    </row>
    <row r="98" spans="1:17" ht="14.4" thickTop="1">
      <c r="A98" s="534"/>
      <c r="B98" s="546">
        <f>B31</f>
        <v>111</v>
      </c>
      <c r="C98" s="587"/>
      <c r="D98" s="587"/>
      <c r="E98" s="587"/>
      <c r="F98" s="587"/>
      <c r="G98" s="587"/>
      <c r="H98" s="587"/>
      <c r="I98" s="587"/>
      <c r="J98" s="587"/>
      <c r="K98" s="588"/>
      <c r="L98" s="589"/>
      <c r="M98" s="590"/>
      <c r="N98" s="1152"/>
      <c r="O98" s="1152"/>
      <c r="P98" s="2630"/>
      <c r="Q98" s="504"/>
    </row>
    <row r="99" spans="1:17" ht="14.4" thickBot="1">
      <c r="A99" s="2636"/>
      <c r="B99" s="569"/>
      <c r="C99" s="591"/>
      <c r="D99" s="591"/>
      <c r="E99" s="591"/>
      <c r="F99" s="591"/>
      <c r="G99" s="591"/>
      <c r="H99" s="591"/>
      <c r="I99" s="591"/>
      <c r="J99" s="591"/>
      <c r="K99" s="591"/>
      <c r="L99" s="591"/>
      <c r="M99" s="592"/>
      <c r="N99" s="1153"/>
      <c r="O99" s="1153"/>
      <c r="P99" s="2630"/>
      <c r="Q99" s="504"/>
    </row>
    <row r="100" spans="1:17" ht="14.4">
      <c r="A100" s="527" t="s">
        <v>2558</v>
      </c>
      <c r="B100" s="528" t="s">
        <v>2607</v>
      </c>
      <c r="C100" s="530"/>
      <c r="D100" s="530"/>
      <c r="E100" s="530"/>
      <c r="F100" s="530"/>
      <c r="G100" s="530"/>
      <c r="H100" s="530"/>
      <c r="I100" s="530"/>
      <c r="J100" s="530"/>
      <c r="K100" s="531"/>
      <c r="L100" s="532"/>
      <c r="M100" s="533"/>
      <c r="N100" s="1152"/>
      <c r="O100" s="1152"/>
      <c r="P100" s="2630"/>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 thickTop="1">
      <c r="A102" s="534"/>
      <c r="B102" s="538" t="s">
        <v>2608</v>
      </c>
      <c r="C102" s="578" t="str">
        <f>C103&amp;"(含)"&amp;"-"&amp;D103</f>
        <v>0(含)-50</v>
      </c>
      <c r="D102" s="578" t="str">
        <f t="shared" ref="D102:L102" si="27">D103&amp;"(含)"&amp;"-"&amp;E103</f>
        <v>50(含)-90</v>
      </c>
      <c r="E102" s="578" t="str">
        <f t="shared" si="27"/>
        <v>90(含)-120</v>
      </c>
      <c r="F102" s="578" t="str">
        <f t="shared" si="27"/>
        <v>120(含)-150</v>
      </c>
      <c r="G102" s="578" t="str">
        <f t="shared" si="27"/>
        <v>150(含)-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v>0</v>
      </c>
      <c r="D103" s="595">
        <v>50</v>
      </c>
      <c r="E103" s="595">
        <v>90</v>
      </c>
      <c r="F103" s="595">
        <v>120</v>
      </c>
      <c r="G103" s="595">
        <v>150</v>
      </c>
      <c r="H103" s="595"/>
      <c r="I103" s="595"/>
      <c r="J103" s="596"/>
      <c r="K103" s="596"/>
      <c r="L103" s="597"/>
      <c r="M103" s="598"/>
      <c r="N103" s="1154"/>
      <c r="O103" s="1154"/>
      <c r="P103" s="2631"/>
      <c r="Q103" s="559"/>
    </row>
    <row r="104" spans="1:17" s="471" customFormat="1" ht="14.4" thickBot="1">
      <c r="A104" s="553"/>
      <c r="B104" s="543"/>
      <c r="C104" s="560">
        <v>100</v>
      </c>
      <c r="D104" s="536">
        <v>98</v>
      </c>
      <c r="E104" s="536">
        <v>96</v>
      </c>
      <c r="F104" s="536">
        <v>94</v>
      </c>
      <c r="G104" s="536">
        <v>92</v>
      </c>
      <c r="H104" s="536"/>
      <c r="I104" s="536"/>
      <c r="J104" s="536"/>
      <c r="K104" s="536"/>
      <c r="L104" s="536"/>
      <c r="M104" s="536"/>
      <c r="N104" s="1153"/>
      <c r="O104" s="1153"/>
      <c r="P104" s="2631"/>
      <c r="Q104" s="559"/>
    </row>
    <row r="105" spans="1:17" ht="15" thickTop="1">
      <c r="A105" s="599"/>
      <c r="B105" s="538" t="s">
        <v>2609</v>
      </c>
      <c r="C105" s="554"/>
      <c r="D105" s="554"/>
      <c r="E105" s="583"/>
      <c r="F105" s="583"/>
      <c r="G105" s="583"/>
      <c r="H105" s="583"/>
      <c r="I105" s="583"/>
      <c r="J105" s="583"/>
      <c r="K105" s="584"/>
      <c r="L105" s="585"/>
      <c r="M105" s="586"/>
      <c r="N105" s="1152"/>
      <c r="O105" s="1152"/>
      <c r="P105" s="2630"/>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2610</v>
      </c>
      <c r="C107" s="583"/>
      <c r="D107" s="583"/>
      <c r="E107" s="583"/>
      <c r="F107" s="583"/>
      <c r="G107" s="583"/>
      <c r="H107" s="583"/>
      <c r="I107" s="583"/>
      <c r="J107" s="583"/>
      <c r="K107" s="584"/>
      <c r="L107" s="585"/>
      <c r="M107" s="586"/>
      <c r="N107" s="1152"/>
      <c r="O107" s="1152"/>
      <c r="P107" s="2630"/>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2611</v>
      </c>
      <c r="C109" s="554"/>
      <c r="D109" s="554"/>
      <c r="E109" s="554"/>
      <c r="F109" s="583"/>
      <c r="G109" s="583"/>
      <c r="H109" s="583"/>
      <c r="I109" s="583"/>
      <c r="J109" s="583"/>
      <c r="K109" s="584"/>
      <c r="L109" s="585"/>
      <c r="M109" s="586"/>
      <c r="N109" s="1152"/>
      <c r="O109" s="1152"/>
      <c r="P109" s="2630"/>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2612</v>
      </c>
      <c r="C114" s="554"/>
      <c r="D114" s="554"/>
      <c r="E114" s="583"/>
      <c r="F114" s="583"/>
      <c r="G114" s="583"/>
      <c r="H114" s="583"/>
      <c r="I114" s="583"/>
      <c r="J114" s="583"/>
      <c r="K114" s="584"/>
      <c r="L114" s="585"/>
      <c r="M114" s="586"/>
      <c r="N114" s="1152"/>
      <c r="O114" s="1152"/>
      <c r="P114" s="2630"/>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2613</v>
      </c>
      <c r="C116" s="554"/>
      <c r="D116" s="554"/>
      <c r="E116" s="554"/>
      <c r="F116" s="554"/>
      <c r="G116" s="554"/>
      <c r="H116" s="583"/>
      <c r="I116" s="583"/>
      <c r="J116" s="583"/>
      <c r="K116" s="584"/>
      <c r="L116" s="585"/>
      <c r="M116" s="586"/>
      <c r="N116" s="1152"/>
      <c r="O116" s="1152"/>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2614</v>
      </c>
      <c r="C118" s="583"/>
      <c r="D118" s="583"/>
      <c r="E118" s="583"/>
      <c r="F118" s="583"/>
      <c r="G118" s="583"/>
      <c r="H118" s="583"/>
      <c r="I118" s="583"/>
      <c r="J118" s="583"/>
      <c r="K118" s="584"/>
      <c r="L118" s="585"/>
      <c r="M118" s="586"/>
      <c r="N118" s="1152"/>
      <c r="O118" s="1152"/>
      <c r="P118" s="2630"/>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9.4" thickTop="1">
      <c r="A120" s="593"/>
      <c r="B120" s="538" t="s">
        <v>2569</v>
      </c>
      <c r="C120" s="554"/>
      <c r="D120" s="554"/>
      <c r="E120" s="554"/>
      <c r="F120" s="554"/>
      <c r="G120" s="554"/>
      <c r="H120" s="554"/>
      <c r="I120" s="554"/>
      <c r="J120" s="554"/>
      <c r="K120" s="554"/>
      <c r="L120" s="580"/>
      <c r="M120" s="581"/>
      <c r="N120" s="1154"/>
      <c r="O120" s="1154"/>
      <c r="P120" s="2631"/>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2615</v>
      </c>
      <c r="C122" s="554"/>
      <c r="D122" s="554"/>
      <c r="E122" s="554"/>
      <c r="F122" s="583"/>
      <c r="G122" s="583"/>
      <c r="H122" s="583"/>
      <c r="I122" s="583"/>
      <c r="J122" s="583"/>
      <c r="K122" s="584"/>
      <c r="L122" s="585"/>
      <c r="M122" s="586"/>
      <c r="N122" s="1152"/>
      <c r="O122" s="1152"/>
      <c r="P122" s="2630"/>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29.4"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1"/>
      <c r="Q127" s="559"/>
    </row>
    <row r="128" spans="1:17" ht="14.4" thickTop="1">
      <c r="A128" s="599"/>
      <c r="B128" s="538">
        <f>B45</f>
        <v>111</v>
      </c>
      <c r="C128" s="554"/>
      <c r="D128" s="554"/>
      <c r="E128" s="554"/>
      <c r="F128" s="554"/>
      <c r="G128" s="583"/>
      <c r="H128" s="583"/>
      <c r="I128" s="583"/>
      <c r="J128" s="583"/>
      <c r="K128" s="584"/>
      <c r="L128" s="585"/>
      <c r="M128" s="586"/>
      <c r="N128" s="1152"/>
      <c r="O128" s="1152"/>
      <c r="P128" s="2630"/>
      <c r="Q128" s="504"/>
    </row>
    <row r="129" spans="1:17" ht="14.4" thickBot="1">
      <c r="A129" s="534"/>
      <c r="B129" s="543"/>
      <c r="C129" s="560"/>
      <c r="D129" s="560"/>
      <c r="E129" s="560"/>
      <c r="F129" s="560"/>
      <c r="G129" s="536"/>
      <c r="H129" s="536"/>
      <c r="I129" s="536"/>
      <c r="J129" s="536"/>
      <c r="K129" s="536"/>
      <c r="L129" s="536"/>
      <c r="M129" s="537"/>
      <c r="N129" s="1153"/>
      <c r="O129" s="1153"/>
      <c r="P129" s="2630"/>
      <c r="Q129" s="504"/>
    </row>
    <row r="130" spans="1:17" ht="14.4" thickTop="1">
      <c r="A130" s="599"/>
      <c r="B130" s="546">
        <f>B46</f>
        <v>111</v>
      </c>
      <c r="C130" s="554"/>
      <c r="D130" s="554"/>
      <c r="E130" s="554"/>
      <c r="F130" s="554"/>
      <c r="G130" s="587"/>
      <c r="H130" s="587"/>
      <c r="I130" s="587"/>
      <c r="J130" s="587"/>
      <c r="K130" s="523"/>
      <c r="L130" s="524"/>
      <c r="M130" s="590"/>
      <c r="N130" s="1152"/>
      <c r="O130" s="1152"/>
      <c r="P130" s="2630"/>
      <c r="Q130" s="504"/>
    </row>
    <row r="131" spans="1:17" ht="14.4"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2617</v>
      </c>
    </row>
    <row r="137" spans="1:17" ht="15">
      <c r="B137" s="2638" t="s">
        <v>2618</v>
      </c>
      <c r="C137" s="2639"/>
      <c r="D137" s="2639"/>
      <c r="E137" s="2639"/>
      <c r="F137" s="2639"/>
      <c r="G137" s="2640"/>
      <c r="H137" s="2641"/>
      <c r="I137" s="2642" t="s">
        <v>2619</v>
      </c>
      <c r="J137" s="2639"/>
      <c r="K137" s="2643"/>
    </row>
    <row r="138" spans="1:17" ht="15">
      <c r="B138" s="2644"/>
      <c r="C138" s="146" t="s">
        <v>2620</v>
      </c>
      <c r="D138" s="146" t="s">
        <v>2621</v>
      </c>
      <c r="E138" s="2645" t="s">
        <v>2622</v>
      </c>
      <c r="F138" s="2646" t="s">
        <v>2623</v>
      </c>
      <c r="G138" s="146" t="s">
        <v>2621</v>
      </c>
      <c r="H138" s="147" t="s">
        <v>2622</v>
      </c>
      <c r="I138" s="2647"/>
      <c r="J138" s="146" t="s">
        <v>2624</v>
      </c>
      <c r="K138" s="147" t="s">
        <v>2625</v>
      </c>
    </row>
    <row r="139" spans="1:17" ht="15">
      <c r="B139" s="1084">
        <v>6</v>
      </c>
      <c r="C139" s="1085">
        <v>96</v>
      </c>
      <c r="D139" s="2648" t="s">
        <v>2626</v>
      </c>
      <c r="E139" s="1086">
        <v>100</v>
      </c>
      <c r="F139" s="1087">
        <v>102.5</v>
      </c>
      <c r="G139" s="2648" t="s">
        <v>2626</v>
      </c>
      <c r="H139" s="1088">
        <v>105</v>
      </c>
      <c r="I139" s="2649" t="s">
        <v>2627</v>
      </c>
      <c r="J139" s="1085">
        <v>20</v>
      </c>
      <c r="K139" s="1089">
        <f>C145/(J139-2)</f>
        <v>4.0555555555555553E-3</v>
      </c>
    </row>
    <row r="140" spans="1:17" ht="15">
      <c r="B140" s="1090">
        <v>5</v>
      </c>
      <c r="C140" s="1091">
        <v>100</v>
      </c>
      <c r="D140" s="1091"/>
      <c r="E140" s="1092"/>
      <c r="F140" s="1093">
        <v>102</v>
      </c>
      <c r="G140" s="1091"/>
      <c r="H140" s="1094"/>
      <c r="I140" s="2650" t="s">
        <v>2628</v>
      </c>
      <c r="J140" s="315">
        <f>ROUNDUP((J139-1)/2,0)</f>
        <v>10</v>
      </c>
      <c r="K140" s="1095">
        <v>100</v>
      </c>
    </row>
    <row r="141" spans="1:17" ht="15">
      <c r="B141" s="1090">
        <v>4</v>
      </c>
      <c r="C141" s="1091">
        <v>102</v>
      </c>
      <c r="D141" s="1091"/>
      <c r="E141" s="1092"/>
      <c r="F141" s="1093">
        <v>101.5</v>
      </c>
      <c r="G141" s="1091"/>
      <c r="H141" s="1094"/>
      <c r="I141" s="2650" t="s">
        <v>2629</v>
      </c>
      <c r="J141" s="315">
        <v>1</v>
      </c>
      <c r="K141" s="1096">
        <f>ROUND(100+(J141-J140)*K139*100,1)</f>
        <v>96.4</v>
      </c>
    </row>
    <row r="142" spans="1:17" ht="15">
      <c r="B142" s="1090">
        <v>3</v>
      </c>
      <c r="C142" s="1091">
        <v>103</v>
      </c>
      <c r="D142" s="1091"/>
      <c r="E142" s="1092"/>
      <c r="F142" s="1093">
        <v>101</v>
      </c>
      <c r="G142" s="1091"/>
      <c r="H142" s="1094"/>
      <c r="I142" s="2650" t="s">
        <v>2630</v>
      </c>
      <c r="J142" s="315">
        <f>J139</f>
        <v>20</v>
      </c>
      <c r="K142" s="1097">
        <v>95</v>
      </c>
    </row>
    <row r="143" spans="1:17" ht="15">
      <c r="B143" s="1090">
        <v>2</v>
      </c>
      <c r="C143" s="1091">
        <v>100</v>
      </c>
      <c r="D143" s="1091"/>
      <c r="E143" s="1092"/>
      <c r="F143" s="1093">
        <v>100.5</v>
      </c>
      <c r="G143" s="1091"/>
      <c r="H143" s="1094"/>
      <c r="I143" s="2650" t="s">
        <v>2631</v>
      </c>
      <c r="J143" s="1091">
        <v>15</v>
      </c>
      <c r="K143" s="1096">
        <f>ROUND(100+(J143-J140)*K139*100,1)</f>
        <v>102</v>
      </c>
    </row>
    <row r="144" spans="1:17" ht="15">
      <c r="B144" s="1090">
        <v>1</v>
      </c>
      <c r="C144" s="1091">
        <v>98</v>
      </c>
      <c r="D144" s="2651" t="s">
        <v>2632</v>
      </c>
      <c r="E144" s="1092">
        <v>102</v>
      </c>
      <c r="F144" s="1098">
        <v>100</v>
      </c>
      <c r="G144" s="2651" t="s">
        <v>2632</v>
      </c>
      <c r="H144" s="1094">
        <v>105</v>
      </c>
      <c r="I144" s="2650" t="s">
        <v>2631</v>
      </c>
      <c r="J144" s="1091">
        <v>18</v>
      </c>
      <c r="K144" s="1096">
        <f>ROUND(100+(J144-J140)*K139*100,1)</f>
        <v>103.2</v>
      </c>
    </row>
    <row r="145" spans="2:11" ht="16.2" thickBot="1">
      <c r="B145" s="2652" t="s">
        <v>2633</v>
      </c>
      <c r="C145" s="1099">
        <f>ROUND(MAX(C139:C144)/MIN(C139:C144)-1,3)</f>
        <v>7.2999999999999995E-2</v>
      </c>
      <c r="D145" s="1100"/>
      <c r="E145" s="1100"/>
      <c r="F145" s="2653" t="s">
        <v>2634</v>
      </c>
      <c r="G145" s="2654"/>
      <c r="H145" s="2655"/>
      <c r="I145" s="2656" t="s">
        <v>2631</v>
      </c>
      <c r="J145" s="1101">
        <v>8</v>
      </c>
      <c r="K145" s="1102">
        <f>ROUND(100+(J145-J140)*K139*100,1)</f>
        <v>99.2</v>
      </c>
    </row>
    <row r="147" spans="2:11" ht="14.4">
      <c r="B147" s="2637" t="s">
        <v>2635</v>
      </c>
    </row>
    <row r="148" spans="2:11" ht="14.4">
      <c r="B148" s="2637"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43" sqref="I4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1583</v>
      </c>
      <c r="B1" s="782"/>
      <c r="C1" s="1836" t="s">
        <v>3057</v>
      </c>
      <c r="D1" s="1819" t="s">
        <v>70</v>
      </c>
      <c r="E1" s="1820" t="s">
        <v>1381</v>
      </c>
      <c r="F1" s="1282">
        <f ca="1">J53</f>
        <v>48.49</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101</v>
      </c>
      <c r="C2" s="1844" t="s">
        <v>1510</v>
      </c>
      <c r="D2" s="1844"/>
      <c r="E2" s="1845"/>
      <c r="F2" s="1846"/>
      <c r="G2" s="1847"/>
      <c r="H2" s="1839"/>
      <c r="I2" s="1839"/>
      <c r="J2" s="1839"/>
      <c r="K2" s="1840"/>
      <c r="L2" s="1839"/>
      <c r="M2" s="1839"/>
    </row>
    <row r="3" spans="1:37" ht="18" customHeight="1" thickBot="1">
      <c r="A3" s="1848" t="s">
        <v>1511</v>
      </c>
      <c r="B3" s="1849">
        <f ca="1">IF(ISERROR(B2*10000/F43),0,ROUND(B2*10000/F43,0))</f>
        <v>15538</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6</v>
      </c>
      <c r="D5" s="1821" t="s">
        <v>1396</v>
      </c>
      <c r="E5" s="1292"/>
      <c r="F5" s="1293"/>
      <c r="G5" s="1850"/>
      <c r="H5" s="344">
        <v>1</v>
      </c>
      <c r="I5" s="345" t="s">
        <v>1395</v>
      </c>
      <c r="J5" s="1291">
        <f ca="1">J6+J10+J12</f>
        <v>0</v>
      </c>
      <c r="K5" s="1821" t="s">
        <v>1396</v>
      </c>
      <c r="L5" s="1292"/>
      <c r="M5" s="1293"/>
    </row>
    <row r="6" spans="1:37" ht="18" customHeight="1">
      <c r="A6" s="1290" t="s">
        <v>1031</v>
      </c>
      <c r="B6" s="3244" t="s">
        <v>1397</v>
      </c>
      <c r="C6" s="1295">
        <f ca="1">ROUND(F6*F8*F7*(1-F9)/10000,0)</f>
        <v>6</v>
      </c>
      <c r="D6" s="164" t="s">
        <v>3023</v>
      </c>
      <c r="E6" s="347" t="s">
        <v>1399</v>
      </c>
      <c r="F6" s="348">
        <f ca="1">INDIRECT("'数据-取费表'!u"&amp;$G$1)</f>
        <v>3</v>
      </c>
      <c r="G6" s="1850"/>
      <c r="H6" s="1290" t="s">
        <v>1031</v>
      </c>
      <c r="I6" s="3244" t="s">
        <v>1397</v>
      </c>
      <c r="J6" s="346">
        <f ca="1">ROUND(M6*M8*M7*(1-M9)/10000,0)</f>
        <v>0</v>
      </c>
      <c r="K6" s="164" t="s">
        <v>3022</v>
      </c>
      <c r="L6" s="347" t="s">
        <v>1399</v>
      </c>
      <c r="M6" s="348">
        <f ca="1">INDIRECT("'数据-取费表'!z"&amp;$G$1)</f>
        <v>0</v>
      </c>
    </row>
    <row r="7" spans="1:37" ht="18" customHeight="1">
      <c r="A7" s="1294"/>
      <c r="B7" s="3245"/>
      <c r="C7" s="1296"/>
      <c r="D7" s="352"/>
      <c r="E7" s="1297" t="s">
        <v>1400</v>
      </c>
      <c r="F7" s="348">
        <f ca="1">IF(INDIRECT("'数据-取费表'!ah"&amp;$G$1)="",INDIRECT("'数据-取费表'!k"&amp;$G$1),INDIRECT("'数据-取费表'!ah"&amp;$G$1))</f>
        <v>65</v>
      </c>
      <c r="G7" s="1850"/>
      <c r="H7" s="349"/>
      <c r="I7" s="3245"/>
      <c r="J7" s="351"/>
      <c r="K7" s="352"/>
      <c r="L7" s="347" t="s">
        <v>1400</v>
      </c>
      <c r="M7" s="348">
        <f ca="1">F7</f>
        <v>65</v>
      </c>
    </row>
    <row r="8" spans="1:37" ht="18" customHeight="1">
      <c r="A8" s="349"/>
      <c r="B8" s="3245"/>
      <c r="C8" s="351"/>
      <c r="D8" s="352"/>
      <c r="E8" s="347" t="s">
        <v>1401</v>
      </c>
      <c r="F8" s="348">
        <f ca="1">INDIRECT("'数据-取费表'!ai"&amp;$G$1)</f>
        <v>365</v>
      </c>
      <c r="G8" s="1850"/>
      <c r="H8" s="349"/>
      <c r="I8" s="3245"/>
      <c r="J8" s="351"/>
      <c r="K8" s="352"/>
      <c r="L8" s="347" t="s">
        <v>1401</v>
      </c>
      <c r="M8" s="348">
        <f ca="1">INDIRECT("'数据-取费表'!ai"&amp;$G$1)</f>
        <v>365</v>
      </c>
    </row>
    <row r="9" spans="1:37" ht="18" customHeight="1">
      <c r="A9" s="349"/>
      <c r="B9" s="3246"/>
      <c r="C9" s="351"/>
      <c r="D9" s="352"/>
      <c r="E9" s="347" t="s">
        <v>1402</v>
      </c>
      <c r="F9" s="357">
        <f ca="1">INDIRECT("'数据-取费表'!w"&amp;$G$1)</f>
        <v>0.1</v>
      </c>
      <c r="G9" s="1850"/>
      <c r="H9" s="349"/>
      <c r="I9" s="3246"/>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3032</v>
      </c>
      <c r="E10" s="358" t="s">
        <v>1404</v>
      </c>
      <c r="F10" s="1365" t="s">
        <v>3085</v>
      </c>
      <c r="G10" s="1850"/>
      <c r="H10" s="1290" t="s">
        <v>1035</v>
      </c>
      <c r="I10" s="1822" t="s">
        <v>1403</v>
      </c>
      <c r="J10" s="346">
        <f ca="1">ROUND(IF(M10="押一",J6/12*M11,IF(M10="押二",J6/12*2*M11,IF(M10="押三",J6/12*3*M11,J11*M11))),0)</f>
        <v>0</v>
      </c>
      <c r="K10" s="1823" t="s">
        <v>3031</v>
      </c>
      <c r="L10" s="358" t="s">
        <v>1404</v>
      </c>
      <c r="M10" s="1365" t="s">
        <v>1405</v>
      </c>
    </row>
    <row r="11" spans="1:37" ht="18" customHeight="1">
      <c r="A11" s="353"/>
      <c r="B11" s="1824" t="s">
        <v>1382</v>
      </c>
      <c r="C11" s="1178"/>
      <c r="D11" s="1825"/>
      <c r="E11" s="358" t="s">
        <v>1406</v>
      </c>
      <c r="F11" s="359">
        <f ca="1">'数据-取费表'!B39</f>
        <v>1.4999999999999999E-2</v>
      </c>
      <c r="G11" s="1850"/>
      <c r="H11" s="1298"/>
      <c r="I11" s="1824" t="s">
        <v>1382</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19</v>
      </c>
      <c r="D13" s="1330" t="s">
        <v>1409</v>
      </c>
      <c r="E13" s="1330" t="s">
        <v>1410</v>
      </c>
      <c r="F13" s="1331">
        <f ca="1">INDIRECT("'数据-取费表'!y"&amp;$G$1)</f>
        <v>0.69</v>
      </c>
      <c r="G13" s="1850"/>
      <c r="H13" s="1328">
        <v>2</v>
      </c>
      <c r="I13" s="1329" t="s">
        <v>1408</v>
      </c>
      <c r="J13" s="1289">
        <f ca="1">ROUND(J14*J15,0)</f>
        <v>0</v>
      </c>
      <c r="K13" s="1336" t="s">
        <v>1409</v>
      </c>
      <c r="L13" s="1851"/>
      <c r="M13" s="1852"/>
    </row>
    <row r="14" spans="1:37" ht="18" customHeight="1">
      <c r="A14" s="1201" t="s">
        <v>1030</v>
      </c>
      <c r="B14" s="347" t="s">
        <v>1411</v>
      </c>
      <c r="C14" s="363">
        <f ca="1">INDIRECT("'数据-取费表'!m"&amp;$G$1)+INDIRECT("'数据-取费表'!t"&amp;$G$1)</f>
        <v>18</v>
      </c>
      <c r="D14" s="1799" t="s">
        <v>1412</v>
      </c>
      <c r="E14" s="1793"/>
      <c r="F14" s="364"/>
      <c r="G14" s="1850"/>
      <c r="H14" s="1201" t="s">
        <v>1031</v>
      </c>
      <c r="I14" s="347" t="s">
        <v>1413</v>
      </c>
      <c r="J14" s="24">
        <f ca="1">C29</f>
        <v>28</v>
      </c>
      <c r="K14" s="15"/>
      <c r="L14" s="979"/>
      <c r="M14" s="980"/>
    </row>
    <row r="15" spans="1:37" s="1857" customFormat="1" ht="18" customHeight="1" thickBot="1">
      <c r="A15" s="1201" t="s">
        <v>1032</v>
      </c>
      <c r="B15" s="347" t="s">
        <v>1414</v>
      </c>
      <c r="C15" s="24">
        <f ca="1">ROUND(C14*F15,0)</f>
        <v>1</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1</v>
      </c>
      <c r="D16" s="347" t="s">
        <v>1415</v>
      </c>
      <c r="E16" s="347" t="s">
        <v>1416</v>
      </c>
      <c r="F16" s="367">
        <f ca="1">IF(INDIRECT("'数据-取费表'!c"&amp;$G$1)="住宅",'数据-取费表'!B34,0)</f>
        <v>0.05</v>
      </c>
      <c r="G16" s="1850"/>
      <c r="H16" s="1328" t="s">
        <v>1026</v>
      </c>
      <c r="I16" s="1329" t="s">
        <v>1418</v>
      </c>
      <c r="J16" s="355">
        <f ca="1">ROUND(J17+J22+J23+J24,0)</f>
        <v>1</v>
      </c>
      <c r="K16" s="1336" t="s">
        <v>1419</v>
      </c>
      <c r="L16" s="1337"/>
      <c r="M16" s="1293"/>
    </row>
    <row r="17" spans="1:37" s="1857" customFormat="1" ht="18" customHeight="1">
      <c r="A17" s="1201" t="s">
        <v>1384</v>
      </c>
      <c r="B17" s="347" t="s">
        <v>1420</v>
      </c>
      <c r="C17" s="24">
        <f ca="1">ROUND(F17*(F43+INDIRECT("'数据-取费表'!S"&amp;$G$1))/10000,0)</f>
        <v>1</v>
      </c>
      <c r="D17" s="347" t="s">
        <v>1421</v>
      </c>
      <c r="E17" s="347" t="s">
        <v>1422</v>
      </c>
      <c r="F17" s="26">
        <f>'数据-取费表'!B35</f>
        <v>200</v>
      </c>
      <c r="G17" s="1853"/>
      <c r="H17" s="1201" t="s">
        <v>1031</v>
      </c>
      <c r="I17" s="347" t="s">
        <v>1423</v>
      </c>
      <c r="J17" s="24">
        <f ca="1">ROUND(IF(项目基本情况!B11="自然人",J6*M17/(1+'数据-取费表'!C42),J18+J19+J20),1)</f>
        <v>0.3</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21</v>
      </c>
      <c r="D19" s="140" t="s">
        <v>1430</v>
      </c>
      <c r="E19" s="1817"/>
      <c r="F19" s="26"/>
      <c r="G19" s="1850"/>
      <c r="H19" s="1201" t="s">
        <v>1032</v>
      </c>
      <c r="I19" s="347" t="s">
        <v>1431</v>
      </c>
      <c r="J19" s="24">
        <f ca="1">IF(K19="按租金收入计税",ROUND(J6*M19/(1+'数据-取费表'!C42),2),ROUND(C29*M19*0.7,2))</f>
        <v>0.24</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ROUND(M20*M21/10000,2)</f>
        <v>0.01</v>
      </c>
      <c r="K20" s="370" t="s">
        <v>1436</v>
      </c>
      <c r="L20" s="347" t="s">
        <v>1437</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23.15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0.4</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1446</v>
      </c>
      <c r="F23" s="371">
        <f>'数据-取费表'!B20</f>
        <v>2</v>
      </c>
      <c r="G23" s="1853"/>
      <c r="H23" s="1201" t="s">
        <v>1071</v>
      </c>
      <c r="I23" s="347" t="s">
        <v>1447</v>
      </c>
      <c r="J23" s="24">
        <f ca="1">ROUND(J13*M23,1)</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8" t="s">
        <v>1027</v>
      </c>
      <c r="I25" s="1343" t="s">
        <v>1457</v>
      </c>
      <c r="J25" s="355">
        <f ca="1">J5-J16</f>
        <v>-1</v>
      </c>
      <c r="K25" s="1344" t="s">
        <v>1458</v>
      </c>
      <c r="L25" s="1345"/>
      <c r="M25" s="1346"/>
    </row>
    <row r="26" spans="1:37">
      <c r="A26" s="1201" t="s">
        <v>1030</v>
      </c>
      <c r="B26" s="347" t="s">
        <v>1459</v>
      </c>
      <c r="C26" s="24">
        <f ca="1">ROUND((C19+C20)*F26,0)</f>
        <v>4</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28</v>
      </c>
      <c r="D29" s="1341"/>
      <c r="E29" s="1339"/>
      <c r="F29" s="1342"/>
      <c r="G29" s="1853"/>
      <c r="H29" s="380" t="s">
        <v>1029</v>
      </c>
      <c r="I29" s="381" t="s">
        <v>1473</v>
      </c>
      <c r="J29" s="382">
        <f ca="1">ROUND(J26/(1+F40)^F41,0)</f>
        <v>0</v>
      </c>
      <c r="K29" s="383" t="s">
        <v>1474</v>
      </c>
      <c r="L29" s="384"/>
      <c r="M29" s="385">
        <f ca="1">INDIRECT("'数据-取费表'!k"&amp;$G$1)</f>
        <v>65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2</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ROUND(IF(项目基本情况!B11="自然人",C6*F31/(1+'数据-取费表'!C42),C32+C33+C34),1)</f>
        <v>1</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0.32</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0.69</v>
      </c>
      <c r="D33" s="1827" t="s">
        <v>3086</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IF(项目基本情况!B11="自然人","——",ROUND(F34*F35/10000,2))</f>
        <v>0.01</v>
      </c>
      <c r="D34" s="370" t="s">
        <v>1436</v>
      </c>
      <c r="E34" s="347" t="s">
        <v>1437</v>
      </c>
      <c r="F34" s="371">
        <f>'数据-取费表'!B52</f>
        <v>3</v>
      </c>
      <c r="G34" s="1850"/>
      <c r="H34" s="745"/>
      <c r="I34" s="1859"/>
      <c r="J34" s="1860"/>
      <c r="K34" s="1862"/>
      <c r="L34" s="1863"/>
      <c r="M34" s="1863"/>
    </row>
    <row r="35" spans="1:18" ht="18" customHeight="1">
      <c r="A35" s="1352"/>
      <c r="B35" s="1350"/>
      <c r="C35" s="29"/>
      <c r="D35" s="373"/>
      <c r="E35" s="347" t="s">
        <v>1441</v>
      </c>
      <c r="F35" s="348">
        <f ca="1">INDIRECT("'数据-取费表'!r"&amp;$G$1)</f>
        <v>23.15</v>
      </c>
      <c r="G35" s="1850"/>
      <c r="H35" s="745"/>
      <c r="I35" s="1859"/>
      <c r="J35" s="1860"/>
      <c r="K35" s="1861"/>
      <c r="L35" s="1858"/>
      <c r="M35" s="1858"/>
    </row>
    <row r="36" spans="1:18" ht="18" customHeight="1">
      <c r="A36" s="1351" t="s">
        <v>1035</v>
      </c>
      <c r="B36" s="347" t="s">
        <v>1443</v>
      </c>
      <c r="C36" s="24">
        <f ca="1">ROUND(C29*F36,1)</f>
        <v>0.4</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0</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0.1</v>
      </c>
      <c r="D38" s="1341" t="s">
        <v>1453</v>
      </c>
      <c r="E38" s="1339" t="s">
        <v>1449</v>
      </c>
      <c r="F38" s="1335">
        <f ca="1">INDIRECT("'数据-取费表'!Am"&amp;$G$1)</f>
        <v>0.02</v>
      </c>
      <c r="G38" s="1850"/>
      <c r="H38" s="1858"/>
      <c r="I38" s="1859"/>
      <c r="J38" s="1860"/>
      <c r="K38" s="1864"/>
      <c r="L38" s="1858"/>
      <c r="M38" s="1858"/>
    </row>
    <row r="39" spans="1:18" ht="24.6" customHeight="1" thickTop="1">
      <c r="A39" s="1328" t="s">
        <v>1027</v>
      </c>
      <c r="B39" s="1343" t="s">
        <v>1477</v>
      </c>
      <c r="C39" s="355">
        <f ca="1">C5-C30</f>
        <v>4</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101</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48.49</v>
      </c>
      <c r="G41" s="1850"/>
      <c r="H41" s="732"/>
      <c r="I41" s="1859"/>
      <c r="J41" s="1860"/>
      <c r="K41" s="751"/>
      <c r="L41" s="732"/>
      <c r="M41" s="732"/>
    </row>
    <row r="42" spans="1:18" ht="18" customHeight="1">
      <c r="A42" s="353"/>
      <c r="B42" s="354"/>
      <c r="C42" s="355"/>
      <c r="D42" s="373"/>
      <c r="E42" s="347" t="s">
        <v>1471</v>
      </c>
      <c r="F42" s="357">
        <f ca="1">INDIRECT("'数据-取费表'!v"&amp;$G$1)</f>
        <v>0.02</v>
      </c>
      <c r="G42" s="1850"/>
      <c r="H42" s="732"/>
      <c r="I42" s="1859"/>
      <c r="J42" s="1860"/>
      <c r="K42" s="751"/>
      <c r="L42" s="732"/>
      <c r="M42" s="732"/>
    </row>
    <row r="43" spans="1:18" ht="18" customHeight="1" thickBot="1">
      <c r="A43" s="380" t="s">
        <v>1029</v>
      </c>
      <c r="B43" s="381" t="s">
        <v>1481</v>
      </c>
      <c r="C43" s="382">
        <f ca="1">ROUND(C40*10000/F43,0)</f>
        <v>15538</v>
      </c>
      <c r="D43" s="383" t="s">
        <v>1482</v>
      </c>
      <c r="E43" s="384" t="s">
        <v>1483</v>
      </c>
      <c r="F43" s="385">
        <f ca="1">INDIRECT("'数据-取费表'!k"&amp;$G$1)</f>
        <v>65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8" thickBot="1">
      <c r="A46" s="1869" t="s">
        <v>1514</v>
      </c>
      <c r="C46" s="1870">
        <f ca="1">C68-C40</f>
        <v>-155</v>
      </c>
      <c r="D46" s="1871" t="str">
        <f>C2</f>
        <v>万元</v>
      </c>
      <c r="E46" s="1865"/>
      <c r="F46" s="1865"/>
      <c r="I46" s="1872" t="s">
        <v>1515</v>
      </c>
      <c r="J46" s="1873"/>
      <c r="K46" s="1874"/>
      <c r="L46" s="1875">
        <f>IF(M47="住宅",0,IF(L48&gt;J51,L60,J60))</f>
        <v>0</v>
      </c>
      <c r="O46" s="1876" t="s">
        <v>1516</v>
      </c>
      <c r="P46" s="1877" t="s">
        <v>1517</v>
      </c>
      <c r="Q46" s="1878" t="s">
        <v>1518</v>
      </c>
      <c r="R46" s="1878" t="s">
        <v>1519</v>
      </c>
    </row>
    <row r="47" spans="1:18" s="1841" customFormat="1" ht="13.8" thickBot="1">
      <c r="A47" s="1165" t="s">
        <v>1390</v>
      </c>
      <c r="B47" s="1197" t="s">
        <v>1391</v>
      </c>
      <c r="C47" s="1366" t="s">
        <v>1392</v>
      </c>
      <c r="D47" s="1197" t="s">
        <v>1393</v>
      </c>
      <c r="E47" s="1278" t="s">
        <v>1394</v>
      </c>
      <c r="F47" s="1279"/>
      <c r="G47" s="792"/>
      <c r="I47" s="1879" t="s">
        <v>1520</v>
      </c>
      <c r="J47" s="1880" t="s">
        <v>3082</v>
      </c>
      <c r="K47" s="1881" t="s">
        <v>1521</v>
      </c>
      <c r="L47" s="1882">
        <f ca="1">INDIRECT("'数据-取费表'!d"&amp;$G$1)</f>
        <v>70</v>
      </c>
      <c r="M47" s="1837" t="str">
        <f>IF(ISNUMBER(FIND("住宅",C1)),"住宅","非住宅")</f>
        <v>住宅</v>
      </c>
      <c r="O47" s="1883" t="s">
        <v>1036</v>
      </c>
      <c r="P47" s="1884" t="s">
        <v>1522</v>
      </c>
      <c r="Q47" s="1885">
        <f ca="1">C40+J29</f>
        <v>101</v>
      </c>
      <c r="R47" s="1885" t="s">
        <v>1523</v>
      </c>
    </row>
    <row r="48" spans="1:18" s="1841" customFormat="1" ht="40.200000000000003" thickBot="1">
      <c r="A48" s="1359" t="s">
        <v>1131</v>
      </c>
      <c r="B48" s="345" t="s">
        <v>1395</v>
      </c>
      <c r="C48" s="1816">
        <f ca="1">C49+C53+C55</f>
        <v>0</v>
      </c>
      <c r="D48" s="1361"/>
      <c r="E48" s="1362"/>
      <c r="F48" s="1181"/>
      <c r="G48" s="792"/>
      <c r="H48" s="793"/>
      <c r="I48" s="1886" t="s">
        <v>1524</v>
      </c>
      <c r="J48" s="1887" t="s">
        <v>3083</v>
      </c>
      <c r="K48" s="1888" t="s">
        <v>1525</v>
      </c>
      <c r="L48" s="1889">
        <f ca="1">INDIRECT("'数据-取费表'!f"&amp;$G$1)</f>
        <v>48.49</v>
      </c>
      <c r="O48" s="1883" t="s">
        <v>1037</v>
      </c>
      <c r="P48" s="1884" t="s">
        <v>1526</v>
      </c>
      <c r="Q48" s="1885" t="str">
        <f ca="1">J60</f>
        <v>0</v>
      </c>
      <c r="R48" s="1885" t="s">
        <v>1527</v>
      </c>
    </row>
    <row r="49" spans="1:18" s="1841" customFormat="1" ht="13.8" thickBot="1">
      <c r="A49" s="1194" t="s">
        <v>1132</v>
      </c>
      <c r="B49" s="1828" t="s">
        <v>1484</v>
      </c>
      <c r="C49" s="1363">
        <f ca="1">ROUND(F49*F51*F50*(1-F52)/10000,0)</f>
        <v>0</v>
      </c>
      <c r="D49" s="1275" t="s">
        <v>3024</v>
      </c>
      <c r="E49" s="1829" t="s">
        <v>1485</v>
      </c>
      <c r="F49" s="1280"/>
      <c r="G49" s="1890"/>
      <c r="H49" s="793"/>
      <c r="I49" s="1886" t="s">
        <v>1528</v>
      </c>
      <c r="J49" s="1891">
        <v>1996</v>
      </c>
      <c r="K49" s="1888" t="s">
        <v>1529</v>
      </c>
      <c r="L49" s="1892"/>
      <c r="O49" s="1893" t="s">
        <v>1038</v>
      </c>
      <c r="P49" s="1884" t="s">
        <v>1530</v>
      </c>
      <c r="Q49" s="1885">
        <f ca="1">C29</f>
        <v>28</v>
      </c>
      <c r="R49" s="1885" t="s">
        <v>1523</v>
      </c>
    </row>
    <row r="50" spans="1:18" s="1841" customFormat="1" ht="13.8" thickBot="1">
      <c r="A50" s="1195"/>
      <c r="B50" s="1198"/>
      <c r="C50" s="1367"/>
      <c r="D50" s="1172"/>
      <c r="E50" s="1276" t="s">
        <v>1400</v>
      </c>
      <c r="F50" s="1277">
        <f ca="1">F7</f>
        <v>65</v>
      </c>
      <c r="H50" s="793"/>
      <c r="I50" s="1886" t="s">
        <v>1531</v>
      </c>
      <c r="J50" s="1894">
        <f>SUMPRODUCT((I63:I65=J47)*(J62:L62=J48)*(J63:L65))</f>
        <v>50</v>
      </c>
      <c r="K50" s="1888" t="s">
        <v>1532</v>
      </c>
      <c r="L50" s="1892"/>
      <c r="M50" s="1895"/>
      <c r="O50" s="1893" t="s">
        <v>1039</v>
      </c>
      <c r="P50" s="1884" t="s">
        <v>1533</v>
      </c>
      <c r="Q50" s="1896" t="e">
        <f ca="1">J58</f>
        <v>#VALUE!</v>
      </c>
      <c r="R50" s="1885"/>
    </row>
    <row r="51" spans="1:18" s="1841" customFormat="1" ht="13.8" thickBot="1">
      <c r="A51" s="1196"/>
      <c r="B51" s="1198"/>
      <c r="C51" s="1199"/>
      <c r="D51" s="1172"/>
      <c r="E51" s="1200" t="s">
        <v>1401</v>
      </c>
      <c r="F51" s="348">
        <f ca="1">F8</f>
        <v>365</v>
      </c>
      <c r="I51" s="1897" t="s">
        <v>1534</v>
      </c>
      <c r="J51" s="1898">
        <f>IF(J49="",J50,J49+J50-YEAR('数据-取费表'!B2))</f>
        <v>26</v>
      </c>
      <c r="K51" s="1899" t="s">
        <v>1535</v>
      </c>
      <c r="L51" s="1900">
        <f ca="1">ROUND(-PV(INDIRECT("'数据-取费表'!h"&amp;$G$1),L48,(C39-C13*C76),0),0)</f>
        <v>49</v>
      </c>
      <c r="M51" s="1901"/>
      <c r="O51" s="1893" t="s">
        <v>1040</v>
      </c>
      <c r="P51" s="1884" t="s">
        <v>1536</v>
      </c>
      <c r="Q51" s="1896">
        <f>J52</f>
        <v>8.5000000000000006E-2</v>
      </c>
      <c r="R51" s="1885"/>
    </row>
    <row r="52" spans="1:18" s="1841" customFormat="1" ht="13.8" thickBot="1">
      <c r="A52" s="1196"/>
      <c r="B52" s="1198"/>
      <c r="C52" s="1199"/>
      <c r="D52" s="1172"/>
      <c r="E52" s="1200" t="s">
        <v>1402</v>
      </c>
      <c r="F52" s="1274"/>
      <c r="I52" s="1902" t="s">
        <v>1537</v>
      </c>
      <c r="J52" s="1903">
        <v>8.5000000000000006E-2</v>
      </c>
      <c r="K52" s="1902" t="s">
        <v>1538</v>
      </c>
      <c r="L52" s="1903"/>
      <c r="O52" s="1893" t="s">
        <v>1041</v>
      </c>
      <c r="P52" s="1884" t="s">
        <v>1539</v>
      </c>
      <c r="Q52" s="1885">
        <f ca="1">J53</f>
        <v>48.49</v>
      </c>
      <c r="R52" s="1885" t="s">
        <v>1540</v>
      </c>
    </row>
    <row r="53" spans="1:18" s="1841" customFormat="1" ht="36.6" thickBot="1">
      <c r="A53" s="1404" t="s">
        <v>1133</v>
      </c>
      <c r="B53" s="1830" t="s">
        <v>1403</v>
      </c>
      <c r="C53" s="361">
        <f ca="1">ROUND(IF(F53="押一",C49/12*F11,IF(F53="押二",C49/12*2*F11,IF(F53="押三",C49/12*3*F11,C54*F11))),0)</f>
        <v>0</v>
      </c>
      <c r="D53" s="1823" t="s">
        <v>3031</v>
      </c>
      <c r="E53" s="358" t="s">
        <v>1404</v>
      </c>
      <c r="F53" s="1365"/>
      <c r="I53" s="1904" t="s">
        <v>1541</v>
      </c>
      <c r="J53" s="2950">
        <f ca="1">IF(M47="住宅",IF(D1="——",MAX(J51,L48),MAX(J51,L48-'数据-取费表'!B24)),IF(D1="——",MIN(J51,L48),MIN(J51,L48-'数据-取费表'!B24)))</f>
        <v>48.49</v>
      </c>
      <c r="K53" s="3242" t="s">
        <v>1542</v>
      </c>
      <c r="L53" s="3243"/>
      <c r="O53" s="1883" t="s">
        <v>1042</v>
      </c>
      <c r="P53" s="1884" t="s">
        <v>1543</v>
      </c>
      <c r="Q53" s="1885">
        <f ca="1">Q47+Q48</f>
        <v>101</v>
      </c>
      <c r="R53" s="1885" t="s">
        <v>1043</v>
      </c>
    </row>
    <row r="54" spans="1:18" s="1841" customFormat="1" ht="24.6" thickBot="1">
      <c r="A54" s="1405"/>
      <c r="B54" s="1824" t="s">
        <v>1382</v>
      </c>
      <c r="C54" s="1178"/>
      <c r="D54" s="1823"/>
      <c r="E54" s="1831"/>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90"/>
      <c r="O54" s="1868" t="s">
        <v>1544</v>
      </c>
      <c r="P54" s="1838"/>
      <c r="Q54" s="1838"/>
      <c r="R54" s="1838"/>
    </row>
    <row r="55" spans="1:18" s="1841" customFormat="1" ht="13.8" thickBot="1">
      <c r="A55" s="1332" t="s">
        <v>1071</v>
      </c>
      <c r="B55" s="1826" t="s">
        <v>1407</v>
      </c>
      <c r="C55" s="1333"/>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37.200000000000003" thickTop="1" thickBot="1">
      <c r="A56" s="1176">
        <v>2</v>
      </c>
      <c r="B56" s="1177" t="s">
        <v>1408</v>
      </c>
      <c r="C56" s="276">
        <f ca="1">C13</f>
        <v>19</v>
      </c>
      <c r="D56" s="1912"/>
      <c r="E56" s="1913"/>
      <c r="F56" s="1905"/>
      <c r="I56" s="1914" t="s">
        <v>1548</v>
      </c>
      <c r="J56" s="1915" t="s">
        <v>3055</v>
      </c>
      <c r="K56" s="1886" t="s">
        <v>1549</v>
      </c>
      <c r="L56" s="1889">
        <f ca="1">IF(L48&lt;J51,"——",L48-J53)</f>
        <v>0</v>
      </c>
      <c r="O56" s="1883" t="s">
        <v>1036</v>
      </c>
      <c r="P56" s="1884" t="s">
        <v>1522</v>
      </c>
      <c r="Q56" s="1885">
        <f ca="1">C40+J29</f>
        <v>101</v>
      </c>
      <c r="R56" s="1885" t="s">
        <v>1523</v>
      </c>
    </row>
    <row r="57" spans="1:18" s="1841" customFormat="1" ht="24.6" thickBot="1">
      <c r="A57" s="1916"/>
      <c r="B57" s="1169" t="s">
        <v>1472</v>
      </c>
      <c r="C57" s="282">
        <f ca="1">C29</f>
        <v>28</v>
      </c>
      <c r="D57" s="1917"/>
      <c r="E57" s="1918"/>
      <c r="F57" s="1919"/>
      <c r="I57" s="1920" t="s">
        <v>1550</v>
      </c>
      <c r="J57" s="1921" t="str">
        <f ca="1">IF(OR(M47="住宅",J51&lt;L48,J56="是"),"——",J51-L48)</f>
        <v>——</v>
      </c>
      <c r="K57" s="1886" t="s">
        <v>1551</v>
      </c>
      <c r="L57" s="1889">
        <f ca="1">IF(L48&lt;J51,"——",IF(L55="比较法",L49,IF(L55="基准地价",L50,L51)))</f>
        <v>49</v>
      </c>
      <c r="O57" s="1883" t="s">
        <v>1037</v>
      </c>
      <c r="P57" s="1884" t="s">
        <v>1552</v>
      </c>
      <c r="Q57" s="1885">
        <f ca="1">L60</f>
        <v>0</v>
      </c>
      <c r="R57" s="1885" t="s">
        <v>1553</v>
      </c>
    </row>
    <row r="58" spans="1:18" s="1841" customFormat="1" ht="24.6" thickBot="1">
      <c r="A58" s="360" t="s">
        <v>1026</v>
      </c>
      <c r="B58" s="1177" t="s">
        <v>1418</v>
      </c>
      <c r="C58" s="361">
        <f ca="1">ROUND(C59+C64+C65+C66,0)</f>
        <v>3</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6" thickBot="1">
      <c r="A59" s="1201" t="s">
        <v>1031</v>
      </c>
      <c r="B59" s="1169" t="s">
        <v>1423</v>
      </c>
      <c r="C59" s="24">
        <f ca="1">ROUND(IF(项目基本情况!B11="自然人",C48*F59,C60+C61+C62),1)</f>
        <v>2.4</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2" thickBot="1">
      <c r="A60" s="1201" t="s">
        <v>1030</v>
      </c>
      <c r="B60" s="1169" t="s">
        <v>1427</v>
      </c>
      <c r="C60" s="24">
        <f ca="1">IF(项目基本情况!B11="自然人","——",ROUND(C48*F60/(1+'数据-取费表'!C42),2))</f>
        <v>0</v>
      </c>
      <c r="D60" s="1183" t="s">
        <v>1428</v>
      </c>
      <c r="E60" s="1169"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8" thickBot="1">
      <c r="A61" s="1201" t="s">
        <v>1486</v>
      </c>
      <c r="B61" s="1169" t="s">
        <v>1487</v>
      </c>
      <c r="C61" s="24">
        <f ca="1">IF(项目基本情况!B11="自然人","——",IF(D61="按租金收入计税",ROUND(C48*F61,2),IF(D61="按房产原值计税",ROUND(C57*F61*0.7,2),INDIRECT("'数据-取费表'!Aj"&amp;$G$1))))</f>
        <v>2.35</v>
      </c>
      <c r="D61" s="1827" t="s">
        <v>1432</v>
      </c>
      <c r="E61" s="1169"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8" thickBot="1">
      <c r="A62" s="1201" t="s">
        <v>1489</v>
      </c>
      <c r="B62" s="1168" t="s">
        <v>1490</v>
      </c>
      <c r="C62" s="25">
        <f ca="1">IF(项目基本情况!B11="自然人","——",ROUND(F62*F63/10000,2))</f>
        <v>0.01</v>
      </c>
      <c r="D62" s="1184" t="s">
        <v>1491</v>
      </c>
      <c r="E62" s="1169" t="s">
        <v>1492</v>
      </c>
      <c r="F62" s="371">
        <f t="shared" si="0"/>
        <v>3</v>
      </c>
      <c r="I62" s="1927" t="s">
        <v>1564</v>
      </c>
      <c r="J62" s="1928" t="s">
        <v>1565</v>
      </c>
      <c r="K62" s="1928" t="s">
        <v>1566</v>
      </c>
      <c r="L62" s="1928" t="s">
        <v>1567</v>
      </c>
      <c r="M62" s="1929" t="s">
        <v>1568</v>
      </c>
      <c r="O62" s="1883" t="s">
        <v>1042</v>
      </c>
      <c r="P62" s="1884" t="s">
        <v>1569</v>
      </c>
      <c r="Q62" s="1885">
        <f ca="1">Q56+Q57</f>
        <v>101</v>
      </c>
      <c r="R62" s="1885" t="s">
        <v>1043</v>
      </c>
    </row>
    <row r="63" spans="1:18" s="1841" customFormat="1" ht="13.8" thickBot="1">
      <c r="A63" s="372"/>
      <c r="B63" s="1175"/>
      <c r="C63" s="29"/>
      <c r="D63" s="1185"/>
      <c r="E63" s="1169" t="s">
        <v>1493</v>
      </c>
      <c r="F63" s="348">
        <f t="shared" ca="1" si="0"/>
        <v>23.15</v>
      </c>
      <c r="I63" s="1927" t="s">
        <v>1570</v>
      </c>
      <c r="J63" s="1928">
        <v>70</v>
      </c>
      <c r="K63" s="1928">
        <v>50</v>
      </c>
      <c r="L63" s="1928">
        <v>80</v>
      </c>
      <c r="M63" s="1930">
        <v>0.02</v>
      </c>
      <c r="O63" s="1868" t="s">
        <v>1571</v>
      </c>
      <c r="P63" s="1838"/>
      <c r="Q63" s="1838"/>
      <c r="R63" s="1838"/>
    </row>
    <row r="64" spans="1:18" s="1841" customFormat="1" ht="13.8" thickBot="1">
      <c r="A64" s="1201" t="s">
        <v>1494</v>
      </c>
      <c r="B64" s="1169" t="s">
        <v>1495</v>
      </c>
      <c r="C64" s="24">
        <f ca="1">ROUND(C57*F64,1)</f>
        <v>0.4</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8" thickBot="1">
      <c r="A65" s="1201" t="s">
        <v>1497</v>
      </c>
      <c r="B65" s="1169" t="s">
        <v>1447</v>
      </c>
      <c r="C65" s="24">
        <f ca="1">ROUND(C56*F65,1)</f>
        <v>0</v>
      </c>
      <c r="D65" s="1183" t="s">
        <v>1448</v>
      </c>
      <c r="E65" s="1169" t="s">
        <v>1449</v>
      </c>
      <c r="F65" s="376">
        <f t="shared" ca="1" si="0"/>
        <v>1.5E-3</v>
      </c>
      <c r="I65" s="1927" t="s">
        <v>1573</v>
      </c>
      <c r="J65" s="1928">
        <v>40</v>
      </c>
      <c r="K65" s="1928">
        <v>30</v>
      </c>
      <c r="L65" s="1928">
        <v>50</v>
      </c>
      <c r="M65" s="1930">
        <v>0.02</v>
      </c>
      <c r="O65" s="1883" t="s">
        <v>1036</v>
      </c>
      <c r="P65" s="1884" t="s">
        <v>1574</v>
      </c>
      <c r="Q65" s="1885">
        <f ca="1">C40+J29</f>
        <v>101</v>
      </c>
      <c r="R65" s="1885" t="s">
        <v>1523</v>
      </c>
    </row>
    <row r="66" spans="1:18" s="1841" customFormat="1" ht="16.2" thickBot="1">
      <c r="A66" s="1201" t="s">
        <v>1498</v>
      </c>
      <c r="B66" s="1169" t="s">
        <v>1433</v>
      </c>
      <c r="C66" s="24">
        <f ca="1">ROUND(C48*F66,1)</f>
        <v>0</v>
      </c>
      <c r="D66" s="1183" t="s">
        <v>1499</v>
      </c>
      <c r="E66" s="1169" t="s">
        <v>1416</v>
      </c>
      <c r="F66" s="357">
        <f t="shared" ca="1" si="0"/>
        <v>0.02</v>
      </c>
      <c r="O66" s="1883" t="s">
        <v>1037</v>
      </c>
      <c r="P66" s="1884" t="s">
        <v>1552</v>
      </c>
      <c r="Q66" s="1885">
        <f ca="1">L60</f>
        <v>0</v>
      </c>
      <c r="R66" s="1885" t="s">
        <v>1575</v>
      </c>
    </row>
    <row r="67" spans="1:18" s="1841" customFormat="1" ht="24.6" thickBot="1">
      <c r="A67" s="1176" t="s">
        <v>1027</v>
      </c>
      <c r="B67" s="1186" t="s">
        <v>1457</v>
      </c>
      <c r="C67" s="361">
        <f ca="1">C48-C58</f>
        <v>-3</v>
      </c>
      <c r="D67" s="1182" t="s">
        <v>1458</v>
      </c>
      <c r="E67" s="1187"/>
      <c r="F67" s="1188"/>
      <c r="O67" s="1893" t="s">
        <v>1038</v>
      </c>
      <c r="P67" s="1884" t="s">
        <v>1556</v>
      </c>
      <c r="Q67" s="1931">
        <f ca="1">L51</f>
        <v>49</v>
      </c>
      <c r="R67" s="1885" t="s">
        <v>1576</v>
      </c>
    </row>
    <row r="68" spans="1:18" s="1841" customFormat="1" ht="16.2" thickBot="1">
      <c r="A68" s="1166" t="s">
        <v>1028</v>
      </c>
      <c r="B68" s="1167" t="s">
        <v>1479</v>
      </c>
      <c r="C68" s="346">
        <f ca="1">ROUND(C67*(1-((1+F70)/(1+F68))^F69)/(F68-F70),0)</f>
        <v>-54</v>
      </c>
      <c r="D68" s="1184" t="s">
        <v>1463</v>
      </c>
      <c r="E68" s="1169" t="s">
        <v>1464</v>
      </c>
      <c r="F68" s="357">
        <f ca="1">F40</f>
        <v>0.05</v>
      </c>
      <c r="O68" s="1893" t="s">
        <v>1039</v>
      </c>
      <c r="P68" s="1932" t="s">
        <v>1577</v>
      </c>
      <c r="Q68" s="1885">
        <f ca="1">ROUND(Q69-Q70*Q71,0)</f>
        <v>2</v>
      </c>
      <c r="R68" s="1885" t="s">
        <v>1047</v>
      </c>
    </row>
    <row r="69" spans="1:18" s="1841" customFormat="1" ht="13.8" thickBot="1">
      <c r="A69" s="1170"/>
      <c r="B69" s="1171"/>
      <c r="C69" s="351"/>
      <c r="D69" s="1189" t="s">
        <v>1467</v>
      </c>
      <c r="E69" s="1169" t="s">
        <v>1468</v>
      </c>
      <c r="F69" s="379">
        <f ca="1">F41</f>
        <v>48.49</v>
      </c>
      <c r="O69" s="1893" t="s">
        <v>1044</v>
      </c>
      <c r="P69" s="1932" t="s">
        <v>1578</v>
      </c>
      <c r="Q69" s="1885">
        <f ca="1">C39</f>
        <v>4</v>
      </c>
      <c r="R69" s="1885" t="s">
        <v>1523</v>
      </c>
    </row>
    <row r="70" spans="1:18" s="1841" customFormat="1" ht="13.8" thickBot="1">
      <c r="A70" s="1173"/>
      <c r="B70" s="1174"/>
      <c r="C70" s="355"/>
      <c r="D70" s="1185"/>
      <c r="E70" s="1169" t="s">
        <v>1471</v>
      </c>
      <c r="F70" s="1274"/>
      <c r="O70" s="1893" t="s">
        <v>1045</v>
      </c>
      <c r="P70" s="1932" t="s">
        <v>1579</v>
      </c>
      <c r="Q70" s="1885">
        <f ca="1">C13</f>
        <v>19</v>
      </c>
      <c r="R70" s="1885" t="s">
        <v>1523</v>
      </c>
    </row>
    <row r="71" spans="1:18" s="1841" customFormat="1" ht="13.8" thickBot="1">
      <c r="A71" s="1190" t="s">
        <v>1029</v>
      </c>
      <c r="B71" s="1191" t="s">
        <v>1481</v>
      </c>
      <c r="C71" s="382">
        <f ca="1">ROUND(C68*10000/F71,0)</f>
        <v>-8308</v>
      </c>
      <c r="D71" s="1192" t="s">
        <v>1482</v>
      </c>
      <c r="E71" s="1193" t="s">
        <v>1483</v>
      </c>
      <c r="F71" s="385">
        <f ca="1">F43</f>
        <v>65</v>
      </c>
      <c r="O71" s="1893" t="s">
        <v>1046</v>
      </c>
      <c r="P71" s="1932" t="s">
        <v>1580</v>
      </c>
      <c r="Q71" s="1896">
        <f ca="1">C76</f>
        <v>0.08</v>
      </c>
      <c r="R71" s="1885"/>
    </row>
    <row r="72" spans="1:18" s="1841" customFormat="1" ht="13.8" thickBot="1">
      <c r="B72" s="796"/>
      <c r="C72" s="796"/>
      <c r="O72" s="1893" t="s">
        <v>1040</v>
      </c>
      <c r="P72" s="1884" t="s">
        <v>1558</v>
      </c>
      <c r="Q72" s="1896">
        <f>L52</f>
        <v>0</v>
      </c>
      <c r="R72" s="1885"/>
    </row>
    <row r="73" spans="1:18" ht="16.2" thickBot="1">
      <c r="A73" s="1841"/>
      <c r="B73" s="796"/>
      <c r="C73" s="796"/>
      <c r="D73" s="1841"/>
      <c r="E73" s="1841"/>
      <c r="F73" s="1841"/>
      <c r="O73" s="1893" t="s">
        <v>1041</v>
      </c>
      <c r="P73" s="1884" t="s">
        <v>1561</v>
      </c>
      <c r="Q73" s="1885" t="e">
        <f ca="1">L58</f>
        <v>#DIV/0!</v>
      </c>
      <c r="R73" s="1885" t="s">
        <v>1562</v>
      </c>
    </row>
    <row r="74" spans="1:18" ht="13.8"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8" thickBot="1">
      <c r="A75" s="1841"/>
      <c r="B75" s="386" t="s">
        <v>1500</v>
      </c>
      <c r="C75" s="387">
        <f ca="1">ROUND(C13*C76,0)</f>
        <v>2</v>
      </c>
      <c r="D75" s="1841"/>
      <c r="E75" s="1841"/>
      <c r="F75" s="1841"/>
      <c r="K75" s="1867"/>
      <c r="L75" s="1841"/>
      <c r="O75" s="1883" t="s">
        <v>1042</v>
      </c>
      <c r="P75" s="1884" t="s">
        <v>1543</v>
      </c>
      <c r="Q75" s="1885">
        <f ca="1">Q65+Q66</f>
        <v>101</v>
      </c>
      <c r="R75" s="1885" t="s">
        <v>1043</v>
      </c>
    </row>
    <row r="76" spans="1:18">
      <c r="B76" s="388" t="s">
        <v>1501</v>
      </c>
      <c r="C76" s="389">
        <f ca="1">INDIRECT("'数据-取费表'!j"&amp;$G$1)</f>
        <v>0.08</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0.5</v>
      </c>
    </row>
    <row r="80" spans="1:18">
      <c r="B80" s="386" t="s">
        <v>1505</v>
      </c>
      <c r="C80" s="318">
        <f ca="1">ROUND(C75/C39,3)</f>
        <v>0.5</v>
      </c>
    </row>
    <row r="81" spans="2:3">
      <c r="B81" s="314" t="s">
        <v>1506</v>
      </c>
      <c r="C81" s="282"/>
    </row>
    <row r="82" spans="2:3">
      <c r="B82" s="317" t="s">
        <v>1507</v>
      </c>
      <c r="C82" s="319">
        <f ca="1">1-C83</f>
        <v>0.81200000000000006</v>
      </c>
    </row>
    <row r="83" spans="2:3">
      <c r="B83" s="317" t="s">
        <v>1508</v>
      </c>
      <c r="C83" s="318">
        <f ca="1">ROUND(C13/C40,3)</f>
        <v>0.188</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1583</v>
      </c>
      <c r="B1" s="782"/>
      <c r="C1" s="1836" t="s">
        <v>3057</v>
      </c>
      <c r="D1" s="1819" t="s">
        <v>70</v>
      </c>
      <c r="E1" s="1820" t="s">
        <v>1381</v>
      </c>
      <c r="F1" s="1282">
        <f ca="1">J53</f>
        <v>48.49</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f ca="1">ROUND(D2/10000,0)</f>
        <v>119</v>
      </c>
      <c r="C2" s="1844" t="s">
        <v>1585</v>
      </c>
      <c r="D2" s="1936">
        <f ca="1">C40+J29+L46</f>
        <v>1191297</v>
      </c>
      <c r="E2" s="1845" t="s">
        <v>1586</v>
      </c>
      <c r="F2" s="1846"/>
      <c r="G2" s="1847"/>
      <c r="H2" s="1839"/>
      <c r="I2" s="1839"/>
      <c r="J2" s="1839"/>
      <c r="K2" s="1840"/>
      <c r="L2" s="1839"/>
      <c r="M2" s="1839"/>
    </row>
    <row r="3" spans="1:37" ht="18" customHeight="1" thickBot="1">
      <c r="A3" s="1848" t="s">
        <v>1587</v>
      </c>
      <c r="B3" s="1849">
        <f ca="1">IF(ISERROR(D2/F43),0,ROUND(D2/F43,0))</f>
        <v>18328</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64138</v>
      </c>
      <c r="D5" s="1821" t="s">
        <v>1595</v>
      </c>
      <c r="E5" s="1292"/>
      <c r="F5" s="1293"/>
      <c r="G5" s="1850"/>
      <c r="H5" s="344">
        <v>1</v>
      </c>
      <c r="I5" s="345" t="s">
        <v>1594</v>
      </c>
      <c r="J5" s="1291">
        <f ca="1">J6+J10+J12</f>
        <v>0</v>
      </c>
      <c r="K5" s="1821" t="s">
        <v>1595</v>
      </c>
      <c r="L5" s="1292"/>
      <c r="M5" s="1293"/>
    </row>
    <row r="6" spans="1:37" ht="18" customHeight="1">
      <c r="A6" s="1290" t="s">
        <v>1031</v>
      </c>
      <c r="B6" s="3244" t="s">
        <v>1397</v>
      </c>
      <c r="C6" s="1295">
        <f ca="1">ROUND(F6*F8*F7*(1-F9),0)</f>
        <v>64058</v>
      </c>
      <c r="D6" s="164" t="s">
        <v>3020</v>
      </c>
      <c r="E6" s="347" t="s">
        <v>1399</v>
      </c>
      <c r="F6" s="348">
        <f ca="1">INDIRECT("'数据-取费表'!u"&amp;$G$1)</f>
        <v>3</v>
      </c>
      <c r="G6" s="1850"/>
      <c r="H6" s="1290" t="s">
        <v>1031</v>
      </c>
      <c r="I6" s="3244" t="s">
        <v>1397</v>
      </c>
      <c r="J6" s="346">
        <f ca="1">ROUND(M6*M8*M7*(1-M9),0)</f>
        <v>0</v>
      </c>
      <c r="K6" s="1833" t="s">
        <v>3021</v>
      </c>
      <c r="L6" s="347" t="s">
        <v>1399</v>
      </c>
      <c r="M6" s="348">
        <f ca="1">INDIRECT("'数据-取费表'!z"&amp;$G$1)</f>
        <v>0</v>
      </c>
    </row>
    <row r="7" spans="1:37" ht="18" customHeight="1">
      <c r="A7" s="1294"/>
      <c r="B7" s="3245"/>
      <c r="C7" s="1296"/>
      <c r="D7" s="352"/>
      <c r="E7" s="1297" t="s">
        <v>1400</v>
      </c>
      <c r="F7" s="348">
        <f ca="1">IF(INDIRECT("'数据-取费表'!ah"&amp;$G$1)="",INDIRECT("'数据-取费表'!k"&amp;$G$1),INDIRECT("'数据-取费表'!ah"&amp;$G$1))</f>
        <v>65</v>
      </c>
      <c r="G7" s="1850"/>
      <c r="H7" s="349"/>
      <c r="I7" s="3245"/>
      <c r="J7" s="351"/>
      <c r="K7" s="352"/>
      <c r="L7" s="347" t="s">
        <v>1400</v>
      </c>
      <c r="M7" s="348">
        <f ca="1">F7</f>
        <v>65</v>
      </c>
    </row>
    <row r="8" spans="1:37" ht="18" customHeight="1">
      <c r="A8" s="349"/>
      <c r="B8" s="3245"/>
      <c r="C8" s="351"/>
      <c r="D8" s="352"/>
      <c r="E8" s="347" t="s">
        <v>1401</v>
      </c>
      <c r="F8" s="348">
        <f ca="1">INDIRECT("'数据-取费表'!ai"&amp;$G$1)</f>
        <v>365</v>
      </c>
      <c r="G8" s="1850"/>
      <c r="H8" s="349"/>
      <c r="I8" s="3245"/>
      <c r="J8" s="351"/>
      <c r="K8" s="352"/>
      <c r="L8" s="347" t="s">
        <v>1401</v>
      </c>
      <c r="M8" s="348">
        <f ca="1">INDIRECT("'数据-取费表'!ai"&amp;$G$1)</f>
        <v>365</v>
      </c>
    </row>
    <row r="9" spans="1:37" ht="18" customHeight="1">
      <c r="A9" s="349"/>
      <c r="B9" s="3246"/>
      <c r="C9" s="351"/>
      <c r="D9" s="352"/>
      <c r="E9" s="347" t="s">
        <v>1402</v>
      </c>
      <c r="F9" s="357">
        <f ca="1">INDIRECT("'数据-取费表'!w"&amp;$G$1)</f>
        <v>0.1</v>
      </c>
      <c r="G9" s="1850"/>
      <c r="H9" s="349"/>
      <c r="I9" s="3246"/>
      <c r="J9" s="351"/>
      <c r="K9" s="352"/>
      <c r="L9" s="358" t="s">
        <v>1402</v>
      </c>
      <c r="M9" s="359">
        <f ca="1">INDIRECT("'数据-取费表'!ab"&amp;$G$1)</f>
        <v>0</v>
      </c>
    </row>
    <row r="10" spans="1:37" ht="18" customHeight="1">
      <c r="A10" s="1290" t="s">
        <v>1035</v>
      </c>
      <c r="B10" s="1822" t="s">
        <v>1403</v>
      </c>
      <c r="C10" s="361">
        <f ca="1">ROUND(IF(F10="押一",C6/12*F11,IF(F10="押二",C6/12*2*F11,IF(F10="押三",C6/12*3*F11,C11*F11))),0)</f>
        <v>80</v>
      </c>
      <c r="D10" s="1823" t="s">
        <v>3031</v>
      </c>
      <c r="E10" s="358" t="s">
        <v>1404</v>
      </c>
      <c r="F10" s="1365" t="s">
        <v>3085</v>
      </c>
      <c r="G10" s="1850"/>
      <c r="H10" s="1290" t="s">
        <v>1035</v>
      </c>
      <c r="I10" s="1822" t="s">
        <v>1403</v>
      </c>
      <c r="J10" s="346">
        <f ca="1">ROUND(IF(M10="押一",J6/12*M11,IF(M10="押二",J6/12*2*M11,IF(M10="押三",J6/12*3*M11,J11*M11))),0)</f>
        <v>0</v>
      </c>
      <c r="K10" s="1834" t="s">
        <v>3033</v>
      </c>
      <c r="L10" s="358" t="s">
        <v>1404</v>
      </c>
      <c r="M10" s="1365"/>
    </row>
    <row r="11" spans="1:37" ht="18" customHeight="1">
      <c r="A11" s="353"/>
      <c r="B11" s="1824" t="s">
        <v>1596</v>
      </c>
      <c r="C11" s="1178"/>
      <c r="D11" s="352"/>
      <c r="E11" s="358" t="s">
        <v>1406</v>
      </c>
      <c r="F11" s="359">
        <f ca="1">'数据-取费表'!B39</f>
        <v>1.4999999999999999E-2</v>
      </c>
      <c r="G11" s="1850"/>
      <c r="H11" s="1298"/>
      <c r="I11" s="1824" t="s">
        <v>1597</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202223</v>
      </c>
      <c r="D13" s="1330" t="s">
        <v>1409</v>
      </c>
      <c r="E13" s="1330" t="s">
        <v>1410</v>
      </c>
      <c r="F13" s="1331">
        <f ca="1">INDIRECT("'数据-取费表'!y"&amp;$G$1)</f>
        <v>0.69</v>
      </c>
      <c r="G13" s="1850"/>
      <c r="H13" s="1328">
        <v>2</v>
      </c>
      <c r="I13" s="1329" t="s">
        <v>1408</v>
      </c>
      <c r="J13" s="1289">
        <f ca="1">ROUND(J14*J15,0)</f>
        <v>0</v>
      </c>
      <c r="K13" s="1336" t="s">
        <v>1409</v>
      </c>
      <c r="L13" s="1851"/>
      <c r="M13" s="1852"/>
    </row>
    <row r="14" spans="1:37" ht="18" customHeight="1">
      <c r="A14" s="1201" t="s">
        <v>1030</v>
      </c>
      <c r="B14" s="347" t="s">
        <v>1411</v>
      </c>
      <c r="C14" s="363">
        <f ca="1">ROUND(INDIRECT("'数据-取费表'!l"&amp;$G$1)*F43+'数据-取费表'!L14*INDIRECT("'数据-取费表'!S"&amp;$G$1),0)</f>
        <v>182000</v>
      </c>
      <c r="D14" s="1799" t="s">
        <v>1412</v>
      </c>
      <c r="E14" s="1793"/>
      <c r="F14" s="364"/>
      <c r="G14" s="1850"/>
      <c r="H14" s="1201" t="s">
        <v>1031</v>
      </c>
      <c r="I14" s="347" t="s">
        <v>1413</v>
      </c>
      <c r="J14" s="24">
        <f ca="1">C29</f>
        <v>293077</v>
      </c>
      <c r="K14" s="15"/>
      <c r="L14" s="979"/>
      <c r="M14" s="980"/>
    </row>
    <row r="15" spans="1:37" s="1857" customFormat="1" ht="18" customHeight="1" thickBot="1">
      <c r="A15" s="1201" t="s">
        <v>1032</v>
      </c>
      <c r="B15" s="347" t="s">
        <v>1414</v>
      </c>
      <c r="C15" s="24">
        <f ca="1">ROUND(C14*F15,0)</f>
        <v>5460</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9100</v>
      </c>
      <c r="D16" s="347" t="s">
        <v>1415</v>
      </c>
      <c r="E16" s="347" t="s">
        <v>1416</v>
      </c>
      <c r="F16" s="367">
        <f ca="1">IF(INDIRECT("'数据-取费表'!c"&amp;$G$1)="住宅",'数据-取费表'!B34,0)</f>
        <v>0.05</v>
      </c>
      <c r="G16" s="1850"/>
      <c r="H16" s="1328" t="s">
        <v>1026</v>
      </c>
      <c r="I16" s="1329" t="s">
        <v>1418</v>
      </c>
      <c r="J16" s="355">
        <f ca="1">ROUND(J17+J22+J23+J24,0)</f>
        <v>6927</v>
      </c>
      <c r="K16" s="1336" t="s">
        <v>1419</v>
      </c>
      <c r="L16" s="1337"/>
      <c r="M16" s="1293"/>
    </row>
    <row r="17" spans="1:37" s="1857" customFormat="1" ht="18" customHeight="1">
      <c r="A17" s="1201" t="s">
        <v>1384</v>
      </c>
      <c r="B17" s="347" t="s">
        <v>1420</v>
      </c>
      <c r="C17" s="24">
        <f ca="1">ROUND(F17*(F43+INDIRECT("'数据-取费表'!S"&amp;$G$1)),0)</f>
        <v>13000</v>
      </c>
      <c r="D17" s="347" t="s">
        <v>1421</v>
      </c>
      <c r="E17" s="347" t="s">
        <v>1422</v>
      </c>
      <c r="F17" s="26">
        <f>'数据-取费表'!B35</f>
        <v>200</v>
      </c>
      <c r="G17" s="1853"/>
      <c r="H17" s="1201" t="s">
        <v>1031</v>
      </c>
      <c r="I17" s="347" t="s">
        <v>1423</v>
      </c>
      <c r="J17" s="24">
        <f ca="1">ROUND(IF(项目基本情况!B11="自然人",J6*M17/(1+'数据-取费表'!C42),J18+J19+J20),0)</f>
        <v>2531</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2730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212290</v>
      </c>
      <c r="D19" s="140" t="s">
        <v>1430</v>
      </c>
      <c r="E19" s="1817"/>
      <c r="F19" s="26"/>
      <c r="G19" s="1850"/>
      <c r="H19" s="1201" t="s">
        <v>1032</v>
      </c>
      <c r="I19" s="347" t="s">
        <v>1431</v>
      </c>
      <c r="J19" s="24">
        <f ca="1">IF(K19="按租金收入计税",ROUND(J6*M19/(1+'数据-取费表'!C42),0),ROUND(C29*M19*0.7,0))</f>
        <v>2462</v>
      </c>
      <c r="K19" s="1827" t="s">
        <v>1432</v>
      </c>
      <c r="L19" s="347" t="s">
        <v>1416</v>
      </c>
      <c r="M19" s="367">
        <f>IF(K19="按租金收入计税",'数据-取费表'!B51,'数据-取费表'!B50)</f>
        <v>1.2E-2</v>
      </c>
    </row>
    <row r="20" spans="1:37" s="1857" customFormat="1" ht="18" customHeight="1">
      <c r="A20" s="1201" t="s">
        <v>1035</v>
      </c>
      <c r="B20" s="347" t="s">
        <v>1433</v>
      </c>
      <c r="C20" s="24">
        <f ca="1">ROUND(C19*F20,0)</f>
        <v>4246</v>
      </c>
      <c r="D20" s="369" t="s">
        <v>1434</v>
      </c>
      <c r="E20" s="347" t="s">
        <v>1416</v>
      </c>
      <c r="F20" s="367">
        <f>'数据-取费表'!B37</f>
        <v>0.02</v>
      </c>
      <c r="G20" s="1853"/>
      <c r="H20" s="1201" t="s">
        <v>1383</v>
      </c>
      <c r="I20" s="164" t="s">
        <v>1435</v>
      </c>
      <c r="J20" s="25">
        <f ca="1">ROUND(M20*M21,0)</f>
        <v>69</v>
      </c>
      <c r="K20" s="370" t="s">
        <v>1436</v>
      </c>
      <c r="L20" s="347" t="s">
        <v>1437</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23.15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4396</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10286</v>
      </c>
      <c r="D23" s="375" t="str">
        <f>IF(F23&lt;=1,"(建造成本+管理费用)×利率×(建设周期÷2)","(建造成本+管理费用)×((1+利率)^(建设周期÷2)-1)")</f>
        <v>(建造成本+管理费用)×((1+利率)^(建设周期÷2)-1)</v>
      </c>
      <c r="E23" s="347" t="s">
        <v>1446</v>
      </c>
      <c r="F23" s="371">
        <f>'数据-取费表'!B20</f>
        <v>2</v>
      </c>
      <c r="G23" s="1853"/>
      <c r="H23" s="1201" t="s">
        <v>1071</v>
      </c>
      <c r="I23" s="347" t="s">
        <v>1447</v>
      </c>
      <c r="J23" s="24">
        <f ca="1">ROUND(J13*M23,0)</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8" t="s">
        <v>1027</v>
      </c>
      <c r="I25" s="1343" t="s">
        <v>1457</v>
      </c>
      <c r="J25" s="355">
        <f ca="1">J5-J16</f>
        <v>-6927</v>
      </c>
      <c r="K25" s="1344" t="s">
        <v>1458</v>
      </c>
      <c r="L25" s="1345"/>
      <c r="M25" s="1346"/>
    </row>
    <row r="26" spans="1:37" ht="18" customHeight="1">
      <c r="A26" s="1201" t="s">
        <v>1030</v>
      </c>
      <c r="B26" s="347" t="s">
        <v>1459</v>
      </c>
      <c r="C26" s="24">
        <f ca="1">ROUND((C19+C20)*F26,0)</f>
        <v>43307</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293077</v>
      </c>
      <c r="D29" s="1341"/>
      <c r="E29" s="1339"/>
      <c r="F29" s="1342"/>
      <c r="G29" s="1853"/>
      <c r="H29" s="380" t="s">
        <v>1029</v>
      </c>
      <c r="I29" s="381" t="s">
        <v>1473</v>
      </c>
      <c r="J29" s="382">
        <f ca="1">ROUND(J26/(1+F40)^F41,0)</f>
        <v>0</v>
      </c>
      <c r="K29" s="383" t="s">
        <v>1474</v>
      </c>
      <c r="L29" s="384"/>
      <c r="M29" s="385">
        <f ca="1">INDIRECT("'数据-取费表'!k"&amp;$G$1)</f>
        <v>65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16788</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ROUND(IF(项目基本情况!B11="自然人",C6*F31/(1+'数据-取费表'!C42),C32+C33+C34),0)</f>
        <v>10806</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3416</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7321</v>
      </c>
      <c r="D33" s="1827" t="s">
        <v>3086</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f>
        <v>69</v>
      </c>
      <c r="D34" s="370" t="s">
        <v>1436</v>
      </c>
      <c r="E34" s="347" t="s">
        <v>1437</v>
      </c>
      <c r="F34" s="371">
        <f>'数据-取费表'!B52</f>
        <v>3</v>
      </c>
      <c r="G34" s="1850"/>
      <c r="H34" s="745"/>
      <c r="I34" s="1859"/>
      <c r="J34" s="1860"/>
      <c r="K34" s="1862"/>
      <c r="L34" s="1863"/>
      <c r="M34" s="1863"/>
    </row>
    <row r="35" spans="1:18" ht="18" customHeight="1">
      <c r="A35" s="1352"/>
      <c r="B35" s="1350"/>
      <c r="C35" s="29"/>
      <c r="D35" s="373"/>
      <c r="E35" s="347" t="s">
        <v>1441</v>
      </c>
      <c r="F35" s="348">
        <f ca="1">INDIRECT("'数据-取费表'!r"&amp;$G$1)</f>
        <v>23.15</v>
      </c>
      <c r="G35" s="1850"/>
      <c r="H35" s="745"/>
      <c r="I35" s="1859"/>
      <c r="J35" s="1860"/>
      <c r="K35" s="1861"/>
      <c r="L35" s="1858"/>
      <c r="M35" s="1858"/>
    </row>
    <row r="36" spans="1:18" ht="18" customHeight="1">
      <c r="A36" s="1351" t="s">
        <v>1035</v>
      </c>
      <c r="B36" s="347" t="s">
        <v>1443</v>
      </c>
      <c r="C36" s="24">
        <f ca="1">ROUND(C29*F36,0)</f>
        <v>4396</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ROUND(C13*F37,0)</f>
        <v>303</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1282.8</v>
      </c>
      <c r="D38" s="1341" t="s">
        <v>1453</v>
      </c>
      <c r="E38" s="1339" t="s">
        <v>1449</v>
      </c>
      <c r="F38" s="1335">
        <f ca="1">INDIRECT("'数据-取费表'!Am"&amp;$G$1)</f>
        <v>0.02</v>
      </c>
      <c r="G38" s="1850"/>
      <c r="H38" s="1858"/>
      <c r="I38" s="1859"/>
      <c r="J38" s="1860"/>
      <c r="K38" s="1864"/>
      <c r="L38" s="1858"/>
      <c r="M38" s="1858"/>
    </row>
    <row r="39" spans="1:18" ht="24.6" customHeight="1" thickTop="1">
      <c r="A39" s="1328" t="s">
        <v>1027</v>
      </c>
      <c r="B39" s="1343" t="s">
        <v>1477</v>
      </c>
      <c r="C39" s="355">
        <f ca="1">C5-C30</f>
        <v>47350</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1191297</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48.49</v>
      </c>
      <c r="G41" s="1850"/>
      <c r="H41" s="732"/>
      <c r="I41" s="1859"/>
      <c r="J41" s="1860"/>
      <c r="K41" s="751"/>
      <c r="L41" s="732"/>
      <c r="M41" s="732"/>
    </row>
    <row r="42" spans="1:18" ht="18" customHeight="1">
      <c r="A42" s="353"/>
      <c r="B42" s="354"/>
      <c r="C42" s="355"/>
      <c r="D42" s="373"/>
      <c r="E42" s="347" t="s">
        <v>1471</v>
      </c>
      <c r="F42" s="357">
        <f ca="1">INDIRECT("'数据-取费表'!v"&amp;$G$1)</f>
        <v>0.02</v>
      </c>
      <c r="G42" s="1850"/>
      <c r="H42" s="732"/>
      <c r="I42" s="1859"/>
      <c r="J42" s="1860"/>
      <c r="K42" s="751"/>
      <c r="L42" s="732"/>
      <c r="M42" s="732"/>
    </row>
    <row r="43" spans="1:18" ht="18" customHeight="1" thickBot="1">
      <c r="A43" s="380" t="s">
        <v>1029</v>
      </c>
      <c r="B43" s="381" t="s">
        <v>1481</v>
      </c>
      <c r="C43" s="382">
        <f ca="1">ROUND(C40/F43,0)</f>
        <v>18328</v>
      </c>
      <c r="D43" s="383" t="s">
        <v>1482</v>
      </c>
      <c r="E43" s="384" t="s">
        <v>1483</v>
      </c>
      <c r="F43" s="385">
        <f ca="1">INDIRECT("'数据-取费表'!k"&amp;$G$1)</f>
        <v>65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-1930631</v>
      </c>
      <c r="D45" s="1938" t="s">
        <v>1598</v>
      </c>
      <c r="E45" s="1865"/>
      <c r="F45" s="1865"/>
      <c r="O45" s="1868" t="s">
        <v>1513</v>
      </c>
      <c r="P45" s="1838"/>
      <c r="Q45" s="1838"/>
      <c r="R45" s="1838"/>
    </row>
    <row r="46" spans="1:18" s="1841" customFormat="1" ht="13.8" thickBot="1">
      <c r="A46" s="1869" t="s">
        <v>1514</v>
      </c>
      <c r="C46" s="1870">
        <f ca="1">ROUND(C45/10000,0)</f>
        <v>-193</v>
      </c>
      <c r="D46" s="1871" t="str">
        <f>C2</f>
        <v>万元</v>
      </c>
      <c r="I46" s="1872" t="s">
        <v>1515</v>
      </c>
      <c r="J46" s="1873"/>
      <c r="K46" s="1874"/>
      <c r="L46" s="1875">
        <f>IF(M47="住宅",0,IF(L48&gt;J51,L60,J60))</f>
        <v>0</v>
      </c>
      <c r="O46" s="1876" t="s">
        <v>1516</v>
      </c>
      <c r="P46" s="1877" t="s">
        <v>1517</v>
      </c>
      <c r="Q46" s="1878" t="s">
        <v>1518</v>
      </c>
      <c r="R46" s="1878" t="s">
        <v>1519</v>
      </c>
    </row>
    <row r="47" spans="1:18" s="1841" customFormat="1" ht="13.8" thickBot="1">
      <c r="A47" s="1165" t="s">
        <v>1390</v>
      </c>
      <c r="B47" s="1197" t="s">
        <v>1391</v>
      </c>
      <c r="C47" s="1197" t="s">
        <v>1392</v>
      </c>
      <c r="D47" s="1197" t="s">
        <v>1393</v>
      </c>
      <c r="E47" s="1278" t="s">
        <v>1394</v>
      </c>
      <c r="F47" s="1279"/>
      <c r="G47" s="792"/>
      <c r="I47" s="1879" t="s">
        <v>1520</v>
      </c>
      <c r="J47" s="1880" t="s">
        <v>3082</v>
      </c>
      <c r="K47" s="1881" t="s">
        <v>1521</v>
      </c>
      <c r="L47" s="1882">
        <f ca="1">INDIRECT("'数据-取费表'!d"&amp;$G$1)</f>
        <v>70</v>
      </c>
      <c r="M47" s="1837" t="str">
        <f>IF(ISNUMBER(FIND("住宅",C1)),"住宅","非住宅")</f>
        <v>住宅</v>
      </c>
      <c r="O47" s="1883" t="s">
        <v>1036</v>
      </c>
      <c r="P47" s="1884" t="s">
        <v>1522</v>
      </c>
      <c r="Q47" s="1885">
        <f ca="1">C40+J29</f>
        <v>1191297</v>
      </c>
      <c r="R47" s="1885" t="s">
        <v>1523</v>
      </c>
    </row>
    <row r="48" spans="1:18" s="1841" customFormat="1" ht="40.200000000000003" thickBot="1">
      <c r="A48" s="1359" t="s">
        <v>1131</v>
      </c>
      <c r="B48" s="345" t="s">
        <v>1395</v>
      </c>
      <c r="C48" s="1816">
        <f ca="1">C49+C53+C55</f>
        <v>0</v>
      </c>
      <c r="D48" s="1361"/>
      <c r="E48" s="1362"/>
      <c r="F48" s="1181"/>
      <c r="G48" s="792"/>
      <c r="H48" s="793"/>
      <c r="I48" s="1886" t="s">
        <v>1524</v>
      </c>
      <c r="J48" s="1887" t="s">
        <v>3083</v>
      </c>
      <c r="K48" s="1888" t="s">
        <v>1525</v>
      </c>
      <c r="L48" s="1889">
        <f ca="1">INDIRECT("'数据-取费表'!f"&amp;$G$1)</f>
        <v>48.49</v>
      </c>
      <c r="O48" s="1883" t="s">
        <v>1037</v>
      </c>
      <c r="P48" s="1884" t="s">
        <v>1526</v>
      </c>
      <c r="Q48" s="1885" t="str">
        <f ca="1">J60</f>
        <v>0</v>
      </c>
      <c r="R48" s="1885" t="s">
        <v>1527</v>
      </c>
    </row>
    <row r="49" spans="1:18" s="1841" customFormat="1" ht="13.8" thickBot="1">
      <c r="A49" s="1194" t="s">
        <v>1132</v>
      </c>
      <c r="B49" s="1828" t="s">
        <v>1484</v>
      </c>
      <c r="C49" s="1363">
        <f ca="1">ROUND(F49*F51*F50*(1-F52),0)</f>
        <v>0</v>
      </c>
      <c r="D49" s="1275" t="s">
        <v>1398</v>
      </c>
      <c r="E49" s="1829" t="s">
        <v>1485</v>
      </c>
      <c r="F49" s="1280"/>
      <c r="G49" s="1890"/>
      <c r="H49" s="793"/>
      <c r="I49" s="1886" t="s">
        <v>1528</v>
      </c>
      <c r="J49" s="1891">
        <v>1996</v>
      </c>
      <c r="K49" s="1888" t="s">
        <v>1529</v>
      </c>
      <c r="L49" s="1892"/>
      <c r="O49" s="1893" t="s">
        <v>1038</v>
      </c>
      <c r="P49" s="1884" t="s">
        <v>1530</v>
      </c>
      <c r="Q49" s="1885">
        <f ca="1">C29</f>
        <v>293077</v>
      </c>
      <c r="R49" s="1885" t="s">
        <v>1523</v>
      </c>
    </row>
    <row r="50" spans="1:18" s="1841" customFormat="1" ht="13.8" thickBot="1">
      <c r="A50" s="1195"/>
      <c r="B50" s="1198"/>
      <c r="C50" s="1199"/>
      <c r="D50" s="1172"/>
      <c r="E50" s="1276" t="s">
        <v>1400</v>
      </c>
      <c r="F50" s="1277">
        <f ca="1">F7</f>
        <v>65</v>
      </c>
      <c r="H50" s="793"/>
      <c r="I50" s="1886" t="s">
        <v>1531</v>
      </c>
      <c r="J50" s="1894">
        <f>SUMPRODUCT((I63:I65=J47)*(J62:L62=J48)*(J63:L65))</f>
        <v>50</v>
      </c>
      <c r="K50" s="1888" t="s">
        <v>1532</v>
      </c>
      <c r="L50" s="1892"/>
      <c r="M50" s="1895"/>
      <c r="O50" s="1893" t="s">
        <v>1039</v>
      </c>
      <c r="P50" s="1884" t="s">
        <v>1533</v>
      </c>
      <c r="Q50" s="1896" t="e">
        <f ca="1">J58</f>
        <v>#VALUE!</v>
      </c>
      <c r="R50" s="1885"/>
    </row>
    <row r="51" spans="1:18" s="1841" customFormat="1" ht="13.8" thickBot="1">
      <c r="A51" s="1196"/>
      <c r="B51" s="1198"/>
      <c r="C51" s="1199"/>
      <c r="D51" s="1172"/>
      <c r="E51" s="1200" t="s">
        <v>1401</v>
      </c>
      <c r="F51" s="348">
        <f ca="1">F8</f>
        <v>365</v>
      </c>
      <c r="I51" s="1897" t="s">
        <v>1534</v>
      </c>
      <c r="J51" s="1898">
        <f>IF(J49="",J50,J49+J50-YEAR('数据-取费表'!B2))</f>
        <v>26</v>
      </c>
      <c r="K51" s="1899" t="s">
        <v>1535</v>
      </c>
      <c r="L51" s="1900">
        <f ca="1">ROUND(-PV(INDIRECT("'数据-取费表'!h"&amp;$G$1),L48,(C39-C13*C76),0),0)</f>
        <v>610754</v>
      </c>
      <c r="M51" s="1901"/>
      <c r="O51" s="1893" t="s">
        <v>1040</v>
      </c>
      <c r="P51" s="1884" t="s">
        <v>1536</v>
      </c>
      <c r="Q51" s="1896">
        <f>J52</f>
        <v>8.5000000000000006E-2</v>
      </c>
      <c r="R51" s="1885"/>
    </row>
    <row r="52" spans="1:18" s="1841" customFormat="1" ht="13.8" thickBot="1">
      <c r="A52" s="1196"/>
      <c r="B52" s="1198"/>
      <c r="C52" s="1199"/>
      <c r="D52" s="1172"/>
      <c r="E52" s="1200" t="s">
        <v>1402</v>
      </c>
      <c r="F52" s="1274"/>
      <c r="I52" s="1902" t="s">
        <v>1537</v>
      </c>
      <c r="J52" s="1903">
        <v>8.5000000000000006E-2</v>
      </c>
      <c r="K52" s="1902" t="s">
        <v>1538</v>
      </c>
      <c r="L52" s="1903"/>
      <c r="O52" s="1893" t="s">
        <v>1041</v>
      </c>
      <c r="P52" s="1884" t="s">
        <v>1539</v>
      </c>
      <c r="Q52" s="1885">
        <f ca="1">J53</f>
        <v>48.49</v>
      </c>
      <c r="R52" s="1885" t="s">
        <v>1540</v>
      </c>
    </row>
    <row r="53" spans="1:18" s="1841" customFormat="1" ht="30.75" customHeight="1" thickBot="1">
      <c r="A53" s="1360" t="s">
        <v>1133</v>
      </c>
      <c r="B53" s="369" t="s">
        <v>1403</v>
      </c>
      <c r="C53" s="361">
        <f ca="1">ROUND(IF(F53="押一",C49/12*F11,IF(F53="押二",C49/12*2*F11,IF(F53="押三",C49/12*3*F11,C54*F11))),0)</f>
        <v>0</v>
      </c>
      <c r="D53" s="1823" t="s">
        <v>3034</v>
      </c>
      <c r="E53" s="358" t="s">
        <v>1404</v>
      </c>
      <c r="F53" s="1365"/>
      <c r="I53" s="1904" t="s">
        <v>1541</v>
      </c>
      <c r="J53" s="2950">
        <f ca="1">IF(M47="住宅",IF(D1="——",MAX(J51,L48),MAX(J51,L48-'数据-取费表'!B24)),IF(D1="——",MIN(J51,L48),MIN(J51,L48-'数据-取费表'!B24)))</f>
        <v>48.49</v>
      </c>
      <c r="K53" s="3242" t="s">
        <v>1542</v>
      </c>
      <c r="L53" s="3243"/>
      <c r="O53" s="1883" t="s">
        <v>1042</v>
      </c>
      <c r="P53" s="1884" t="s">
        <v>1543</v>
      </c>
      <c r="Q53" s="1885">
        <f ca="1">Q47+Q48</f>
        <v>1191297</v>
      </c>
      <c r="R53" s="1885" t="s">
        <v>1043</v>
      </c>
    </row>
    <row r="54" spans="1:18" s="1841" customFormat="1" ht="13.8" thickBot="1">
      <c r="A54" s="1194"/>
      <c r="B54" s="1939" t="s">
        <v>1597</v>
      </c>
      <c r="C54" s="1178"/>
      <c r="D54" s="1823"/>
      <c r="E54" s="1831"/>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90"/>
      <c r="O54" s="1868" t="s">
        <v>1544</v>
      </c>
      <c r="P54" s="1838"/>
      <c r="Q54" s="1838"/>
      <c r="R54" s="1838"/>
    </row>
    <row r="55" spans="1:18" s="1841" customFormat="1" ht="13.8" thickBot="1">
      <c r="A55" s="1332" t="s">
        <v>1071</v>
      </c>
      <c r="B55" s="1826" t="s">
        <v>1407</v>
      </c>
      <c r="C55" s="1333"/>
      <c r="D55" s="1823"/>
      <c r="E55" s="1831"/>
      <c r="F55" s="1905"/>
      <c r="I55" s="1908" t="s">
        <v>1545</v>
      </c>
      <c r="J55" s="1909" t="e">
        <f ca="1">ROUND(IF(J47="钢混",J57/J50,1-(1-2%)*(J50-J57)/J50),3)</f>
        <v>#VALUE!</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202223</v>
      </c>
      <c r="D56" s="1912"/>
      <c r="E56" s="1913"/>
      <c r="F56" s="1905"/>
      <c r="I56" s="1914" t="s">
        <v>1548</v>
      </c>
      <c r="J56" s="1915" t="s">
        <v>3055</v>
      </c>
      <c r="K56" s="1886" t="s">
        <v>1549</v>
      </c>
      <c r="L56" s="1889">
        <f ca="1">IF(L48&lt;J51,"——",L48-J51)</f>
        <v>22.490000000000002</v>
      </c>
      <c r="O56" s="1883" t="s">
        <v>1036</v>
      </c>
      <c r="P56" s="1884" t="s">
        <v>1522</v>
      </c>
      <c r="Q56" s="1885">
        <f ca="1">C40+J29</f>
        <v>1191297</v>
      </c>
      <c r="R56" s="1885" t="s">
        <v>1523</v>
      </c>
    </row>
    <row r="57" spans="1:18" s="1841" customFormat="1" ht="24.6" thickBot="1">
      <c r="A57" s="1916"/>
      <c r="B57" s="1169" t="s">
        <v>1472</v>
      </c>
      <c r="C57" s="282">
        <f ca="1">C29</f>
        <v>293077</v>
      </c>
      <c r="D57" s="1917"/>
      <c r="E57" s="1918"/>
      <c r="F57" s="1919"/>
      <c r="I57" s="1920" t="s">
        <v>1550</v>
      </c>
      <c r="J57" s="1921" t="str">
        <f ca="1">IF(OR(M47="住宅",J51&lt;L48,J56="是"),"——",J51-L48)</f>
        <v>——</v>
      </c>
      <c r="K57" s="1886" t="s">
        <v>1599</v>
      </c>
      <c r="L57" s="1889">
        <f ca="1">IF(L48&lt;J51,"——",IF(L55="比较法",L49,IF(L55="基准地价",L50,L51)))</f>
        <v>610754</v>
      </c>
      <c r="O57" s="1883" t="s">
        <v>1037</v>
      </c>
      <c r="P57" s="1884" t="s">
        <v>1600</v>
      </c>
      <c r="Q57" s="1885">
        <f ca="1">L60</f>
        <v>0</v>
      </c>
      <c r="R57" s="1885" t="s">
        <v>1601</v>
      </c>
    </row>
    <row r="58" spans="1:18" s="1841" customFormat="1" ht="24.6" thickBot="1">
      <c r="A58" s="360" t="s">
        <v>1026</v>
      </c>
      <c r="B58" s="1177" t="s">
        <v>1418</v>
      </c>
      <c r="C58" s="361">
        <f ca="1">ROUND(C59+C64+C65+C66,0)</f>
        <v>29386</v>
      </c>
      <c r="D58" s="1179" t="s">
        <v>1419</v>
      </c>
      <c r="E58" s="1180"/>
      <c r="F58" s="1181"/>
      <c r="I58" s="1920" t="s">
        <v>1554</v>
      </c>
      <c r="J58" s="1922" t="e">
        <f ca="1">IF(J55&lt;0.4,0.4,J55)</f>
        <v>#VALUE!</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6" thickBot="1">
      <c r="A59" s="1201" t="s">
        <v>1031</v>
      </c>
      <c r="B59" s="1169" t="s">
        <v>1423</v>
      </c>
      <c r="C59" s="24">
        <f ca="1">ROUND(IF(项目基本情况!B11="自然人",C48*F59,C60+C61+C62),0)</f>
        <v>24687</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2" thickBot="1">
      <c r="A60" s="1201" t="s">
        <v>1030</v>
      </c>
      <c r="B60" s="1169" t="s">
        <v>1427</v>
      </c>
      <c r="C60" s="24">
        <f ca="1">IF(项目基本情况!B11="自然人","——",ROUND(C48*F60/(1+'数据-取费表'!C42),0))</f>
        <v>0</v>
      </c>
      <c r="D60" s="1183" t="s">
        <v>1428</v>
      </c>
      <c r="E60" s="1169"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8" thickBot="1">
      <c r="A61" s="1201" t="s">
        <v>1486</v>
      </c>
      <c r="B61" s="1169" t="s">
        <v>1487</v>
      </c>
      <c r="C61" s="24">
        <f ca="1">IF(项目基本情况!B11="自然人","——",IF(D61="按租金收入计税",ROUND(C48*F61,0),IF(D61="按房产原值计税",ROUND(C57*F61*0.7,0),INDIRECT("'数据-取费表'!Aj"&amp;$G$1))))</f>
        <v>24618</v>
      </c>
      <c r="D61" s="1827" t="s">
        <v>1432</v>
      </c>
      <c r="E61" s="1169"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8" thickBot="1">
      <c r="A62" s="1201" t="s">
        <v>1489</v>
      </c>
      <c r="B62" s="1168" t="s">
        <v>1490</v>
      </c>
      <c r="C62" s="25">
        <f ca="1">IF(项目基本情况!B11="自然人","——",ROUND(F62*F63,0))</f>
        <v>69</v>
      </c>
      <c r="D62" s="1184" t="s">
        <v>1491</v>
      </c>
      <c r="E62" s="1169" t="s">
        <v>1492</v>
      </c>
      <c r="F62" s="371">
        <f t="shared" si="0"/>
        <v>3</v>
      </c>
      <c r="I62" s="1927" t="s">
        <v>1564</v>
      </c>
      <c r="J62" s="1928" t="s">
        <v>1565</v>
      </c>
      <c r="K62" s="1928" t="s">
        <v>1566</v>
      </c>
      <c r="L62" s="1928" t="s">
        <v>1567</v>
      </c>
      <c r="M62" s="1929" t="s">
        <v>1568</v>
      </c>
      <c r="O62" s="1883" t="s">
        <v>1042</v>
      </c>
      <c r="P62" s="1884" t="s">
        <v>1569</v>
      </c>
      <c r="Q62" s="1885">
        <f ca="1">Q56+Q57</f>
        <v>1191297</v>
      </c>
      <c r="R62" s="1885" t="s">
        <v>1043</v>
      </c>
    </row>
    <row r="63" spans="1:18" s="1841" customFormat="1" ht="13.8" thickBot="1">
      <c r="A63" s="372"/>
      <c r="B63" s="1175"/>
      <c r="C63" s="29"/>
      <c r="D63" s="1185"/>
      <c r="E63" s="1169" t="s">
        <v>1493</v>
      </c>
      <c r="F63" s="348">
        <f t="shared" ca="1" si="0"/>
        <v>23.15</v>
      </c>
      <c r="I63" s="1927" t="s">
        <v>1570</v>
      </c>
      <c r="J63" s="1928">
        <v>70</v>
      </c>
      <c r="K63" s="1928">
        <v>50</v>
      </c>
      <c r="L63" s="1928">
        <v>80</v>
      </c>
      <c r="M63" s="1930">
        <v>0.02</v>
      </c>
      <c r="O63" s="1868" t="s">
        <v>1571</v>
      </c>
      <c r="P63" s="1838"/>
      <c r="Q63" s="1838"/>
      <c r="R63" s="1838"/>
    </row>
    <row r="64" spans="1:18" s="1841" customFormat="1" ht="13.8" thickBot="1">
      <c r="A64" s="1201" t="s">
        <v>1494</v>
      </c>
      <c r="B64" s="1169" t="s">
        <v>1495</v>
      </c>
      <c r="C64" s="24">
        <f ca="1">ROUND(C57*F64,0)</f>
        <v>4396</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8" thickBot="1">
      <c r="A65" s="1201" t="s">
        <v>1497</v>
      </c>
      <c r="B65" s="1169" t="s">
        <v>1447</v>
      </c>
      <c r="C65" s="24">
        <f ca="1">ROUND(C56*F65,0)</f>
        <v>303</v>
      </c>
      <c r="D65" s="1183" t="s">
        <v>1448</v>
      </c>
      <c r="E65" s="1169" t="s">
        <v>1449</v>
      </c>
      <c r="F65" s="376">
        <f t="shared" ca="1" si="0"/>
        <v>1.5E-3</v>
      </c>
      <c r="I65" s="1927" t="s">
        <v>1573</v>
      </c>
      <c r="J65" s="1928">
        <v>40</v>
      </c>
      <c r="K65" s="1928">
        <v>30</v>
      </c>
      <c r="L65" s="1928">
        <v>50</v>
      </c>
      <c r="M65" s="1930">
        <v>0.02</v>
      </c>
      <c r="O65" s="1883" t="s">
        <v>1036</v>
      </c>
      <c r="P65" s="1884" t="s">
        <v>1574</v>
      </c>
      <c r="Q65" s="1885">
        <f ca="1">C40+J29</f>
        <v>1191297</v>
      </c>
      <c r="R65" s="1885" t="s">
        <v>1523</v>
      </c>
    </row>
    <row r="66" spans="1:18" s="1841" customFormat="1" ht="16.2" thickBot="1">
      <c r="A66" s="1201" t="s">
        <v>1498</v>
      </c>
      <c r="B66" s="1169" t="s">
        <v>1433</v>
      </c>
      <c r="C66" s="24">
        <f ca="1">ROUND(C48*F66,0)</f>
        <v>0</v>
      </c>
      <c r="D66" s="1183" t="s">
        <v>1499</v>
      </c>
      <c r="E66" s="1169" t="s">
        <v>1416</v>
      </c>
      <c r="F66" s="357">
        <f t="shared" ca="1" si="0"/>
        <v>0.02</v>
      </c>
      <c r="O66" s="1883" t="s">
        <v>1037</v>
      </c>
      <c r="P66" s="1884" t="s">
        <v>1552</v>
      </c>
      <c r="Q66" s="1885">
        <f ca="1">L60</f>
        <v>0</v>
      </c>
      <c r="R66" s="1885" t="s">
        <v>1575</v>
      </c>
    </row>
    <row r="67" spans="1:18" s="1841" customFormat="1" ht="24.6" thickBot="1">
      <c r="A67" s="1176" t="s">
        <v>1027</v>
      </c>
      <c r="B67" s="1186" t="s">
        <v>1457</v>
      </c>
      <c r="C67" s="361">
        <f ca="1">C48-C58</f>
        <v>-29386</v>
      </c>
      <c r="D67" s="1182" t="s">
        <v>1458</v>
      </c>
      <c r="E67" s="1187"/>
      <c r="F67" s="1188"/>
      <c r="O67" s="1893" t="s">
        <v>1038</v>
      </c>
      <c r="P67" s="1884" t="s">
        <v>1556</v>
      </c>
      <c r="Q67" s="1931">
        <f ca="1">L51</f>
        <v>610754</v>
      </c>
      <c r="R67" s="1885" t="s">
        <v>1576</v>
      </c>
    </row>
    <row r="68" spans="1:18" s="1841" customFormat="1" ht="16.2" thickBot="1">
      <c r="A68" s="1166" t="s">
        <v>1028</v>
      </c>
      <c r="B68" s="1167" t="s">
        <v>1479</v>
      </c>
      <c r="C68" s="346">
        <f ca="1">ROUND(C67*(1-((1+F70)/(1+F68))^F69)/(F68-F70),0)</f>
        <v>-739334</v>
      </c>
      <c r="D68" s="1184" t="s">
        <v>1463</v>
      </c>
      <c r="E68" s="1169" t="s">
        <v>1464</v>
      </c>
      <c r="F68" s="357">
        <f ca="1">F40</f>
        <v>0.05</v>
      </c>
      <c r="O68" s="1893" t="s">
        <v>1039</v>
      </c>
      <c r="P68" s="1932" t="s">
        <v>1577</v>
      </c>
      <c r="Q68" s="1885">
        <f ca="1">ROUND(Q69-Q70*Q71,0)</f>
        <v>31172</v>
      </c>
      <c r="R68" s="1885" t="s">
        <v>1047</v>
      </c>
    </row>
    <row r="69" spans="1:18" s="1841" customFormat="1" ht="13.8" thickBot="1">
      <c r="A69" s="1170"/>
      <c r="B69" s="1171"/>
      <c r="C69" s="351"/>
      <c r="D69" s="1189" t="s">
        <v>1467</v>
      </c>
      <c r="E69" s="1169" t="s">
        <v>1468</v>
      </c>
      <c r="F69" s="379">
        <f ca="1">F41</f>
        <v>48.49</v>
      </c>
      <c r="O69" s="1893" t="s">
        <v>1044</v>
      </c>
      <c r="P69" s="1932" t="s">
        <v>1578</v>
      </c>
      <c r="Q69" s="1885">
        <f ca="1">C39</f>
        <v>47350</v>
      </c>
      <c r="R69" s="1885" t="s">
        <v>1523</v>
      </c>
    </row>
    <row r="70" spans="1:18" s="1841" customFormat="1" ht="13.8" thickBot="1">
      <c r="A70" s="1173"/>
      <c r="B70" s="1174"/>
      <c r="C70" s="355"/>
      <c r="D70" s="1185"/>
      <c r="E70" s="1169" t="s">
        <v>1471</v>
      </c>
      <c r="F70" s="1274">
        <f ca="1">F42</f>
        <v>0.02</v>
      </c>
      <c r="O70" s="1893" t="s">
        <v>1045</v>
      </c>
      <c r="P70" s="1932" t="s">
        <v>1579</v>
      </c>
      <c r="Q70" s="1885">
        <f ca="1">C13</f>
        <v>202223</v>
      </c>
      <c r="R70" s="1885" t="s">
        <v>1523</v>
      </c>
    </row>
    <row r="71" spans="1:18" s="1841" customFormat="1" ht="13.8" thickBot="1">
      <c r="A71" s="1190" t="s">
        <v>1029</v>
      </c>
      <c r="B71" s="1191" t="s">
        <v>1481</v>
      </c>
      <c r="C71" s="382">
        <f ca="1">ROUND(C68/F71,0)</f>
        <v>-11374</v>
      </c>
      <c r="D71" s="1192" t="s">
        <v>1482</v>
      </c>
      <c r="E71" s="1193" t="s">
        <v>1483</v>
      </c>
      <c r="F71" s="385">
        <f ca="1">F43</f>
        <v>65</v>
      </c>
      <c r="O71" s="1893" t="s">
        <v>1046</v>
      </c>
      <c r="P71" s="1932" t="s">
        <v>1580</v>
      </c>
      <c r="Q71" s="1896">
        <f ca="1">C76</f>
        <v>0.08</v>
      </c>
      <c r="R71" s="1885"/>
    </row>
    <row r="72" spans="1:18" s="1841" customFormat="1" ht="13.8" thickBot="1">
      <c r="B72" s="796"/>
      <c r="C72" s="796"/>
      <c r="O72" s="1893" t="s">
        <v>1040</v>
      </c>
      <c r="P72" s="1884" t="s">
        <v>1558</v>
      </c>
      <c r="Q72" s="1896">
        <f>L52</f>
        <v>0</v>
      </c>
      <c r="R72" s="1885"/>
    </row>
    <row r="73" spans="1:18" ht="16.2" thickBot="1">
      <c r="A73" s="1841"/>
      <c r="B73" s="796"/>
      <c r="C73" s="796"/>
      <c r="D73" s="1841"/>
      <c r="E73" s="1841"/>
      <c r="F73" s="1841"/>
      <c r="O73" s="1893" t="s">
        <v>1041</v>
      </c>
      <c r="P73" s="1884" t="s">
        <v>1561</v>
      </c>
      <c r="Q73" s="1885" t="e">
        <f ca="1">L58</f>
        <v>#DIV/0!</v>
      </c>
      <c r="R73" s="1885" t="s">
        <v>1562</v>
      </c>
    </row>
    <row r="74" spans="1:18" ht="13.8"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8" thickBot="1">
      <c r="A75" s="1841"/>
      <c r="B75" s="386" t="s">
        <v>1500</v>
      </c>
      <c r="C75" s="387">
        <f ca="1">ROUND(C13*C76,0)</f>
        <v>16178</v>
      </c>
      <c r="D75" s="1841"/>
      <c r="E75" s="1841"/>
      <c r="F75" s="1841"/>
      <c r="K75" s="1867"/>
      <c r="L75" s="1841"/>
      <c r="O75" s="1883" t="s">
        <v>1042</v>
      </c>
      <c r="P75" s="1884" t="s">
        <v>1543</v>
      </c>
      <c r="Q75" s="1885">
        <f ca="1">Q65+Q66</f>
        <v>1191297</v>
      </c>
      <c r="R75" s="1885" t="s">
        <v>1043</v>
      </c>
    </row>
    <row r="76" spans="1:18">
      <c r="B76" s="388" t="s">
        <v>1501</v>
      </c>
      <c r="C76" s="389">
        <f ca="1">INDIRECT("'数据-取费表'!j"&amp;$G$1)</f>
        <v>0.08</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0.65799999999999992</v>
      </c>
    </row>
    <row r="80" spans="1:18">
      <c r="B80" s="386" t="s">
        <v>1505</v>
      </c>
      <c r="C80" s="318">
        <f ca="1">ROUND(C75/C39,3)</f>
        <v>0.34200000000000003</v>
      </c>
    </row>
    <row r="81" spans="2:3">
      <c r="B81" s="314" t="s">
        <v>1506</v>
      </c>
      <c r="C81" s="282"/>
    </row>
    <row r="82" spans="2:3">
      <c r="B82" s="317" t="s">
        <v>1507</v>
      </c>
      <c r="C82" s="319">
        <f ca="1">1-C83</f>
        <v>0.83</v>
      </c>
    </row>
    <row r="83" spans="2:3">
      <c r="B83" s="317" t="s">
        <v>1508</v>
      </c>
      <c r="C83" s="318">
        <f ca="1">ROUND(C13/C40,3)</f>
        <v>0.17</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62" t="s">
        <v>2521</v>
      </c>
      <c r="B1" s="2563"/>
      <c r="C1" s="2563"/>
      <c r="D1" s="2563"/>
      <c r="E1" s="2564"/>
    </row>
    <row r="2" spans="1:6" ht="15.6">
      <c r="A2" s="2565" t="s">
        <v>2322</v>
      </c>
      <c r="B2" s="2566">
        <f ca="1">SUMIF(B6:B13,"&lt;&gt;#ref!",B6:B13)</f>
        <v>101</v>
      </c>
      <c r="C2" s="2567" t="s">
        <v>2514</v>
      </c>
      <c r="D2" s="2568" t="s">
        <v>2515</v>
      </c>
      <c r="E2" s="2569">
        <f>SUM(E6:E13)</f>
        <v>65</v>
      </c>
    </row>
    <row r="3" spans="1:6" ht="15.6">
      <c r="A3" s="2565" t="s">
        <v>1389</v>
      </c>
      <c r="B3" s="2566">
        <f ca="1">ROUND(B2*10000/E2,0)</f>
        <v>15538</v>
      </c>
      <c r="C3" s="2567" t="s">
        <v>2522</v>
      </c>
      <c r="D3" s="2570"/>
      <c r="E3" s="2571"/>
    </row>
    <row r="4" spans="1:6" ht="15.6">
      <c r="A4" s="2572"/>
      <c r="B4" s="2570"/>
      <c r="C4" s="2570"/>
      <c r="D4" s="2570"/>
      <c r="E4" s="2571"/>
    </row>
    <row r="5" spans="1:6" ht="14.4">
      <c r="A5" s="2573" t="s">
        <v>2516</v>
      </c>
      <c r="B5" s="3247" t="s">
        <v>2517</v>
      </c>
      <c r="C5" s="3247"/>
      <c r="D5" s="2574"/>
      <c r="E5" s="2575" t="s">
        <v>2518</v>
      </c>
      <c r="F5" s="2576" t="s">
        <v>2519</v>
      </c>
    </row>
    <row r="6" spans="1:6" ht="14.4">
      <c r="A6" s="2577" t="str">
        <f>'数据-取费表'!AN6</f>
        <v>收益法</v>
      </c>
      <c r="B6" s="2576">
        <f ca="1">IF(F6="是",'数据-取费表'!AO6,0)</f>
        <v>101</v>
      </c>
      <c r="C6" s="2567" t="s">
        <v>2514</v>
      </c>
      <c r="D6" s="2570"/>
      <c r="E6" s="2578">
        <f>IF(OR(A6=0,F6="否"),0,'数据-取费表'!K6+'数据-取费表'!S6)</f>
        <v>65</v>
      </c>
      <c r="F6" s="2579" t="s">
        <v>2520</v>
      </c>
    </row>
    <row r="7" spans="1:6" ht="14.4">
      <c r="A7" s="2577">
        <f>'数据-取费表'!AN7</f>
        <v>0</v>
      </c>
      <c r="B7" s="2576" t="e">
        <f ca="1">IF(F7="是",'数据-取费表'!AO7,0)</f>
        <v>#REF!</v>
      </c>
      <c r="C7" s="2567" t="s">
        <v>2514</v>
      </c>
      <c r="D7" s="2570"/>
      <c r="E7" s="2578">
        <f>IF(OR(A7=0,F7="否"),0,'数据-取费表'!K7+'数据-取费表'!S7)</f>
        <v>0</v>
      </c>
      <c r="F7" s="2579" t="s">
        <v>2520</v>
      </c>
    </row>
    <row r="8" spans="1:6" ht="14.4">
      <c r="A8" s="2577">
        <f>'数据-取费表'!AN8</f>
        <v>0</v>
      </c>
      <c r="B8" s="2576" t="e">
        <f ca="1">IF(F8="是",'数据-取费表'!AO8,0)</f>
        <v>#REF!</v>
      </c>
      <c r="C8" s="2567" t="s">
        <v>2514</v>
      </c>
      <c r="D8" s="2570"/>
      <c r="E8" s="2578">
        <f>IF(OR(A8=0,F8="否"),0,'数据-取费表'!K8+'数据-取费表'!S8)</f>
        <v>0</v>
      </c>
      <c r="F8" s="2579" t="s">
        <v>2520</v>
      </c>
    </row>
    <row r="9" spans="1:6" ht="14.4">
      <c r="A9" s="2577">
        <f>'数据-取费表'!AN9</f>
        <v>0</v>
      </c>
      <c r="B9" s="2576" t="e">
        <f ca="1">IF(F9="是",'数据-取费表'!AO9,0)</f>
        <v>#REF!</v>
      </c>
      <c r="C9" s="2567" t="s">
        <v>2514</v>
      </c>
      <c r="D9" s="2570"/>
      <c r="E9" s="2578">
        <f>IF(OR(A9=0,F9="否"),0,'数据-取费表'!K9+'数据-取费表'!S9)</f>
        <v>0</v>
      </c>
      <c r="F9" s="2579" t="s">
        <v>2520</v>
      </c>
    </row>
    <row r="10" spans="1:6" ht="14.4">
      <c r="A10" s="2577">
        <f>'数据-取费表'!AN10</f>
        <v>0</v>
      </c>
      <c r="B10" s="2576" t="e">
        <f ca="1">IF(F10="是",'数据-取费表'!AO10,0)</f>
        <v>#REF!</v>
      </c>
      <c r="C10" s="2567" t="s">
        <v>2514</v>
      </c>
      <c r="D10" s="2570"/>
      <c r="E10" s="2578">
        <f>IF(OR(A10=0,F10="否"),0,'数据-取费表'!K10+'数据-取费表'!S10)</f>
        <v>0</v>
      </c>
      <c r="F10" s="2579" t="s">
        <v>2520</v>
      </c>
    </row>
    <row r="11" spans="1:6" ht="14.4">
      <c r="A11" s="2577">
        <f>'数据-取费表'!AN11</f>
        <v>0</v>
      </c>
      <c r="B11" s="2576" t="e">
        <f ca="1">IF(F11="是",'数据-取费表'!AO11,0)</f>
        <v>#REF!</v>
      </c>
      <c r="C11" s="2567" t="s">
        <v>2514</v>
      </c>
      <c r="D11" s="2570"/>
      <c r="E11" s="2578">
        <f>IF(OR(A11=0,F11="否"),0,'数据-取费表'!K11+'数据-取费表'!S11)</f>
        <v>0</v>
      </c>
      <c r="F11" s="2579" t="s">
        <v>2520</v>
      </c>
    </row>
    <row r="12" spans="1:6" ht="14.4">
      <c r="A12" s="2577">
        <f>'数据-取费表'!AN12</f>
        <v>0</v>
      </c>
      <c r="B12" s="2576" t="e">
        <f ca="1">IF(F12="是",'数据-取费表'!AO12,0)</f>
        <v>#REF!</v>
      </c>
      <c r="C12" s="2567" t="s">
        <v>2514</v>
      </c>
      <c r="D12" s="2570"/>
      <c r="E12" s="2578">
        <f>IF(OR(A12=0,F12="否"),0,'数据-取费表'!K12+'数据-取费表'!S12)</f>
        <v>0</v>
      </c>
      <c r="F12" s="2579" t="s">
        <v>2520</v>
      </c>
    </row>
    <row r="13" spans="1:6" ht="15" thickBot="1">
      <c r="A13" s="2580">
        <f>'数据-取费表'!AN13</f>
        <v>0</v>
      </c>
      <c r="B13" s="2576" t="e">
        <f ca="1">IF(F13="是",'数据-取费表'!AO13,0)</f>
        <v>#REF!</v>
      </c>
      <c r="C13" s="2581" t="s">
        <v>2514</v>
      </c>
      <c r="D13" s="2582"/>
      <c r="E13" s="2578">
        <f>IF(OR(A13=0,F13="否"),0,'数据-取费表'!K13+'数据-取费表'!S13)</f>
        <v>0</v>
      </c>
      <c r="F13" s="2579" t="s">
        <v>2520</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48" t="s">
        <v>1072</v>
      </c>
      <c r="B1" s="3249"/>
      <c r="C1" s="3250"/>
      <c r="D1" s="3251">
        <f>SUM(I10,I15,I20,I21,I23)</f>
        <v>0</v>
      </c>
      <c r="E1" s="3251"/>
      <c r="F1" s="3251"/>
      <c r="G1" s="3251"/>
      <c r="H1" s="3251"/>
      <c r="I1" s="3252"/>
    </row>
    <row r="2" spans="1:9">
      <c r="A2" s="3253" t="s">
        <v>1073</v>
      </c>
      <c r="B2" s="3254" t="s">
        <v>1074</v>
      </c>
      <c r="C2" s="3254"/>
      <c r="D2" s="1300" t="s">
        <v>1075</v>
      </c>
      <c r="E2" s="1300" t="s">
        <v>1076</v>
      </c>
      <c r="F2" s="1300" t="s">
        <v>1077</v>
      </c>
      <c r="G2" s="1300" t="s">
        <v>1078</v>
      </c>
      <c r="H2" s="1300" t="s">
        <v>1079</v>
      </c>
      <c r="I2" s="1301" t="s">
        <v>1080</v>
      </c>
    </row>
    <row r="3" spans="1:9">
      <c r="A3" s="3253"/>
      <c r="B3" s="3254" t="s">
        <v>1081</v>
      </c>
      <c r="C3" s="3254"/>
      <c r="D3" s="1302"/>
      <c r="E3" s="1300"/>
      <c r="F3" s="1303"/>
      <c r="G3" s="1303"/>
      <c r="H3" s="1304"/>
      <c r="I3" s="1305">
        <f>ROUND(D3*E3*F3*G3*H3/10000,0)</f>
        <v>0</v>
      </c>
    </row>
    <row r="4" spans="1:9">
      <c r="A4" s="3253"/>
      <c r="B4" s="3254" t="s">
        <v>1082</v>
      </c>
      <c r="C4" s="3254"/>
      <c r="D4" s="1302"/>
      <c r="E4" s="1300"/>
      <c r="F4" s="1303"/>
      <c r="G4" s="1303"/>
      <c r="H4" s="1304"/>
      <c r="I4" s="1305">
        <f t="shared" ref="I4:I9" si="0">ROUND(D4*E4*F4*G4*H4/10000,0)</f>
        <v>0</v>
      </c>
    </row>
    <row r="5" spans="1:9">
      <c r="A5" s="3253"/>
      <c r="B5" s="3254" t="s">
        <v>1083</v>
      </c>
      <c r="C5" s="3254"/>
      <c r="D5" s="1302"/>
      <c r="E5" s="1300"/>
      <c r="F5" s="1303"/>
      <c r="G5" s="1303"/>
      <c r="H5" s="1304"/>
      <c r="I5" s="1305">
        <f t="shared" si="0"/>
        <v>0</v>
      </c>
    </row>
    <row r="6" spans="1:9">
      <c r="A6" s="3253"/>
      <c r="B6" s="3254" t="s">
        <v>1084</v>
      </c>
      <c r="C6" s="3254"/>
      <c r="D6" s="1302"/>
      <c r="E6" s="1300"/>
      <c r="F6" s="1303"/>
      <c r="G6" s="1303"/>
      <c r="H6" s="1304"/>
      <c r="I6" s="1305">
        <f t="shared" si="0"/>
        <v>0</v>
      </c>
    </row>
    <row r="7" spans="1:9">
      <c r="A7" s="3253"/>
      <c r="B7" s="3254" t="s">
        <v>1085</v>
      </c>
      <c r="C7" s="3254"/>
      <c r="D7" s="1302"/>
      <c r="E7" s="1300"/>
      <c r="F7" s="1303"/>
      <c r="G7" s="1303"/>
      <c r="H7" s="1304"/>
      <c r="I7" s="1305">
        <f t="shared" si="0"/>
        <v>0</v>
      </c>
    </row>
    <row r="8" spans="1:9">
      <c r="A8" s="3253"/>
      <c r="B8" s="3254" t="s">
        <v>1086</v>
      </c>
      <c r="C8" s="3254"/>
      <c r="D8" s="1302"/>
      <c r="E8" s="1300"/>
      <c r="F8" s="1303"/>
      <c r="G8" s="1303"/>
      <c r="H8" s="1304"/>
      <c r="I8" s="1305">
        <f t="shared" si="0"/>
        <v>0</v>
      </c>
    </row>
    <row r="9" spans="1:9">
      <c r="A9" s="3253"/>
      <c r="B9" s="3254" t="s">
        <v>1087</v>
      </c>
      <c r="C9" s="3254"/>
      <c r="D9" s="1302"/>
      <c r="E9" s="1300"/>
      <c r="F9" s="1303"/>
      <c r="G9" s="1303"/>
      <c r="H9" s="1304"/>
      <c r="I9" s="1305">
        <f t="shared" si="0"/>
        <v>0</v>
      </c>
    </row>
    <row r="10" spans="1:9">
      <c r="A10" s="3253"/>
      <c r="B10" s="3255" t="s">
        <v>1088</v>
      </c>
      <c r="C10" s="3255"/>
      <c r="D10" s="1306"/>
      <c r="E10" s="1306" t="e">
        <f>ROUND(D1*10000/D10/H9,0)</f>
        <v>#DIV/0!</v>
      </c>
      <c r="F10" s="1307"/>
      <c r="G10" s="1307"/>
      <c r="H10" s="1308"/>
      <c r="I10" s="1309">
        <f>SUM(I3:I9)</f>
        <v>0</v>
      </c>
    </row>
    <row r="11" spans="1:9" ht="15.6">
      <c r="A11" s="3253" t="s">
        <v>1089</v>
      </c>
      <c r="B11" s="3254" t="s">
        <v>1090</v>
      </c>
      <c r="C11" s="3254"/>
      <c r="D11" s="1302" t="s">
        <v>1091</v>
      </c>
      <c r="E11" s="1302" t="s">
        <v>1092</v>
      </c>
      <c r="F11" s="1303" t="s">
        <v>1093</v>
      </c>
      <c r="G11" s="1303" t="s">
        <v>1079</v>
      </c>
      <c r="H11" s="1310" t="s">
        <v>1094</v>
      </c>
      <c r="I11" s="1301" t="s">
        <v>1080</v>
      </c>
    </row>
    <row r="12" spans="1:9">
      <c r="A12" s="3253"/>
      <c r="B12" s="3254" t="s">
        <v>1095</v>
      </c>
      <c r="C12" s="3254"/>
      <c r="D12" s="1302"/>
      <c r="E12" s="1302"/>
      <c r="F12" s="1303"/>
      <c r="G12" s="1304"/>
      <c r="H12" s="1311"/>
      <c r="I12" s="1301">
        <f>ROUND(D12*E12*F12*G12/10000,0)</f>
        <v>0</v>
      </c>
    </row>
    <row r="13" spans="1:9">
      <c r="A13" s="3253"/>
      <c r="B13" s="3254" t="s">
        <v>1096</v>
      </c>
      <c r="C13" s="3254"/>
      <c r="D13" s="1302"/>
      <c r="E13" s="1302"/>
      <c r="F13" s="1303"/>
      <c r="G13" s="1304"/>
      <c r="H13" s="1311"/>
      <c r="I13" s="1301">
        <f>ROUND(D13*E13*F13*G13/10000,0)</f>
        <v>0</v>
      </c>
    </row>
    <row r="14" spans="1:9">
      <c r="A14" s="3253"/>
      <c r="B14" s="3254" t="s">
        <v>1097</v>
      </c>
      <c r="C14" s="3254"/>
      <c r="D14" s="1302"/>
      <c r="E14" s="1302"/>
      <c r="F14" s="1303"/>
      <c r="G14" s="1304"/>
      <c r="H14" s="1311"/>
      <c r="I14" s="1301">
        <f>ROUND(D14*E14*F14*G14/10000,0)</f>
        <v>0</v>
      </c>
    </row>
    <row r="15" spans="1:9">
      <c r="A15" s="3253"/>
      <c r="B15" s="3255" t="s">
        <v>1088</v>
      </c>
      <c r="C15" s="3255"/>
      <c r="D15" s="1306"/>
      <c r="E15" s="1306">
        <f>SUM(E12:E14)</f>
        <v>0</v>
      </c>
      <c r="F15" s="1307"/>
      <c r="G15" s="1304"/>
      <c r="H15" s="1311"/>
      <c r="I15" s="1312">
        <f>SUM(I12:I14)</f>
        <v>0</v>
      </c>
    </row>
    <row r="16" spans="1:9" ht="24">
      <c r="A16" s="3253" t="s">
        <v>1098</v>
      </c>
      <c r="B16" s="3254" t="s">
        <v>1099</v>
      </c>
      <c r="C16" s="3254"/>
      <c r="D16" s="1302" t="s">
        <v>1075</v>
      </c>
      <c r="E16" s="1313" t="s">
        <v>1100</v>
      </c>
      <c r="F16" s="1303" t="s">
        <v>1101</v>
      </c>
      <c r="G16" s="1304" t="s">
        <v>1079</v>
      </c>
      <c r="H16" s="1310" t="s">
        <v>1094</v>
      </c>
      <c r="I16" s="1301" t="s">
        <v>1080</v>
      </c>
    </row>
    <row r="17" spans="1:9" ht="15.6">
      <c r="A17" s="3253"/>
      <c r="B17" s="3254" t="s">
        <v>1102</v>
      </c>
      <c r="C17" s="3254"/>
      <c r="D17" s="1302"/>
      <c r="E17" s="1302"/>
      <c r="F17" s="1303"/>
      <c r="G17" s="1304"/>
      <c r="H17" s="1314"/>
      <c r="I17" s="1315">
        <f>ROUND(D17*E17*F17*G17/10000,0)</f>
        <v>0</v>
      </c>
    </row>
    <row r="18" spans="1:9" ht="15.6">
      <c r="A18" s="3253"/>
      <c r="B18" s="3254" t="s">
        <v>1103</v>
      </c>
      <c r="C18" s="3254"/>
      <c r="D18" s="1302"/>
      <c r="E18" s="1302"/>
      <c r="F18" s="1303"/>
      <c r="G18" s="1304"/>
      <c r="H18" s="1314"/>
      <c r="I18" s="1315">
        <f>ROUND(D18*E18*F18*G18/10000,0)</f>
        <v>0</v>
      </c>
    </row>
    <row r="19" spans="1:9" ht="15.6">
      <c r="A19" s="3253"/>
      <c r="B19" s="3254" t="s">
        <v>1104</v>
      </c>
      <c r="C19" s="3254"/>
      <c r="D19" s="1302"/>
      <c r="E19" s="1302"/>
      <c r="F19" s="1303"/>
      <c r="G19" s="1304"/>
      <c r="H19" s="1314"/>
      <c r="I19" s="1315">
        <f>ROUND(D19*E19*F19*G19/10000,0)</f>
        <v>0</v>
      </c>
    </row>
    <row r="20" spans="1:9">
      <c r="A20" s="3253"/>
      <c r="B20" s="3255" t="s">
        <v>1088</v>
      </c>
      <c r="C20" s="3255"/>
      <c r="D20" s="1306">
        <f>SUM(D17:D19)</f>
        <v>0</v>
      </c>
      <c r="E20" s="1306"/>
      <c r="F20" s="1307"/>
      <c r="G20" s="1304"/>
      <c r="H20" s="1311"/>
      <c r="I20" s="1312">
        <f>SUM(I17:I19)</f>
        <v>0</v>
      </c>
    </row>
    <row r="21" spans="1:9">
      <c r="A21" s="3253" t="s">
        <v>1105</v>
      </c>
      <c r="B21" s="3257"/>
      <c r="C21" s="3257"/>
      <c r="D21" s="3257"/>
      <c r="E21" s="3257"/>
      <c r="F21" s="3257"/>
      <c r="G21" s="3257"/>
      <c r="H21" s="1764">
        <v>0.1</v>
      </c>
      <c r="I21" s="1309">
        <f>ROUND(I10*H21,0)</f>
        <v>0</v>
      </c>
    </row>
    <row r="22" spans="1:9" ht="15.6">
      <c r="A22" s="3258" t="s">
        <v>1106</v>
      </c>
      <c r="B22" s="3259"/>
      <c r="C22" s="3260"/>
      <c r="D22" s="1316" t="s">
        <v>1107</v>
      </c>
      <c r="E22" s="1316" t="s">
        <v>1108</v>
      </c>
      <c r="F22" s="1317" t="s">
        <v>1109</v>
      </c>
      <c r="G22" s="1317" t="s">
        <v>1110</v>
      </c>
      <c r="H22" s="1310" t="s">
        <v>1111</v>
      </c>
      <c r="I22" s="1301" t="s">
        <v>1112</v>
      </c>
    </row>
    <row r="23" spans="1:9" ht="15" thickBot="1">
      <c r="A23" s="3261"/>
      <c r="B23" s="3262"/>
      <c r="C23" s="3263"/>
      <c r="D23" s="1318"/>
      <c r="E23" s="1318"/>
      <c r="F23" s="1318"/>
      <c r="G23" s="1319"/>
      <c r="H23" s="1320"/>
      <c r="I23" s="1321">
        <f>ROUND(E23*D23*F23*(1-G23)/10000,0)</f>
        <v>0</v>
      </c>
    </row>
    <row r="26" spans="1:9">
      <c r="A26" s="1322" t="s">
        <v>1113</v>
      </c>
      <c r="B26" s="1322"/>
      <c r="C26" s="1322"/>
      <c r="D26" s="1322"/>
      <c r="E26" s="3264">
        <f>C27-C30-C31-C32</f>
        <v>0</v>
      </c>
      <c r="F26" s="3264"/>
      <c r="G26" s="3264"/>
      <c r="H26" s="1736" t="s">
        <v>1335</v>
      </c>
    </row>
    <row r="27" spans="1:9">
      <c r="A27" s="1323">
        <v>1</v>
      </c>
      <c r="B27" s="1324" t="s">
        <v>1114</v>
      </c>
      <c r="C27" s="1324">
        <f>C28+C29</f>
        <v>0</v>
      </c>
      <c r="D27" s="1324"/>
      <c r="E27" s="3265"/>
      <c r="F27" s="3265"/>
      <c r="G27" s="3265"/>
    </row>
    <row r="28" spans="1:9">
      <c r="A28" s="1325" t="s">
        <v>1115</v>
      </c>
      <c r="B28" s="1324" t="s">
        <v>1116</v>
      </c>
      <c r="C28" s="1324"/>
      <c r="D28" s="1324"/>
      <c r="E28" s="3265"/>
      <c r="F28" s="3265"/>
      <c r="G28" s="3265"/>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56"/>
      <c r="F32" s="3256"/>
      <c r="G32" s="3256"/>
    </row>
    <row r="33" spans="1:7" hidden="1">
      <c r="A33" s="3266" t="s">
        <v>1125</v>
      </c>
      <c r="B33" s="3267"/>
      <c r="C33" s="3267"/>
      <c r="D33" s="3268"/>
      <c r="E33" s="3264"/>
      <c r="F33" s="3264"/>
      <c r="G33" s="3264"/>
    </row>
    <row r="34" spans="1:7" hidden="1">
      <c r="A34" s="1327">
        <v>1</v>
      </c>
      <c r="B34" s="1324" t="s">
        <v>1126</v>
      </c>
      <c r="C34" s="1324"/>
      <c r="D34" s="1324"/>
      <c r="E34" s="3265"/>
      <c r="F34" s="3265"/>
      <c r="G34" s="3265"/>
    </row>
    <row r="35" spans="1:7" hidden="1">
      <c r="A35" s="1327">
        <v>2</v>
      </c>
      <c r="B35" s="1324" t="s">
        <v>1127</v>
      </c>
      <c r="C35" s="1324"/>
      <c r="D35" s="1324"/>
      <c r="E35" s="3265"/>
      <c r="F35" s="3265"/>
      <c r="G35" s="3265"/>
    </row>
    <row r="36" spans="1:7" hidden="1">
      <c r="A36" s="1327">
        <v>3</v>
      </c>
      <c r="B36" s="1324" t="s">
        <v>1128</v>
      </c>
      <c r="C36" s="1324"/>
      <c r="D36" s="1324"/>
      <c r="E36" s="3265"/>
      <c r="F36" s="3265"/>
      <c r="G36" s="3265"/>
    </row>
    <row r="37" spans="1:7" hidden="1">
      <c r="A37" s="1327">
        <v>4</v>
      </c>
      <c r="B37" s="1324" t="s">
        <v>1129</v>
      </c>
      <c r="C37" s="1324"/>
      <c r="D37" s="1324"/>
      <c r="E37" s="3265"/>
      <c r="F37" s="3265"/>
      <c r="G37" s="3265"/>
    </row>
    <row r="38" spans="1:7" hidden="1">
      <c r="A38" s="3266" t="s">
        <v>1130</v>
      </c>
      <c r="B38" s="3267"/>
      <c r="C38" s="3267"/>
      <c r="D38" s="3268"/>
      <c r="E38" s="3264"/>
      <c r="F38" s="3264"/>
      <c r="G38" s="32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2523</v>
      </c>
      <c r="B1" s="2583" t="s">
        <v>2637</v>
      </c>
      <c r="C1" s="1633" t="s">
        <v>2525</v>
      </c>
      <c r="D1" s="1620"/>
      <c r="E1" s="2657"/>
      <c r="F1" s="2585"/>
      <c r="G1" s="1630" t="s">
        <v>2638</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2322</v>
      </c>
      <c r="B2" s="1417" t="e">
        <f ca="1">IF(C2="——",ROUND(C49*D3/10000,0),ROUND(C49*D3/10000,0)-D2)</f>
        <v>#DIV/0!</v>
      </c>
      <c r="C2" s="2587"/>
      <c r="D2" s="1364" t="e">
        <f ca="1">SUMIF(INDIRECT("'"&amp;F2&amp;"'"&amp;"!A:A"),"承租人权益价值",INDIRECT("'"&amp;F2&amp;"'"&amp;"!c:c"))</f>
        <v>#REF!</v>
      </c>
      <c r="E2" s="2588" t="s">
        <v>2323</v>
      </c>
      <c r="F2" s="2589"/>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2324</v>
      </c>
      <c r="B3" s="609" t="e">
        <f ca="1">IF(C2="——",C49,ROUND(B2*10000/D3,0))</f>
        <v>#DIV/0!</v>
      </c>
      <c r="C3" s="400" t="s">
        <v>2639</v>
      </c>
      <c r="D3" s="399">
        <f>IF(D1="",'数据-汇总表'!E3,SUMIF('数据-汇总表'!$C19:$C33,D1,'数据-汇总表'!$E19:$E33))</f>
        <v>4457.2</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4.4">
      <c r="A4" s="401" t="s">
        <v>2640</v>
      </c>
      <c r="B4" s="402"/>
      <c r="C4" s="3214" t="s">
        <v>2641</v>
      </c>
      <c r="D4" s="3215"/>
      <c r="E4" s="3216" t="s">
        <v>2642</v>
      </c>
      <c r="F4" s="3217"/>
      <c r="G4" s="3214" t="s">
        <v>2643</v>
      </c>
      <c r="H4" s="3215"/>
      <c r="I4" s="3214" t="s">
        <v>2644</v>
      </c>
      <c r="J4" s="3215"/>
      <c r="K4" s="610" t="s">
        <v>2645</v>
      </c>
      <c r="L4" s="1130"/>
      <c r="M4" s="1131"/>
      <c r="N4" s="1131"/>
      <c r="O4" s="1131"/>
      <c r="P4" s="3218" t="s">
        <v>2646</v>
      </c>
      <c r="Q4" s="3219"/>
      <c r="R4" s="3201" t="s">
        <v>2642</v>
      </c>
      <c r="S4" s="3202"/>
      <c r="T4" s="3201" t="s">
        <v>2643</v>
      </c>
      <c r="U4" s="3202"/>
      <c r="V4" s="3226" t="s">
        <v>2644</v>
      </c>
      <c r="W4" s="3226"/>
      <c r="X4" s="1812"/>
      <c r="Y4" s="3201" t="s">
        <v>2646</v>
      </c>
      <c r="Z4" s="3202"/>
      <c r="AA4" s="3196" t="s">
        <v>2642</v>
      </c>
      <c r="AB4" s="3226" t="s">
        <v>2643</v>
      </c>
      <c r="AC4" s="3196" t="s">
        <v>2644</v>
      </c>
    </row>
    <row r="5" spans="1:29">
      <c r="A5" s="404"/>
      <c r="B5" s="405"/>
      <c r="C5" s="3207" t="s">
        <v>2537</v>
      </c>
      <c r="D5" s="3208"/>
      <c r="E5" s="3205" t="s">
        <v>2538</v>
      </c>
      <c r="F5" s="3206"/>
      <c r="G5" s="3207" t="s">
        <v>2539</v>
      </c>
      <c r="H5" s="3208"/>
      <c r="I5" s="3207" t="s">
        <v>2540</v>
      </c>
      <c r="J5" s="3208"/>
      <c r="K5" s="610"/>
      <c r="L5" s="1130"/>
      <c r="M5" s="1131"/>
      <c r="N5" s="1131"/>
      <c r="O5" s="1131"/>
      <c r="P5" s="3220"/>
      <c r="Q5" s="3221"/>
      <c r="R5" s="3203"/>
      <c r="S5" s="3204"/>
      <c r="T5" s="3203"/>
      <c r="U5" s="3204"/>
      <c r="V5" s="3226"/>
      <c r="W5" s="3226"/>
      <c r="X5" s="1812"/>
      <c r="Y5" s="3203"/>
      <c r="Z5" s="3204"/>
      <c r="AA5" s="3197"/>
      <c r="AB5" s="3226"/>
      <c r="AC5" s="3197"/>
    </row>
    <row r="6" spans="1:29" ht="15" thickBot="1">
      <c r="A6" s="406"/>
      <c r="B6" s="407"/>
      <c r="C6" s="3209" t="s">
        <v>2541</v>
      </c>
      <c r="D6" s="3210"/>
      <c r="E6" s="3211" t="s">
        <v>2541</v>
      </c>
      <c r="F6" s="3212"/>
      <c r="G6" s="3209" t="s">
        <v>2541</v>
      </c>
      <c r="H6" s="3210"/>
      <c r="I6" s="3209" t="s">
        <v>2541</v>
      </c>
      <c r="J6" s="3210"/>
      <c r="K6" s="610" t="s">
        <v>2542</v>
      </c>
      <c r="L6" s="1130"/>
      <c r="M6" s="1131"/>
      <c r="N6" s="1131"/>
      <c r="O6" s="1131"/>
      <c r="P6" s="3222"/>
      <c r="Q6" s="3223"/>
      <c r="R6" s="3203"/>
      <c r="S6" s="3204"/>
      <c r="T6" s="3224"/>
      <c r="U6" s="3225"/>
      <c r="V6" s="3226"/>
      <c r="W6" s="3226"/>
      <c r="X6" s="1812"/>
      <c r="Y6" s="3224"/>
      <c r="Z6" s="3225"/>
      <c r="AA6" s="3198"/>
      <c r="AB6" s="3226"/>
      <c r="AC6" s="3198"/>
    </row>
    <row r="7" spans="1:29" s="117" customFormat="1" ht="15" thickBot="1">
      <c r="A7" s="408" t="s">
        <v>2543</v>
      </c>
      <c r="B7" s="409"/>
      <c r="C7" s="410">
        <f>'数据-取费表'!B2</f>
        <v>43915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9" t="s">
        <v>2544</v>
      </c>
      <c r="Q7" s="3227"/>
      <c r="R7" s="770" t="s">
        <v>17</v>
      </c>
      <c r="S7" s="771">
        <f t="shared" ref="S7:S15" si="0">F7</f>
        <v>0</v>
      </c>
      <c r="T7" s="770" t="s">
        <v>17</v>
      </c>
      <c r="U7" s="771">
        <f t="shared" ref="U7:U15" si="1">H7</f>
        <v>0</v>
      </c>
      <c r="V7" s="770" t="s">
        <v>17</v>
      </c>
      <c r="W7" s="771">
        <f t="shared" ref="W7:W15" si="2">J7</f>
        <v>0</v>
      </c>
      <c r="X7" s="772"/>
      <c r="Y7" s="3199" t="s">
        <v>2544</v>
      </c>
      <c r="Z7" s="3200"/>
      <c r="AA7" s="773" t="e">
        <f>D7/F7</f>
        <v>#DIV/0!</v>
      </c>
      <c r="AB7" s="773" t="e">
        <f>D7/H7</f>
        <v>#DIV/0!</v>
      </c>
      <c r="AC7" s="773" t="e">
        <f>D7/J7</f>
        <v>#DIV/0!</v>
      </c>
    </row>
    <row r="8" spans="1:29" s="117" customFormat="1" ht="1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9" t="s">
        <v>2547</v>
      </c>
      <c r="Q8" s="3200"/>
      <c r="R8" s="770" t="s">
        <v>17</v>
      </c>
      <c r="S8" s="771">
        <f t="shared" si="0"/>
        <v>0</v>
      </c>
      <c r="T8" s="770" t="s">
        <v>17</v>
      </c>
      <c r="U8" s="771">
        <f t="shared" si="1"/>
        <v>0</v>
      </c>
      <c r="V8" s="770" t="s">
        <v>17</v>
      </c>
      <c r="W8" s="771">
        <f t="shared" si="2"/>
        <v>0</v>
      </c>
      <c r="X8" s="772"/>
      <c r="Y8" s="3199" t="s">
        <v>2547</v>
      </c>
      <c r="Z8" s="3200"/>
      <c r="AA8" s="773" t="e">
        <f t="shared" ref="AA8:AA46" si="3">D8/F8</f>
        <v>#DIV/0!</v>
      </c>
      <c r="AB8" s="773" t="e">
        <f t="shared" ref="AB8:AB46" si="4">D8/H8</f>
        <v>#DIV/0!</v>
      </c>
      <c r="AC8" s="773" t="e">
        <f t="shared" ref="AC8:AC46" si="5">D8/J8</f>
        <v>#DIV/0!</v>
      </c>
    </row>
    <row r="9" spans="1:29" s="117" customFormat="1" ht="14.4">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3" t="s">
        <v>2550</v>
      </c>
      <c r="Q9" s="1794" t="str">
        <f t="shared" ref="Q9:Q15" si="6">B9</f>
        <v>用途</v>
      </c>
      <c r="R9" s="770" t="s">
        <v>17</v>
      </c>
      <c r="S9" s="771">
        <f t="shared" si="0"/>
        <v>100</v>
      </c>
      <c r="T9" s="770" t="s">
        <v>17</v>
      </c>
      <c r="U9" s="771">
        <f t="shared" si="1"/>
        <v>100</v>
      </c>
      <c r="V9" s="770" t="s">
        <v>17</v>
      </c>
      <c r="W9" s="771">
        <f t="shared" si="2"/>
        <v>100</v>
      </c>
      <c r="X9" s="772"/>
      <c r="Y9" s="3050" t="s">
        <v>2551</v>
      </c>
      <c r="Z9" s="55" t="str">
        <f t="shared" ref="Z9:Z15" si="7">Q9</f>
        <v>用途</v>
      </c>
      <c r="AA9" s="773">
        <f t="shared" si="3"/>
        <v>1</v>
      </c>
      <c r="AB9" s="773">
        <f t="shared" si="4"/>
        <v>1</v>
      </c>
      <c r="AC9" s="773">
        <f t="shared" si="5"/>
        <v>1</v>
      </c>
    </row>
    <row r="10" spans="1:29" s="427" customFormat="1" ht="28.8">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3"/>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3"/>
      <c r="Q11" s="1794"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3"/>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3"/>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6"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3"/>
      <c r="Q14" s="1794">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69">
      <c r="A15" s="440" t="s">
        <v>2554</v>
      </c>
      <c r="B15" s="69" t="s">
        <v>2648</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0" t="s">
        <v>2555</v>
      </c>
      <c r="Q15" s="1809" t="str">
        <f t="shared" si="6"/>
        <v>商业繁华度</v>
      </c>
      <c r="R15" s="774" t="s">
        <v>17</v>
      </c>
      <c r="S15" s="775">
        <f t="shared" si="0"/>
        <v>100</v>
      </c>
      <c r="T15" s="774" t="s">
        <v>17</v>
      </c>
      <c r="U15" s="775">
        <f t="shared" si="1"/>
        <v>100</v>
      </c>
      <c r="V15" s="774" t="s">
        <v>17</v>
      </c>
      <c r="W15" s="775">
        <f t="shared" si="2"/>
        <v>100</v>
      </c>
      <c r="X15" s="1812"/>
      <c r="Y15" s="3233" t="s">
        <v>2555</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41"/>
      <c r="Q16" s="1809"/>
      <c r="R16" s="774"/>
      <c r="S16" s="775"/>
      <c r="T16" s="774"/>
      <c r="U16" s="775"/>
      <c r="V16" s="774"/>
      <c r="W16" s="775"/>
      <c r="X16" s="1812"/>
      <c r="Y16" s="3234"/>
      <c r="Z16" s="1813"/>
      <c r="AA16" s="1810">
        <v>1</v>
      </c>
      <c r="AB16" s="1810">
        <v>1</v>
      </c>
      <c r="AC16" s="1810">
        <v>1</v>
      </c>
    </row>
    <row r="17" spans="1:29" ht="82.8">
      <c r="A17" s="428"/>
      <c r="B17" s="451" t="s">
        <v>2095</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1"/>
      <c r="Q17" s="1809" t="str">
        <f>B17</f>
        <v>交通便捷度</v>
      </c>
      <c r="R17" s="774" t="s">
        <v>17</v>
      </c>
      <c r="S17" s="775">
        <f>F17</f>
        <v>100</v>
      </c>
      <c r="T17" s="774" t="s">
        <v>17</v>
      </c>
      <c r="U17" s="775">
        <f>H17</f>
        <v>100</v>
      </c>
      <c r="V17" s="774" t="s">
        <v>17</v>
      </c>
      <c r="W17" s="775">
        <f>J17</f>
        <v>100</v>
      </c>
      <c r="X17" s="1812"/>
      <c r="Y17" s="3234"/>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41"/>
      <c r="Q18" s="1809"/>
      <c r="R18" s="774"/>
      <c r="S18" s="775"/>
      <c r="T18" s="774"/>
      <c r="U18" s="775"/>
      <c r="V18" s="774"/>
      <c r="W18" s="775"/>
      <c r="X18" s="1812"/>
      <c r="Y18" s="3234"/>
      <c r="Z18" s="1813"/>
      <c r="AA18" s="1810">
        <v>1</v>
      </c>
      <c r="AB18" s="1810">
        <v>1</v>
      </c>
      <c r="AC18" s="1810">
        <v>1</v>
      </c>
    </row>
    <row r="19" spans="1:29" ht="41.4">
      <c r="A19" s="428"/>
      <c r="B19" s="451" t="s">
        <v>2649</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1"/>
      <c r="Q19" s="1809" t="str">
        <f>B19</f>
        <v>公共配套设施</v>
      </c>
      <c r="R19" s="774" t="s">
        <v>17</v>
      </c>
      <c r="S19" s="775">
        <f>F19</f>
        <v>100</v>
      </c>
      <c r="T19" s="774" t="s">
        <v>17</v>
      </c>
      <c r="U19" s="775">
        <f>H19</f>
        <v>100</v>
      </c>
      <c r="V19" s="774" t="s">
        <v>17</v>
      </c>
      <c r="W19" s="775">
        <f>J19</f>
        <v>100</v>
      </c>
      <c r="X19" s="1812"/>
      <c r="Y19" s="3234"/>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41"/>
      <c r="Q20" s="1809"/>
      <c r="R20" s="774"/>
      <c r="S20" s="775"/>
      <c r="T20" s="774"/>
      <c r="U20" s="775"/>
      <c r="V20" s="774"/>
      <c r="W20" s="775"/>
      <c r="X20" s="1812"/>
      <c r="Y20" s="3234"/>
      <c r="Z20" s="1813"/>
      <c r="AA20" s="1810">
        <v>1</v>
      </c>
      <c r="AB20" s="1810">
        <v>1</v>
      </c>
      <c r="AC20" s="1810">
        <v>1</v>
      </c>
    </row>
    <row r="21" spans="1:29" ht="27.6">
      <c r="A21" s="428"/>
      <c r="B21" s="1383" t="s">
        <v>2650</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1"/>
      <c r="Q21" s="1809" t="str">
        <f>B21</f>
        <v>基础设施水平</v>
      </c>
      <c r="R21" s="774" t="s">
        <v>17</v>
      </c>
      <c r="S21" s="775">
        <f>F21</f>
        <v>100</v>
      </c>
      <c r="T21" s="774" t="s">
        <v>17</v>
      </c>
      <c r="U21" s="775">
        <f>H21</f>
        <v>100</v>
      </c>
      <c r="V21" s="774" t="s">
        <v>17</v>
      </c>
      <c r="W21" s="775">
        <f>J21</f>
        <v>100</v>
      </c>
      <c r="X21" s="1812"/>
      <c r="Y21" s="3234"/>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40"/>
      <c r="M22" s="1131"/>
      <c r="N22" s="1131"/>
      <c r="O22" s="1131"/>
      <c r="P22" s="3241"/>
      <c r="Q22" s="1809"/>
      <c r="R22" s="774"/>
      <c r="S22" s="775"/>
      <c r="T22" s="774"/>
      <c r="U22" s="775"/>
      <c r="V22" s="774"/>
      <c r="W22" s="775"/>
      <c r="X22" s="1812"/>
      <c r="Y22" s="3234"/>
      <c r="Z22" s="1813"/>
      <c r="AA22" s="1810">
        <v>1</v>
      </c>
      <c r="AB22" s="1810">
        <v>1</v>
      </c>
      <c r="AC22" s="1810">
        <v>1</v>
      </c>
    </row>
    <row r="23" spans="1:29" ht="55.2">
      <c r="A23" s="428"/>
      <c r="B23" s="451" t="s">
        <v>2100</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1"/>
      <c r="Q23" s="1809" t="str">
        <f>B23</f>
        <v>自然及人文环境</v>
      </c>
      <c r="R23" s="774" t="s">
        <v>17</v>
      </c>
      <c r="S23" s="775">
        <f>F23</f>
        <v>100</v>
      </c>
      <c r="T23" s="774" t="s">
        <v>17</v>
      </c>
      <c r="U23" s="775">
        <f>H23</f>
        <v>100</v>
      </c>
      <c r="V23" s="774" t="s">
        <v>17</v>
      </c>
      <c r="W23" s="775">
        <f>J23</f>
        <v>100</v>
      </c>
      <c r="X23" s="1812"/>
      <c r="Y23" s="3234"/>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41"/>
      <c r="Q24" s="1809"/>
      <c r="R24" s="774"/>
      <c r="S24" s="775"/>
      <c r="T24" s="774"/>
      <c r="U24" s="775"/>
      <c r="V24" s="774"/>
      <c r="W24" s="775"/>
      <c r="X24" s="1812"/>
      <c r="Y24" s="3234"/>
      <c r="Z24" s="1813"/>
      <c r="AA24" s="1810">
        <v>1</v>
      </c>
      <c r="AB24" s="1810">
        <v>1</v>
      </c>
      <c r="AC24" s="1810">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1"/>
      <c r="Q25" s="1809" t="str">
        <f t="shared" ref="Q25:Q46" si="11">B25</f>
        <v>临街状况</v>
      </c>
      <c r="R25" s="774" t="s">
        <v>17</v>
      </c>
      <c r="S25" s="775">
        <f>F25</f>
        <v>100</v>
      </c>
      <c r="T25" s="774" t="s">
        <v>17</v>
      </c>
      <c r="U25" s="775">
        <f>H25</f>
        <v>100</v>
      </c>
      <c r="V25" s="774" t="s">
        <v>17</v>
      </c>
      <c r="W25" s="775">
        <f>J25</f>
        <v>100</v>
      </c>
      <c r="X25" s="1812"/>
      <c r="Y25" s="3234"/>
      <c r="Z25" s="1813" t="str">
        <f>Q25</f>
        <v>临街状况</v>
      </c>
      <c r="AA25" s="1810">
        <f t="shared" si="3"/>
        <v>1</v>
      </c>
      <c r="AB25" s="1810">
        <f t="shared" si="4"/>
        <v>1</v>
      </c>
      <c r="AC25" s="1810">
        <f t="shared" si="5"/>
        <v>1</v>
      </c>
    </row>
    <row r="26" spans="1:29" ht="15">
      <c r="A26" s="428"/>
      <c r="B26" s="1385"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1"/>
      <c r="Q26" s="1809" t="str">
        <f t="shared" si="11"/>
        <v>平面位置/可视性</v>
      </c>
      <c r="R26" s="774" t="s">
        <v>17</v>
      </c>
      <c r="S26" s="775">
        <f>F26</f>
        <v>100</v>
      </c>
      <c r="T26" s="774" t="s">
        <v>17</v>
      </c>
      <c r="U26" s="775">
        <f>H26</f>
        <v>100</v>
      </c>
      <c r="V26" s="774" t="s">
        <v>17</v>
      </c>
      <c r="W26" s="775">
        <f>J26</f>
        <v>100</v>
      </c>
      <c r="X26" s="1812"/>
      <c r="Y26" s="3234"/>
      <c r="Z26" s="1813" t="str">
        <f>Q26</f>
        <v>平面位置/可视性</v>
      </c>
      <c r="AA26" s="1810">
        <f t="shared" si="3"/>
        <v>1</v>
      </c>
      <c r="AB26" s="1810">
        <f t="shared" si="4"/>
        <v>1</v>
      </c>
      <c r="AC26" s="1810">
        <f t="shared" si="5"/>
        <v>1</v>
      </c>
    </row>
    <row r="27" spans="1:29" s="117" customFormat="1" ht="15">
      <c r="A27" s="431"/>
      <c r="B27" s="451" t="s">
        <v>2653</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41"/>
      <c r="Q27" s="1794" t="str">
        <f t="shared" si="11"/>
        <v>人流量</v>
      </c>
      <c r="R27" s="770" t="s">
        <v>17</v>
      </c>
      <c r="S27" s="771">
        <f>F27</f>
        <v>100</v>
      </c>
      <c r="T27" s="770" t="s">
        <v>17</v>
      </c>
      <c r="U27" s="771">
        <f>H27</f>
        <v>100</v>
      </c>
      <c r="V27" s="770" t="s">
        <v>17</v>
      </c>
      <c r="W27" s="771">
        <f>J27</f>
        <v>100</v>
      </c>
      <c r="X27" s="772"/>
      <c r="Y27" s="3234"/>
      <c r="Z27" s="55" t="str">
        <f>Q27</f>
        <v>人流量</v>
      </c>
      <c r="AA27" s="1810">
        <f>D27/F27</f>
        <v>1</v>
      </c>
      <c r="AB27" s="1810">
        <f>D27/H27</f>
        <v>1</v>
      </c>
      <c r="AC27" s="1810">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1"/>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34"/>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1"/>
      <c r="Q29" s="1809">
        <f t="shared" si="11"/>
        <v>111</v>
      </c>
      <c r="R29" s="774" t="s">
        <v>17</v>
      </c>
      <c r="S29" s="775">
        <f t="shared" si="12"/>
        <v>100</v>
      </c>
      <c r="T29" s="774" t="s">
        <v>17</v>
      </c>
      <c r="U29" s="775">
        <f t="shared" si="13"/>
        <v>100</v>
      </c>
      <c r="V29" s="774" t="s">
        <v>17</v>
      </c>
      <c r="W29" s="775">
        <f t="shared" si="14"/>
        <v>100</v>
      </c>
      <c r="X29" s="1812"/>
      <c r="Y29" s="3234"/>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1"/>
      <c r="Q30" s="1809">
        <f t="shared" si="11"/>
        <v>111</v>
      </c>
      <c r="R30" s="774" t="s">
        <v>17</v>
      </c>
      <c r="S30" s="775">
        <f t="shared" si="12"/>
        <v>100</v>
      </c>
      <c r="T30" s="774" t="s">
        <v>17</v>
      </c>
      <c r="U30" s="775">
        <f t="shared" si="13"/>
        <v>100</v>
      </c>
      <c r="V30" s="774" t="s">
        <v>17</v>
      </c>
      <c r="W30" s="775">
        <f t="shared" si="14"/>
        <v>100</v>
      </c>
      <c r="X30" s="1812"/>
      <c r="Y30" s="3234"/>
      <c r="Z30" s="1813">
        <f t="shared" si="15"/>
        <v>111</v>
      </c>
      <c r="AA30" s="1810">
        <f t="shared" si="3"/>
        <v>1</v>
      </c>
      <c r="AB30" s="1810">
        <f t="shared" si="4"/>
        <v>1</v>
      </c>
      <c r="AC30" s="1810">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1"/>
      <c r="Q31" s="1809">
        <f t="shared" si="11"/>
        <v>111</v>
      </c>
      <c r="R31" s="774" t="s">
        <v>17</v>
      </c>
      <c r="S31" s="775">
        <f t="shared" si="12"/>
        <v>100</v>
      </c>
      <c r="T31" s="774" t="s">
        <v>17</v>
      </c>
      <c r="U31" s="775">
        <f t="shared" si="13"/>
        <v>100</v>
      </c>
      <c r="V31" s="774" t="s">
        <v>17</v>
      </c>
      <c r="W31" s="775">
        <f t="shared" si="14"/>
        <v>100</v>
      </c>
      <c r="X31" s="1812"/>
      <c r="Y31" s="3234"/>
      <c r="Z31" s="1813">
        <f t="shared" si="15"/>
        <v>111</v>
      </c>
      <c r="AA31" s="1810">
        <f t="shared" si="3"/>
        <v>1</v>
      </c>
      <c r="AB31" s="1810">
        <f t="shared" si="4"/>
        <v>1</v>
      </c>
      <c r="AC31" s="1810">
        <f t="shared" si="5"/>
        <v>1</v>
      </c>
    </row>
    <row r="32" spans="1:29" ht="15">
      <c r="A32" s="440" t="s">
        <v>2558</v>
      </c>
      <c r="B32" s="71" t="s">
        <v>2655</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35" t="s">
        <v>2560</v>
      </c>
      <c r="Q32" s="1809" t="str">
        <f t="shared" si="11"/>
        <v>商业类型</v>
      </c>
      <c r="R32" s="774" t="s">
        <v>17</v>
      </c>
      <c r="S32" s="775">
        <f t="shared" si="12"/>
        <v>100</v>
      </c>
      <c r="T32" s="774" t="s">
        <v>17</v>
      </c>
      <c r="U32" s="775">
        <f t="shared" si="13"/>
        <v>100</v>
      </c>
      <c r="V32" s="774" t="s">
        <v>17</v>
      </c>
      <c r="W32" s="775">
        <f t="shared" si="14"/>
        <v>100</v>
      </c>
      <c r="X32" s="1812"/>
      <c r="Y32" s="3238" t="s">
        <v>2560</v>
      </c>
      <c r="Z32" s="1813" t="str">
        <f t="shared" si="15"/>
        <v>商业类型</v>
      </c>
      <c r="AA32" s="1810">
        <f t="shared" si="3"/>
        <v>1</v>
      </c>
      <c r="AB32" s="1810">
        <f t="shared" si="4"/>
        <v>1</v>
      </c>
      <c r="AC32" s="1810">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6"/>
      <c r="Q33" s="776" t="str">
        <f t="shared" si="11"/>
        <v>项目建筑规模</v>
      </c>
      <c r="R33" s="777" t="s">
        <v>17</v>
      </c>
      <c r="S33" s="778" t="e">
        <f t="shared" si="12"/>
        <v>#N/A</v>
      </c>
      <c r="T33" s="777" t="s">
        <v>17</v>
      </c>
      <c r="U33" s="778" t="e">
        <f t="shared" si="13"/>
        <v>#N/A</v>
      </c>
      <c r="V33" s="777" t="s">
        <v>17</v>
      </c>
      <c r="W33" s="778" t="e">
        <f t="shared" si="14"/>
        <v>#N/A</v>
      </c>
      <c r="X33" s="779"/>
      <c r="Y33" s="3238"/>
      <c r="Z33" s="780" t="str">
        <f t="shared" si="15"/>
        <v>项目建筑规模</v>
      </c>
      <c r="AA33" s="1810" t="e">
        <f t="shared" si="3"/>
        <v>#N/A</v>
      </c>
      <c r="AB33" s="1810" t="e">
        <f t="shared" si="4"/>
        <v>#N/A</v>
      </c>
      <c r="AC33" s="1810" t="e">
        <f t="shared" si="5"/>
        <v>#N/A</v>
      </c>
    </row>
    <row r="34" spans="1:29" ht="15">
      <c r="A34" s="472"/>
      <c r="B34" s="422" t="s">
        <v>2562</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36"/>
      <c r="Q34" s="1809" t="str">
        <f t="shared" si="11"/>
        <v>建筑结构</v>
      </c>
      <c r="R34" s="774" t="s">
        <v>17</v>
      </c>
      <c r="S34" s="775">
        <f t="shared" si="12"/>
        <v>100</v>
      </c>
      <c r="T34" s="774" t="s">
        <v>17</v>
      </c>
      <c r="U34" s="775">
        <f t="shared" si="13"/>
        <v>100</v>
      </c>
      <c r="V34" s="774" t="s">
        <v>17</v>
      </c>
      <c r="W34" s="775">
        <f t="shared" si="14"/>
        <v>100</v>
      </c>
      <c r="X34" s="1812"/>
      <c r="Y34" s="3238"/>
      <c r="Z34" s="1813" t="str">
        <f t="shared" si="15"/>
        <v>建筑结构</v>
      </c>
      <c r="AA34" s="1810">
        <f t="shared" si="3"/>
        <v>1</v>
      </c>
      <c r="AB34" s="1810">
        <f t="shared" si="4"/>
        <v>1</v>
      </c>
      <c r="AC34" s="1810">
        <f t="shared" si="5"/>
        <v>1</v>
      </c>
    </row>
    <row r="35" spans="1:29" ht="15">
      <c r="A35" s="472"/>
      <c r="B35" s="422" t="s">
        <v>2656</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36"/>
      <c r="Q35" s="1809" t="str">
        <f t="shared" si="11"/>
        <v>公共部分装修</v>
      </c>
      <c r="R35" s="774" t="s">
        <v>17</v>
      </c>
      <c r="S35" s="775">
        <f t="shared" si="12"/>
        <v>100</v>
      </c>
      <c r="T35" s="774" t="s">
        <v>17</v>
      </c>
      <c r="U35" s="775">
        <f t="shared" si="13"/>
        <v>100</v>
      </c>
      <c r="V35" s="774" t="s">
        <v>17</v>
      </c>
      <c r="W35" s="775">
        <f t="shared" si="14"/>
        <v>100</v>
      </c>
      <c r="X35" s="1812"/>
      <c r="Y35" s="3238"/>
      <c r="Z35" s="1813" t="str">
        <f t="shared" si="15"/>
        <v>公共部分装修</v>
      </c>
      <c r="AA35" s="1810">
        <f t="shared" si="3"/>
        <v>1</v>
      </c>
      <c r="AB35" s="1810">
        <f t="shared" si="4"/>
        <v>1</v>
      </c>
      <c r="AC35" s="1810">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6"/>
      <c r="Q36" s="1809" t="str">
        <f t="shared" si="11"/>
        <v>成新度</v>
      </c>
      <c r="R36" s="774" t="s">
        <v>17</v>
      </c>
      <c r="S36" s="775" t="e">
        <f t="shared" si="12"/>
        <v>#N/A</v>
      </c>
      <c r="T36" s="774" t="s">
        <v>17</v>
      </c>
      <c r="U36" s="775" t="e">
        <f t="shared" si="13"/>
        <v>#N/A</v>
      </c>
      <c r="V36" s="774" t="s">
        <v>17</v>
      </c>
      <c r="W36" s="775" t="e">
        <f t="shared" si="14"/>
        <v>#N/A</v>
      </c>
      <c r="X36" s="1812"/>
      <c r="Y36" s="3238"/>
      <c r="Z36" s="1813" t="str">
        <f t="shared" si="15"/>
        <v>成新度</v>
      </c>
      <c r="AA36" s="1810" t="e">
        <f t="shared" si="3"/>
        <v>#N/A</v>
      </c>
      <c r="AB36" s="1810" t="e">
        <f t="shared" si="4"/>
        <v>#N/A</v>
      </c>
      <c r="AC36" s="1810" t="e">
        <f t="shared" si="5"/>
        <v>#N/A</v>
      </c>
    </row>
    <row r="37" spans="1:29" s="117" customFormat="1" ht="15">
      <c r="A37" s="473"/>
      <c r="B37" s="422" t="s">
        <v>2658</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36"/>
      <c r="Q37" s="1794" t="str">
        <f t="shared" si="11"/>
        <v>市政基础设施</v>
      </c>
      <c r="R37" s="770" t="s">
        <v>17</v>
      </c>
      <c r="S37" s="771">
        <f t="shared" si="12"/>
        <v>100</v>
      </c>
      <c r="T37" s="770" t="s">
        <v>17</v>
      </c>
      <c r="U37" s="771">
        <f t="shared" si="13"/>
        <v>100</v>
      </c>
      <c r="V37" s="770" t="s">
        <v>17</v>
      </c>
      <c r="W37" s="771">
        <f t="shared" si="14"/>
        <v>100</v>
      </c>
      <c r="X37" s="772"/>
      <c r="Y37" s="3238"/>
      <c r="Z37" s="55" t="str">
        <f t="shared" si="15"/>
        <v>市政基础设施</v>
      </c>
      <c r="AA37" s="773">
        <f t="shared" si="3"/>
        <v>1</v>
      </c>
      <c r="AB37" s="773">
        <f t="shared" si="4"/>
        <v>1</v>
      </c>
      <c r="AC37" s="773">
        <f t="shared" si="5"/>
        <v>1</v>
      </c>
    </row>
    <row r="38" spans="1:29" ht="15">
      <c r="A38" s="472"/>
      <c r="B38" s="422" t="s">
        <v>2659</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36" t="s">
        <v>2560</v>
      </c>
      <c r="Q38" s="1809" t="str">
        <f t="shared" si="11"/>
        <v>业态</v>
      </c>
      <c r="R38" s="774" t="s">
        <v>17</v>
      </c>
      <c r="S38" s="775">
        <f t="shared" si="12"/>
        <v>100</v>
      </c>
      <c r="T38" s="774" t="s">
        <v>17</v>
      </c>
      <c r="U38" s="775">
        <f t="shared" si="13"/>
        <v>100</v>
      </c>
      <c r="V38" s="774" t="s">
        <v>17</v>
      </c>
      <c r="W38" s="775">
        <f t="shared" si="14"/>
        <v>100</v>
      </c>
      <c r="X38" s="1812"/>
      <c r="Y38" s="3238" t="s">
        <v>2560</v>
      </c>
      <c r="Z38" s="1813" t="str">
        <f t="shared" si="15"/>
        <v>业态</v>
      </c>
      <c r="AA38" s="1810">
        <f t="shared" si="3"/>
        <v>1</v>
      </c>
      <c r="AB38" s="1810">
        <f t="shared" si="4"/>
        <v>1</v>
      </c>
      <c r="AC38" s="1810">
        <f t="shared" si="5"/>
        <v>1</v>
      </c>
    </row>
    <row r="39" spans="1:29" ht="15">
      <c r="A39" s="472"/>
      <c r="B39" s="422" t="s">
        <v>2660</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36"/>
      <c r="Q39" s="1809" t="str">
        <f t="shared" si="11"/>
        <v>层高</v>
      </c>
      <c r="R39" s="774" t="s">
        <v>17</v>
      </c>
      <c r="S39" s="775">
        <f t="shared" si="12"/>
        <v>100</v>
      </c>
      <c r="T39" s="774" t="s">
        <v>17</v>
      </c>
      <c r="U39" s="775">
        <f t="shared" si="13"/>
        <v>100</v>
      </c>
      <c r="V39" s="774" t="s">
        <v>17</v>
      </c>
      <c r="W39" s="775">
        <f t="shared" si="14"/>
        <v>100</v>
      </c>
      <c r="X39" s="1812"/>
      <c r="Y39" s="3238"/>
      <c r="Z39" s="1813" t="str">
        <f t="shared" si="15"/>
        <v>层高</v>
      </c>
      <c r="AA39" s="1810">
        <f t="shared" si="3"/>
        <v>1</v>
      </c>
      <c r="AB39" s="1810">
        <f t="shared" si="4"/>
        <v>1</v>
      </c>
      <c r="AC39" s="1810">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6"/>
      <c r="Q40" s="1809" t="str">
        <f t="shared" si="11"/>
        <v>单套建筑面积</v>
      </c>
      <c r="R40" s="774" t="s">
        <v>17</v>
      </c>
      <c r="S40" s="775">
        <f t="shared" si="12"/>
        <v>100</v>
      </c>
      <c r="T40" s="774" t="s">
        <v>17</v>
      </c>
      <c r="U40" s="775">
        <f t="shared" si="13"/>
        <v>100</v>
      </c>
      <c r="V40" s="774" t="s">
        <v>17</v>
      </c>
      <c r="W40" s="775">
        <f t="shared" si="14"/>
        <v>100</v>
      </c>
      <c r="X40" s="1812"/>
      <c r="Y40" s="3238"/>
      <c r="Z40" s="1813" t="str">
        <f t="shared" si="15"/>
        <v>单套建筑面积</v>
      </c>
      <c r="AA40" s="1810">
        <f t="shared" si="3"/>
        <v>1</v>
      </c>
      <c r="AB40" s="1810">
        <f t="shared" si="4"/>
        <v>1</v>
      </c>
      <c r="AC40" s="1810">
        <f t="shared" si="5"/>
        <v>1</v>
      </c>
    </row>
    <row r="41" spans="1:29" s="471" customFormat="1" ht="15">
      <c r="A41" s="468"/>
      <c r="B41" s="1811"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6"/>
      <c r="Q41" s="776" t="str">
        <f t="shared" si="11"/>
        <v>进深比</v>
      </c>
      <c r="R41" s="777" t="s">
        <v>17</v>
      </c>
      <c r="S41" s="778">
        <f t="shared" si="12"/>
        <v>100</v>
      </c>
      <c r="T41" s="777" t="s">
        <v>17</v>
      </c>
      <c r="U41" s="778">
        <f t="shared" si="13"/>
        <v>100</v>
      </c>
      <c r="V41" s="777" t="s">
        <v>17</v>
      </c>
      <c r="W41" s="778">
        <f t="shared" si="14"/>
        <v>100</v>
      </c>
      <c r="X41" s="779"/>
      <c r="Y41" s="3238"/>
      <c r="Z41" s="780" t="str">
        <f t="shared" si="15"/>
        <v>进深比</v>
      </c>
      <c r="AA41" s="1810">
        <f t="shared" si="3"/>
        <v>1</v>
      </c>
      <c r="AB41" s="1810">
        <f t="shared" si="4"/>
        <v>1</v>
      </c>
      <c r="AC41" s="1810">
        <f t="shared" si="5"/>
        <v>1</v>
      </c>
    </row>
    <row r="42" spans="1:29" ht="15">
      <c r="A42" s="472"/>
      <c r="B42" s="422" t="s">
        <v>2663</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36"/>
      <c r="Q42" s="1809" t="str">
        <f t="shared" si="11"/>
        <v>内部装修</v>
      </c>
      <c r="R42" s="774" t="s">
        <v>17</v>
      </c>
      <c r="S42" s="775">
        <f t="shared" si="12"/>
        <v>100</v>
      </c>
      <c r="T42" s="774" t="s">
        <v>17</v>
      </c>
      <c r="U42" s="775">
        <f t="shared" si="13"/>
        <v>100</v>
      </c>
      <c r="V42" s="774" t="s">
        <v>17</v>
      </c>
      <c r="W42" s="775">
        <f t="shared" si="14"/>
        <v>100</v>
      </c>
      <c r="X42" s="1812"/>
      <c r="Y42" s="3238"/>
      <c r="Z42" s="1813" t="str">
        <f t="shared" si="15"/>
        <v>内部装修</v>
      </c>
      <c r="AA42" s="1810">
        <f t="shared" si="3"/>
        <v>1</v>
      </c>
      <c r="AB42" s="1810">
        <f t="shared" si="4"/>
        <v>1</v>
      </c>
      <c r="AC42" s="1810">
        <f t="shared" si="5"/>
        <v>1</v>
      </c>
    </row>
    <row r="43" spans="1:29" ht="28.8">
      <c r="A43" s="472"/>
      <c r="B43" s="422" t="s">
        <v>2571</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36"/>
      <c r="Q43" s="1809" t="str">
        <f t="shared" si="11"/>
        <v>内部装修维护情况</v>
      </c>
      <c r="R43" s="774" t="s">
        <v>17</v>
      </c>
      <c r="S43" s="775">
        <f t="shared" si="12"/>
        <v>100</v>
      </c>
      <c r="T43" s="774" t="s">
        <v>17</v>
      </c>
      <c r="U43" s="775">
        <f t="shared" si="13"/>
        <v>100</v>
      </c>
      <c r="V43" s="774" t="s">
        <v>17</v>
      </c>
      <c r="W43" s="775">
        <f t="shared" si="14"/>
        <v>100</v>
      </c>
      <c r="X43" s="1812"/>
      <c r="Y43" s="3238"/>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6"/>
      <c r="Q44" s="1794">
        <f t="shared" si="11"/>
        <v>111</v>
      </c>
      <c r="R44" s="770" t="s">
        <v>17</v>
      </c>
      <c r="S44" s="771">
        <f t="shared" si="12"/>
        <v>100</v>
      </c>
      <c r="T44" s="770" t="s">
        <v>17</v>
      </c>
      <c r="U44" s="771">
        <f t="shared" si="13"/>
        <v>100</v>
      </c>
      <c r="V44" s="770" t="s">
        <v>17</v>
      </c>
      <c r="W44" s="771">
        <f t="shared" si="14"/>
        <v>100</v>
      </c>
      <c r="X44" s="772"/>
      <c r="Y44" s="3238"/>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6"/>
      <c r="Q45" s="1809">
        <f t="shared" si="11"/>
        <v>111</v>
      </c>
      <c r="R45" s="774" t="s">
        <v>17</v>
      </c>
      <c r="S45" s="775">
        <f t="shared" si="12"/>
        <v>100</v>
      </c>
      <c r="T45" s="774" t="s">
        <v>17</v>
      </c>
      <c r="U45" s="775">
        <f t="shared" si="13"/>
        <v>100</v>
      </c>
      <c r="V45" s="774" t="s">
        <v>17</v>
      </c>
      <c r="W45" s="775">
        <f t="shared" si="14"/>
        <v>100</v>
      </c>
      <c r="X45" s="1812"/>
      <c r="Y45" s="3238"/>
      <c r="Z45" s="1813">
        <f t="shared" si="15"/>
        <v>111</v>
      </c>
      <c r="AA45" s="1810">
        <f t="shared" si="3"/>
        <v>1</v>
      </c>
      <c r="AB45" s="1810">
        <f t="shared" si="4"/>
        <v>1</v>
      </c>
      <c r="AC45" s="1810">
        <f t="shared" si="5"/>
        <v>1</v>
      </c>
    </row>
    <row r="46" spans="1:29" ht="15.6"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7"/>
      <c r="Q46" s="1809">
        <f t="shared" si="11"/>
        <v>111</v>
      </c>
      <c r="R46" s="774" t="s">
        <v>17</v>
      </c>
      <c r="S46" s="775">
        <f t="shared" si="12"/>
        <v>100</v>
      </c>
      <c r="T46" s="774" t="s">
        <v>17</v>
      </c>
      <c r="U46" s="775">
        <f t="shared" si="13"/>
        <v>100</v>
      </c>
      <c r="V46" s="774" t="s">
        <v>17</v>
      </c>
      <c r="W46" s="775">
        <f t="shared" si="14"/>
        <v>100</v>
      </c>
      <c r="X46" s="1812"/>
      <c r="Y46" s="3239"/>
      <c r="Z46" s="1813">
        <f t="shared" si="15"/>
        <v>111</v>
      </c>
      <c r="AA46" s="1810">
        <f t="shared" si="3"/>
        <v>1</v>
      </c>
      <c r="AB46" s="1810">
        <f t="shared" si="4"/>
        <v>1</v>
      </c>
      <c r="AC46" s="1810">
        <f t="shared" si="5"/>
        <v>1</v>
      </c>
    </row>
    <row r="47" spans="1:29" ht="14.4">
      <c r="A47" s="479" t="s">
        <v>2572</v>
      </c>
      <c r="B47" s="480"/>
      <c r="C47" s="1406" t="s">
        <v>1</v>
      </c>
      <c r="D47" s="1407"/>
      <c r="E47" s="1408"/>
      <c r="F47" s="1409"/>
      <c r="G47" s="1410"/>
      <c r="H47" s="1411"/>
      <c r="I47" s="1408"/>
      <c r="J47" s="1411"/>
      <c r="K47" s="783"/>
      <c r="L47" s="1143"/>
      <c r="M47" s="1144"/>
      <c r="N47" s="1131"/>
      <c r="O47" s="1144"/>
      <c r="P47" s="3231" t="str">
        <f>A47</f>
        <v>成交单价（元/平方米）</v>
      </c>
      <c r="Q47" s="3231"/>
      <c r="R47" s="3226">
        <f>E47</f>
        <v>0</v>
      </c>
      <c r="S47" s="3226"/>
      <c r="T47" s="3226">
        <f>G47</f>
        <v>0</v>
      </c>
      <c r="U47" s="3226"/>
      <c r="V47" s="3226">
        <f>I47</f>
        <v>0</v>
      </c>
      <c r="W47" s="3226"/>
      <c r="X47" s="759"/>
      <c r="Y47" s="781"/>
      <c r="Z47" s="759"/>
      <c r="AA47" s="759"/>
      <c r="AB47" s="759"/>
      <c r="AC47" s="759"/>
    </row>
    <row r="48" spans="1:29" ht="15" thickBot="1">
      <c r="A48" s="486" t="s">
        <v>2664</v>
      </c>
      <c r="B48" s="487"/>
      <c r="C48" s="1412" t="e">
        <f>R49</f>
        <v>#DIV/0!</v>
      </c>
      <c r="D48" s="1413"/>
      <c r="E48" s="1414" t="e">
        <f>R48</f>
        <v>#DIV/0!</v>
      </c>
      <c r="F48" s="1414"/>
      <c r="G48" s="1412" t="e">
        <f>T48</f>
        <v>#DIV/0!</v>
      </c>
      <c r="H48" s="1413"/>
      <c r="I48" s="1414" t="e">
        <f>V48</f>
        <v>#DIV/0!</v>
      </c>
      <c r="J48" s="1413"/>
      <c r="K48" s="784"/>
      <c r="L48" s="1143"/>
      <c r="M48" s="1144"/>
      <c r="N48" s="1131"/>
      <c r="O48" s="1144"/>
      <c r="P48" s="3231" t="str">
        <f>A48</f>
        <v>比较价值（元/平方米）</v>
      </c>
      <c r="Q48" s="323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 thickBot="1">
      <c r="A49" s="492" t="s">
        <v>2665</v>
      </c>
      <c r="B49" s="493"/>
      <c r="C49" s="1416" t="e">
        <f>R49</f>
        <v>#DIV/0!</v>
      </c>
      <c r="D49" s="1416"/>
      <c r="E49" s="1416"/>
      <c r="F49" s="1416"/>
      <c r="G49" s="1416"/>
      <c r="H49" s="1416"/>
      <c r="I49" s="1416"/>
      <c r="J49" s="1416"/>
      <c r="K49" s="785"/>
      <c r="L49" s="1143"/>
      <c r="M49" s="1144"/>
      <c r="N49" s="1131"/>
      <c r="O49" s="1144"/>
      <c r="P49" s="3228" t="str">
        <f>A49</f>
        <v>估价对象XX用房的比较价值（楼面单价，元/平方米）</v>
      </c>
      <c r="Q49" s="3229"/>
      <c r="R49" s="3230" t="e">
        <f>IF(F1="售价",ROUND(AVERAGE(R48:V48),0),ROUND(AVERAGE(R48:V48),1))</f>
        <v>#DIV/0!</v>
      </c>
      <c r="S49" s="3230"/>
      <c r="T49" s="3230"/>
      <c r="U49" s="3230"/>
      <c r="V49" s="3230"/>
      <c r="W49" s="32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2669</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4.4">
      <c r="A58" s="505" t="s">
        <v>2543</v>
      </c>
      <c r="B58" s="506"/>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c r="A59" s="509"/>
      <c r="B59" s="510"/>
      <c r="C59" s="1572">
        <v>100</v>
      </c>
      <c r="D59" s="512"/>
      <c r="E59" s="512"/>
      <c r="F59" s="512"/>
      <c r="G59" s="512"/>
      <c r="H59" s="512"/>
      <c r="I59" s="512"/>
      <c r="J59" s="512"/>
      <c r="K59" s="512"/>
      <c r="L59" s="512"/>
      <c r="M59" s="513"/>
      <c r="N59" s="512"/>
      <c r="O59" s="513"/>
      <c r="P59" s="2628"/>
    </row>
    <row r="60" spans="1:29" s="117" customFormat="1" ht="15" thickBot="1">
      <c r="A60" s="515" t="s">
        <v>2580</v>
      </c>
      <c r="B60" s="516"/>
      <c r="C60" s="517"/>
      <c r="D60" s="518"/>
      <c r="E60" s="518"/>
      <c r="F60" s="518"/>
      <c r="G60" s="518"/>
      <c r="H60" s="518"/>
      <c r="I60" s="518"/>
      <c r="J60" s="518"/>
      <c r="K60" s="518"/>
      <c r="L60" s="518"/>
      <c r="M60" s="519"/>
      <c r="N60" s="518"/>
      <c r="O60" s="519"/>
      <c r="P60" s="2628"/>
      <c r="Q60" s="504"/>
    </row>
    <row r="61" spans="1:29" s="117" customFormat="1" ht="14.4">
      <c r="A61" s="521" t="s">
        <v>2545</v>
      </c>
      <c r="B61" s="510"/>
      <c r="C61" s="522" t="s">
        <v>2647</v>
      </c>
      <c r="D61" s="523"/>
      <c r="E61" s="523"/>
      <c r="F61" s="523"/>
      <c r="G61" s="523"/>
      <c r="H61" s="523"/>
      <c r="I61" s="523"/>
      <c r="J61" s="523"/>
      <c r="K61" s="523"/>
      <c r="L61" s="524"/>
      <c r="M61" s="525"/>
      <c r="N61" s="1151"/>
      <c r="O61" s="1151"/>
      <c r="P61" s="2629"/>
      <c r="Q61" s="504"/>
    </row>
    <row r="62" spans="1:29" s="117" customFormat="1" ht="14.4" thickBot="1">
      <c r="A62" s="521"/>
      <c r="B62" s="510"/>
      <c r="C62" s="511">
        <v>100</v>
      </c>
      <c r="D62" s="512"/>
      <c r="E62" s="512"/>
      <c r="F62" s="512"/>
      <c r="G62" s="512"/>
      <c r="H62" s="512"/>
      <c r="I62" s="512"/>
      <c r="J62" s="512"/>
      <c r="K62" s="512"/>
      <c r="L62" s="512"/>
      <c r="M62" s="514"/>
      <c r="N62" s="1151"/>
      <c r="O62" s="1151"/>
      <c r="P62" s="2628"/>
      <c r="Q62" s="504"/>
    </row>
    <row r="63" spans="1:29" ht="14.4">
      <c r="A63" s="527" t="s">
        <v>2583</v>
      </c>
      <c r="B63" s="528" t="s">
        <v>2549</v>
      </c>
      <c r="C63" s="529">
        <f>C9</f>
        <v>0</v>
      </c>
      <c r="D63" s="530"/>
      <c r="E63" s="530"/>
      <c r="F63" s="530"/>
      <c r="G63" s="530"/>
      <c r="H63" s="530"/>
      <c r="I63" s="530"/>
      <c r="J63" s="530"/>
      <c r="K63" s="531"/>
      <c r="L63" s="532"/>
      <c r="M63" s="533"/>
      <c r="N63" s="1152"/>
      <c r="O63" s="1152"/>
      <c r="P63" s="2630"/>
      <c r="Q63" s="504"/>
    </row>
    <row r="64" spans="1:29" ht="14.4" thickBot="1">
      <c r="A64" s="534"/>
      <c r="B64" s="535"/>
      <c r="C64" s="536">
        <v>100</v>
      </c>
      <c r="D64" s="536"/>
      <c r="E64" s="536"/>
      <c r="F64" s="536"/>
      <c r="G64" s="536"/>
      <c r="H64" s="536"/>
      <c r="I64" s="536"/>
      <c r="J64" s="536"/>
      <c r="K64" s="536"/>
      <c r="L64" s="536"/>
      <c r="M64" s="537"/>
      <c r="N64" s="1153"/>
      <c r="O64" s="1153"/>
      <c r="P64" s="2630"/>
      <c r="Q64" s="504"/>
    </row>
    <row r="65" spans="1:17" ht="29.4"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0"/>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c r="A68" s="534"/>
      <c r="B68" s="548"/>
      <c r="C68" s="549"/>
      <c r="D68" s="549"/>
      <c r="E68" s="549"/>
      <c r="F68" s="549"/>
      <c r="G68" s="549"/>
      <c r="H68" s="549"/>
      <c r="I68" s="549"/>
      <c r="J68" s="549"/>
      <c r="K68" s="550"/>
      <c r="L68" s="551"/>
      <c r="M68" s="552"/>
      <c r="N68" s="1152"/>
      <c r="O68" s="1152"/>
      <c r="P68" s="2630"/>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4.4" thickTop="1">
      <c r="A70" s="553"/>
      <c r="B70" s="538">
        <f>B12</f>
        <v>111</v>
      </c>
      <c r="C70" s="554"/>
      <c r="D70" s="554"/>
      <c r="E70" s="554"/>
      <c r="F70" s="554"/>
      <c r="G70" s="554"/>
      <c r="H70" s="555"/>
      <c r="I70" s="555"/>
      <c r="J70" s="555"/>
      <c r="K70" s="555"/>
      <c r="L70" s="556"/>
      <c r="M70" s="557"/>
      <c r="N70" s="1154"/>
      <c r="O70" s="1154"/>
      <c r="P70" s="2631"/>
      <c r="Q70" s="559"/>
    </row>
    <row r="71" spans="1:17" s="471" customFormat="1" ht="14.4" thickBot="1">
      <c r="A71" s="553"/>
      <c r="B71" s="543"/>
      <c r="C71" s="560"/>
      <c r="D71" s="536"/>
      <c r="E71" s="536"/>
      <c r="F71" s="536"/>
      <c r="G71" s="536"/>
      <c r="H71" s="536"/>
      <c r="I71" s="536"/>
      <c r="J71" s="536"/>
      <c r="K71" s="536"/>
      <c r="L71" s="536"/>
      <c r="M71" s="537"/>
      <c r="N71" s="1153"/>
      <c r="O71" s="1153"/>
      <c r="P71" s="2631"/>
      <c r="Q71" s="559"/>
    </row>
    <row r="72" spans="1:17" s="471" customFormat="1" ht="14.4" thickTop="1">
      <c r="A72" s="553"/>
      <c r="B72" s="538">
        <f>B13</f>
        <v>111</v>
      </c>
      <c r="C72" s="554"/>
      <c r="D72" s="554"/>
      <c r="E72" s="554"/>
      <c r="F72" s="554"/>
      <c r="G72" s="554"/>
      <c r="H72" s="555"/>
      <c r="I72" s="555"/>
      <c r="J72" s="555"/>
      <c r="K72" s="555"/>
      <c r="L72" s="556"/>
      <c r="M72" s="557"/>
      <c r="N72" s="1154"/>
      <c r="O72" s="1154"/>
      <c r="P72" s="2632"/>
      <c r="Q72" s="561"/>
    </row>
    <row r="73" spans="1:17" s="471" customFormat="1" ht="14.4" thickBot="1">
      <c r="A73" s="553"/>
      <c r="B73" s="543"/>
      <c r="C73" s="560"/>
      <c r="D73" s="536"/>
      <c r="E73" s="536"/>
      <c r="F73" s="536"/>
      <c r="G73" s="560"/>
      <c r="H73" s="562"/>
      <c r="I73" s="562"/>
      <c r="J73" s="562"/>
      <c r="K73" s="562"/>
      <c r="L73" s="562"/>
      <c r="M73" s="563"/>
      <c r="N73" s="1154"/>
      <c r="O73" s="1154"/>
      <c r="P73" s="2631"/>
      <c r="Q73" s="559"/>
    </row>
    <row r="74" spans="1:17" s="471" customFormat="1" ht="14.4" thickTop="1">
      <c r="A74" s="553"/>
      <c r="B74" s="546">
        <f>B14</f>
        <v>111</v>
      </c>
      <c r="C74" s="554"/>
      <c r="D74" s="554"/>
      <c r="E74" s="554"/>
      <c r="F74" s="554"/>
      <c r="G74" s="523"/>
      <c r="H74" s="564"/>
      <c r="I74" s="564"/>
      <c r="J74" s="564"/>
      <c r="K74" s="564"/>
      <c r="L74" s="565"/>
      <c r="M74" s="566"/>
      <c r="N74" s="1154"/>
      <c r="O74" s="1154"/>
      <c r="P74" s="2633"/>
      <c r="Q74" s="559"/>
    </row>
    <row r="75" spans="1:17" s="471" customFormat="1" ht="14.4" thickBot="1">
      <c r="A75" s="568"/>
      <c r="B75" s="569"/>
      <c r="C75" s="570"/>
      <c r="D75" s="570"/>
      <c r="E75" s="570"/>
      <c r="F75" s="570"/>
      <c r="G75" s="570"/>
      <c r="H75" s="571"/>
      <c r="I75" s="571"/>
      <c r="J75" s="571"/>
      <c r="K75" s="571"/>
      <c r="L75" s="571"/>
      <c r="M75" s="572"/>
      <c r="N75" s="1154"/>
      <c r="O75" s="1154"/>
      <c r="P75" s="2631"/>
      <c r="Q75" s="559"/>
    </row>
    <row r="76" spans="1:17" ht="14.4">
      <c r="A76" s="527" t="s">
        <v>2554</v>
      </c>
      <c r="B76" s="528" t="s">
        <v>2591</v>
      </c>
      <c r="C76" s="573" t="s">
        <v>2592</v>
      </c>
      <c r="D76" s="573" t="s">
        <v>2593</v>
      </c>
      <c r="E76" s="573" t="s">
        <v>2594</v>
      </c>
      <c r="F76" s="573" t="s">
        <v>2595</v>
      </c>
      <c r="G76" s="573" t="s">
        <v>2596</v>
      </c>
      <c r="H76" s="529"/>
      <c r="I76" s="529"/>
      <c r="J76" s="529"/>
      <c r="K76" s="574"/>
      <c r="L76" s="575"/>
      <c r="M76" s="576"/>
      <c r="N76" s="1152"/>
      <c r="O76" s="1152"/>
      <c r="P76" s="263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 thickTop="1">
      <c r="A78" s="534"/>
      <c r="B78" s="538" t="s">
        <v>2597</v>
      </c>
      <c r="C78" s="578" t="s">
        <v>2592</v>
      </c>
      <c r="D78" s="578" t="s">
        <v>2593</v>
      </c>
      <c r="E78" s="578" t="s">
        <v>2594</v>
      </c>
      <c r="F78" s="578" t="s">
        <v>2595</v>
      </c>
      <c r="G78" s="578" t="s">
        <v>2596</v>
      </c>
      <c r="H78" s="539"/>
      <c r="I78" s="539"/>
      <c r="J78" s="539"/>
      <c r="K78" s="540"/>
      <c r="L78" s="541"/>
      <c r="M78" s="542"/>
      <c r="N78" s="1152"/>
      <c r="O78" s="1152"/>
      <c r="P78" s="263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 thickTop="1">
      <c r="A80" s="534"/>
      <c r="B80" s="538" t="s">
        <v>2598</v>
      </c>
      <c r="C80" s="578" t="s">
        <v>2592</v>
      </c>
      <c r="D80" s="578" t="s">
        <v>2593</v>
      </c>
      <c r="E80" s="578" t="s">
        <v>2594</v>
      </c>
      <c r="F80" s="578" t="s">
        <v>2595</v>
      </c>
      <c r="G80" s="578" t="s">
        <v>2596</v>
      </c>
      <c r="H80" s="539"/>
      <c r="I80" s="539"/>
      <c r="J80" s="539"/>
      <c r="K80" s="540"/>
      <c r="L80" s="541"/>
      <c r="M80" s="542"/>
      <c r="N80" s="1152"/>
      <c r="O80" s="1152"/>
      <c r="P80" s="263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 thickTop="1">
      <c r="A82" s="534"/>
      <c r="B82" s="546" t="s">
        <v>2650</v>
      </c>
      <c r="C82" s="660" t="s">
        <v>2670</v>
      </c>
      <c r="D82" s="660" t="s">
        <v>2671</v>
      </c>
      <c r="E82" s="660" t="s">
        <v>2672</v>
      </c>
      <c r="F82" s="660" t="s">
        <v>2673</v>
      </c>
      <c r="G82" s="660" t="s">
        <v>2674</v>
      </c>
      <c r="H82" s="539"/>
      <c r="I82" s="539"/>
      <c r="J82" s="539"/>
      <c r="K82" s="539"/>
      <c r="L82" s="539"/>
      <c r="M82" s="1381"/>
      <c r="N82" s="1153"/>
      <c r="O82" s="1153"/>
      <c r="P82" s="2630"/>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 thickTop="1">
      <c r="A84" s="534"/>
      <c r="B84" s="538" t="s">
        <v>2604</v>
      </c>
      <c r="C84" s="578" t="s">
        <v>2592</v>
      </c>
      <c r="D84" s="578" t="s">
        <v>2593</v>
      </c>
      <c r="E84" s="578" t="s">
        <v>2594</v>
      </c>
      <c r="F84" s="578" t="s">
        <v>2595</v>
      </c>
      <c r="G84" s="578" t="s">
        <v>2596</v>
      </c>
      <c r="H84" s="539"/>
      <c r="I84" s="539"/>
      <c r="J84" s="539"/>
      <c r="K84" s="540"/>
      <c r="L84" s="541"/>
      <c r="M84" s="542"/>
      <c r="N84" s="1152"/>
      <c r="O84" s="1152"/>
      <c r="P84" s="263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 thickTop="1">
      <c r="A86" s="579"/>
      <c r="B86" s="538" t="s">
        <v>2675</v>
      </c>
      <c r="C86" s="554"/>
      <c r="D86" s="554"/>
      <c r="E86" s="554"/>
      <c r="F86" s="554"/>
      <c r="G86" s="554"/>
      <c r="H86" s="554"/>
      <c r="I86" s="554"/>
      <c r="J86" s="554"/>
      <c r="K86" s="554"/>
      <c r="L86" s="580"/>
      <c r="M86" s="581"/>
      <c r="N86" s="1151"/>
      <c r="O86" s="1151"/>
      <c r="P86" s="2630"/>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4.4"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4.4" thickBot="1">
      <c r="A89" s="579"/>
      <c r="B89" s="543"/>
      <c r="C89" s="560"/>
      <c r="D89" s="536"/>
      <c r="E89" s="536"/>
      <c r="F89" s="536"/>
      <c r="G89" s="536"/>
      <c r="H89" s="536"/>
      <c r="I89" s="536"/>
      <c r="J89" s="536"/>
      <c r="K89" s="536"/>
      <c r="L89" s="536"/>
      <c r="M89" s="536"/>
      <c r="N89" s="1153"/>
      <c r="O89" s="1153"/>
      <c r="P89" s="2630"/>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4.4" thickTop="1">
      <c r="A92" s="534"/>
      <c r="B92" s="538" t="str">
        <f>B28</f>
        <v>楼层</v>
      </c>
      <c r="C92" s="554"/>
      <c r="D92" s="554"/>
      <c r="E92" s="554"/>
      <c r="F92" s="554"/>
      <c r="G92" s="554"/>
      <c r="H92" s="554"/>
      <c r="I92" s="554"/>
      <c r="J92" s="554"/>
      <c r="K92" s="554"/>
      <c r="L92" s="580"/>
      <c r="M92" s="581"/>
      <c r="N92" s="1152"/>
      <c r="O92" s="1152"/>
      <c r="P92" s="2630"/>
      <c r="Q92" s="504"/>
    </row>
    <row r="93" spans="1:17" ht="14.4" thickBot="1">
      <c r="A93" s="534"/>
      <c r="B93" s="543"/>
      <c r="C93" s="536"/>
      <c r="D93" s="536"/>
      <c r="E93" s="536"/>
      <c r="F93" s="536"/>
      <c r="G93" s="536"/>
      <c r="H93" s="536"/>
      <c r="I93" s="536"/>
      <c r="J93" s="536"/>
      <c r="K93" s="536"/>
      <c r="L93" s="536"/>
      <c r="M93" s="537"/>
      <c r="N93" s="1153"/>
      <c r="O93" s="1153"/>
      <c r="P93" s="2630"/>
      <c r="Q93" s="504"/>
    </row>
    <row r="94" spans="1:17" ht="14.4" thickTop="1">
      <c r="A94" s="534"/>
      <c r="B94" s="538">
        <f>B29</f>
        <v>111</v>
      </c>
      <c r="C94" s="554"/>
      <c r="D94" s="554"/>
      <c r="E94" s="554"/>
      <c r="F94" s="554"/>
      <c r="G94" s="583"/>
      <c r="H94" s="583"/>
      <c r="I94" s="583"/>
      <c r="J94" s="583"/>
      <c r="K94" s="584"/>
      <c r="L94" s="585"/>
      <c r="M94" s="586"/>
      <c r="N94" s="1152"/>
      <c r="O94" s="1152"/>
      <c r="P94" s="2630"/>
      <c r="Q94" s="504"/>
    </row>
    <row r="95" spans="1:17" ht="14.4" thickBot="1">
      <c r="A95" s="534"/>
      <c r="B95" s="543"/>
      <c r="C95" s="560"/>
      <c r="D95" s="536"/>
      <c r="E95" s="536"/>
      <c r="F95" s="536"/>
      <c r="G95" s="536"/>
      <c r="H95" s="536"/>
      <c r="I95" s="536"/>
      <c r="J95" s="536"/>
      <c r="K95" s="536"/>
      <c r="L95" s="536"/>
      <c r="M95" s="537"/>
      <c r="N95" s="1153"/>
      <c r="O95" s="1153"/>
      <c r="P95" s="2630"/>
      <c r="Q95" s="504"/>
    </row>
    <row r="96" spans="1:17" ht="14.4" thickTop="1">
      <c r="A96" s="534"/>
      <c r="B96" s="538">
        <f>B30</f>
        <v>111</v>
      </c>
      <c r="C96" s="554"/>
      <c r="D96" s="554"/>
      <c r="E96" s="554"/>
      <c r="F96" s="554"/>
      <c r="G96" s="583"/>
      <c r="H96" s="583"/>
      <c r="I96" s="583"/>
      <c r="J96" s="583"/>
      <c r="K96" s="584"/>
      <c r="L96" s="585"/>
      <c r="M96" s="586"/>
      <c r="N96" s="1152"/>
      <c r="O96" s="1152"/>
      <c r="P96" s="2630"/>
      <c r="Q96" s="504"/>
    </row>
    <row r="97" spans="1:17" ht="14.4" thickBot="1">
      <c r="A97" s="534"/>
      <c r="B97" s="543"/>
      <c r="C97" s="560"/>
      <c r="D97" s="536"/>
      <c r="E97" s="536"/>
      <c r="F97" s="536"/>
      <c r="G97" s="536"/>
      <c r="H97" s="536"/>
      <c r="I97" s="536"/>
      <c r="J97" s="536"/>
      <c r="K97" s="536"/>
      <c r="L97" s="536"/>
      <c r="M97" s="537"/>
      <c r="N97" s="1153"/>
      <c r="O97" s="1153"/>
      <c r="P97" s="2630"/>
      <c r="Q97" s="504"/>
    </row>
    <row r="98" spans="1:17" ht="14.4" thickTop="1">
      <c r="A98" s="534"/>
      <c r="B98" s="546">
        <f>B31</f>
        <v>111</v>
      </c>
      <c r="C98" s="554"/>
      <c r="D98" s="554"/>
      <c r="E98" s="554"/>
      <c r="F98" s="554"/>
      <c r="G98" s="587"/>
      <c r="H98" s="587"/>
      <c r="I98" s="587"/>
      <c r="J98" s="587"/>
      <c r="K98" s="588"/>
      <c r="L98" s="589"/>
      <c r="M98" s="590"/>
      <c r="N98" s="1152"/>
      <c r="O98" s="1152"/>
      <c r="P98" s="2630"/>
      <c r="Q98" s="504"/>
    </row>
    <row r="99" spans="1:17" ht="14.4" thickBot="1">
      <c r="A99" s="2636"/>
      <c r="B99" s="569"/>
      <c r="C99" s="570"/>
      <c r="D99" s="570"/>
      <c r="E99" s="570"/>
      <c r="F99" s="570"/>
      <c r="G99" s="591"/>
      <c r="H99" s="591"/>
      <c r="I99" s="591"/>
      <c r="J99" s="591"/>
      <c r="K99" s="591"/>
      <c r="L99" s="591"/>
      <c r="M99" s="592"/>
      <c r="N99" s="1153"/>
      <c r="O99" s="1153"/>
      <c r="P99" s="2630"/>
      <c r="Q99" s="504"/>
    </row>
    <row r="100" spans="1:17" ht="14.4">
      <c r="A100" s="527" t="s">
        <v>2558</v>
      </c>
      <c r="B100" s="528" t="s">
        <v>2676</v>
      </c>
      <c r="C100" s="530"/>
      <c r="D100" s="530"/>
      <c r="E100" s="530"/>
      <c r="F100" s="530"/>
      <c r="G100" s="530"/>
      <c r="H100" s="530"/>
      <c r="I100" s="530"/>
      <c r="J100" s="530"/>
      <c r="K100" s="531"/>
      <c r="L100" s="532"/>
      <c r="M100" s="533"/>
      <c r="N100" s="1152"/>
      <c r="O100" s="1152"/>
      <c r="P100" s="2630"/>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2609</v>
      </c>
      <c r="C105" s="554"/>
      <c r="D105" s="554"/>
      <c r="E105" s="583"/>
      <c r="F105" s="583"/>
      <c r="G105" s="583"/>
      <c r="H105" s="583"/>
      <c r="I105" s="583"/>
      <c r="J105" s="583"/>
      <c r="K105" s="584"/>
      <c r="L105" s="585"/>
      <c r="M105" s="586"/>
      <c r="N105" s="1152"/>
      <c r="O105" s="1152"/>
      <c r="P105" s="2630"/>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2611</v>
      </c>
      <c r="C107" s="554"/>
      <c r="D107" s="554"/>
      <c r="E107" s="554"/>
      <c r="F107" s="583"/>
      <c r="G107" s="583"/>
      <c r="H107" s="583"/>
      <c r="I107" s="583"/>
      <c r="J107" s="583"/>
      <c r="K107" s="584"/>
      <c r="L107" s="585"/>
      <c r="M107" s="586"/>
      <c r="N107" s="1152"/>
      <c r="O107" s="1152"/>
      <c r="P107" s="2630"/>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2613</v>
      </c>
      <c r="C112" s="554"/>
      <c r="D112" s="554"/>
      <c r="E112" s="554"/>
      <c r="F112" s="554"/>
      <c r="G112" s="554"/>
      <c r="H112" s="583"/>
      <c r="I112" s="583"/>
      <c r="J112" s="583"/>
      <c r="K112" s="584"/>
      <c r="L112" s="585"/>
      <c r="M112" s="586"/>
      <c r="N112" s="1154"/>
      <c r="O112" s="1154"/>
      <c r="P112" s="2631"/>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2677</v>
      </c>
      <c r="C114" s="554"/>
      <c r="D114" s="554"/>
      <c r="E114" s="583"/>
      <c r="F114" s="583"/>
      <c r="G114" s="583"/>
      <c r="H114" s="583"/>
      <c r="I114" s="583"/>
      <c r="J114" s="583"/>
      <c r="K114" s="584"/>
      <c r="L114" s="585"/>
      <c r="M114" s="586"/>
      <c r="N114" s="1152"/>
      <c r="O114" s="1152"/>
      <c r="P114" s="2630"/>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2678</v>
      </c>
      <c r="C116" s="554"/>
      <c r="D116" s="554"/>
      <c r="E116" s="554"/>
      <c r="F116" s="554"/>
      <c r="G116" s="554"/>
      <c r="H116" s="583"/>
      <c r="I116" s="583"/>
      <c r="J116" s="583"/>
      <c r="K116" s="584"/>
      <c r="L116" s="585"/>
      <c r="M116" s="586"/>
      <c r="N116" s="1152"/>
      <c r="O116" s="1152"/>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2679</v>
      </c>
      <c r="C118" s="627"/>
      <c r="D118" s="627"/>
      <c r="E118" s="627"/>
      <c r="F118" s="627"/>
      <c r="G118" s="627"/>
      <c r="H118" s="555"/>
      <c r="I118" s="555"/>
      <c r="J118" s="555"/>
      <c r="K118" s="555"/>
      <c r="L118" s="556"/>
      <c r="M118" s="557"/>
      <c r="N118" s="1152"/>
      <c r="O118" s="1152"/>
      <c r="P118" s="2630"/>
      <c r="Q118" s="504"/>
    </row>
    <row r="119" spans="1:17" ht="14.4"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31"/>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2615</v>
      </c>
      <c r="C122" s="554"/>
      <c r="D122" s="554"/>
      <c r="E122" s="554"/>
      <c r="F122" s="583"/>
      <c r="G122" s="583"/>
      <c r="H122" s="583"/>
      <c r="I122" s="583"/>
      <c r="J122" s="583"/>
      <c r="K122" s="584"/>
      <c r="L122" s="585"/>
      <c r="M122" s="586"/>
      <c r="N122" s="1152"/>
      <c r="O122" s="1152"/>
      <c r="P122" s="2630"/>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29.4"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1"/>
      <c r="Q127" s="559"/>
    </row>
    <row r="128" spans="1:17" ht="14.4" thickTop="1">
      <c r="A128" s="599"/>
      <c r="B128" s="538">
        <f>B45</f>
        <v>111</v>
      </c>
      <c r="C128" s="554"/>
      <c r="D128" s="554"/>
      <c r="E128" s="554"/>
      <c r="F128" s="554"/>
      <c r="G128" s="583"/>
      <c r="H128" s="583"/>
      <c r="I128" s="583"/>
      <c r="J128" s="583"/>
      <c r="K128" s="584"/>
      <c r="L128" s="585"/>
      <c r="M128" s="586"/>
      <c r="N128" s="1152"/>
      <c r="O128" s="1152"/>
      <c r="P128" s="2630"/>
      <c r="Q128" s="504"/>
    </row>
    <row r="129" spans="1:17" ht="14.4" thickBot="1">
      <c r="A129" s="534"/>
      <c r="B129" s="543"/>
      <c r="C129" s="560"/>
      <c r="D129" s="536"/>
      <c r="E129" s="536"/>
      <c r="F129" s="536"/>
      <c r="G129" s="536"/>
      <c r="H129" s="536"/>
      <c r="I129" s="536"/>
      <c r="J129" s="536"/>
      <c r="K129" s="536"/>
      <c r="L129" s="536"/>
      <c r="M129" s="537"/>
      <c r="N129" s="1153"/>
      <c r="O129" s="1153"/>
      <c r="P129" s="2630"/>
      <c r="Q129" s="504"/>
    </row>
    <row r="130" spans="1:17" ht="14.4" thickTop="1">
      <c r="A130" s="599"/>
      <c r="B130" s="546">
        <f>B46</f>
        <v>111</v>
      </c>
      <c r="C130" s="554"/>
      <c r="D130" s="554"/>
      <c r="E130" s="554"/>
      <c r="F130" s="554"/>
      <c r="G130" s="587"/>
      <c r="H130" s="587"/>
      <c r="I130" s="587"/>
      <c r="J130" s="587"/>
      <c r="K130" s="523"/>
      <c r="L130" s="524"/>
      <c r="M130" s="590"/>
      <c r="N130" s="1152"/>
      <c r="O130" s="1152"/>
      <c r="P130" s="2630"/>
      <c r="Q130" s="504"/>
    </row>
    <row r="131" spans="1:17" ht="14.4"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1605</v>
      </c>
    </row>
    <row r="2" spans="1:1">
      <c r="A2" s="1944"/>
    </row>
    <row r="3" spans="1:1" ht="17.399999999999999">
      <c r="A3" s="1945" t="str">
        <f>项目基本情况!B5&amp;"："</f>
        <v>：</v>
      </c>
    </row>
    <row r="4" spans="1:1" ht="17.399999999999999">
      <c r="A4" s="1946" t="str">
        <f>"受贵公司委托，我公司对"&amp;项目基本情况!S1&amp;"进行了预评估。"</f>
        <v>受贵公司委托，我公司对北京市房地产抵押价值进行了预评估。</v>
      </c>
    </row>
    <row r="5" spans="1:1" ht="17.399999999999999">
      <c r="A5" s="1947" t="s">
        <v>1606</v>
      </c>
    </row>
    <row r="6" spans="1:1" ht="17.399999999999999">
      <c r="A6" s="1948" t="s">
        <v>1607</v>
      </c>
    </row>
    <row r="7" spans="1:1" ht="52.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估价对象为北京市房地产，为所有。根据《国有土地使用证》[]，估价对象（分摊）出让国有建设用地使用权面积为1587.11平方米，建筑面积为4457.2平方米。</v>
      </c>
    </row>
    <row r="8" spans="1:1" ht="54.6">
      <c r="A8" s="1949" t="s">
        <v>1608</v>
      </c>
    </row>
    <row r="9" spans="1:1" ht="17.399999999999999">
      <c r="A9" s="1948" t="s">
        <v>1609</v>
      </c>
    </row>
    <row r="10" spans="1:1" ht="52.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估价对象为北京市房地产,属开发建设的，该项目尚在开发建设中。根据《国有土地使用证》[]，估价对象（分摊）出让国有建设用地使用权面积为1587.11平方米，规划建筑面积为4457.2平方米。</v>
      </c>
    </row>
    <row r="11" spans="1:1" ht="72">
      <c r="A11" s="1949" t="s">
        <v>1610</v>
      </c>
    </row>
    <row r="12" spans="1:1" ht="17.399999999999999">
      <c r="A12" s="1947" t="s">
        <v>1611</v>
      </c>
    </row>
    <row r="13" spans="1:1" ht="38.25" customHeight="1">
      <c r="A13" s="19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1" t="s">
        <v>1612</v>
      </c>
    </row>
    <row r="15" spans="1:1" ht="17.399999999999999">
      <c r="A15" s="1952" t="str">
        <f>TEXT(项目基本情况!D3,"yyyy年m月d日;;")&amp;IF(项目基本情况!D3=项目基本情况!B3,"（评估专业人员实地查勘之日）","")</f>
        <v>2020年3月25日</v>
      </c>
    </row>
    <row r="16" spans="1:1" ht="17.399999999999999">
      <c r="A16" s="1951" t="s">
        <v>1613</v>
      </c>
    </row>
    <row r="17" spans="1:1" ht="69.599999999999994">
      <c r="A17" s="1946" t="s">
        <v>1614</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1" t="s">
        <v>1603</v>
      </c>
    </row>
    <row r="24" spans="1:1" ht="17.399999999999999">
      <c r="A24" s="1953" t="str">
        <f>"本次评估采用的主估价方法为"&amp;结果表!K4&amp;"和"&amp;结果表!L4&amp;"。"</f>
        <v>本次评估采用的主估价方法为基准地价系数修正法和基准地价系数修正法。</v>
      </c>
    </row>
    <row r="25" spans="1:1" ht="17.399999999999999">
      <c r="A25" s="1953"/>
    </row>
    <row r="26" spans="1:1" ht="17.399999999999999">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2523</v>
      </c>
      <c r="B1" s="2669" t="s">
        <v>2681</v>
      </c>
      <c r="C1" s="1619" t="s">
        <v>2525</v>
      </c>
      <c r="D1" s="1620"/>
      <c r="E1" s="1629"/>
      <c r="F1" s="2585"/>
      <c r="G1" s="1630" t="s">
        <v>2638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2322</v>
      </c>
      <c r="B2" s="1417" t="e">
        <f ca="1">IF(C2="——",ROUND(C50*D3/10000,0),ROUND(C50*D3/10000,0)-D2)</f>
        <v>#DIV/0!</v>
      </c>
      <c r="C2" s="2587"/>
      <c r="D2" s="1364" t="e">
        <f ca="1">SUMIF(INDIRECT("'"&amp;F2&amp;"'"&amp;"!A:A"),"承租人权益价值",INDIRECT("'"&amp;F2&amp;"'"&amp;"!c:c"))</f>
        <v>#REF!</v>
      </c>
      <c r="E2" s="2588" t="s">
        <v>2323</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4457.2</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2640</v>
      </c>
      <c r="B4" s="402"/>
      <c r="C4" s="3214" t="s">
        <v>2641</v>
      </c>
      <c r="D4" s="3215"/>
      <c r="E4" s="3216" t="s">
        <v>2642</v>
      </c>
      <c r="F4" s="3217"/>
      <c r="G4" s="3214" t="s">
        <v>2643</v>
      </c>
      <c r="H4" s="3215"/>
      <c r="I4" s="3214" t="s">
        <v>2644</v>
      </c>
      <c r="J4" s="3215"/>
      <c r="K4" s="610" t="s">
        <v>2645</v>
      </c>
      <c r="L4" s="1130"/>
      <c r="M4" s="1131"/>
      <c r="N4" s="1131"/>
      <c r="O4" s="1131"/>
      <c r="P4" s="3275" t="s">
        <v>2646</v>
      </c>
      <c r="Q4" s="3276"/>
      <c r="R4" s="3270" t="s">
        <v>2642</v>
      </c>
      <c r="S4" s="3271"/>
      <c r="T4" s="3270" t="s">
        <v>2643</v>
      </c>
      <c r="U4" s="3271"/>
      <c r="V4" s="3279" t="s">
        <v>2644</v>
      </c>
      <c r="W4" s="3279"/>
      <c r="X4" s="2670"/>
      <c r="Y4" s="3270" t="s">
        <v>2646</v>
      </c>
      <c r="Z4" s="3271"/>
      <c r="AA4" s="3269" t="s">
        <v>2642</v>
      </c>
      <c r="AB4" s="3269" t="s">
        <v>2643</v>
      </c>
      <c r="AC4" s="3272" t="s">
        <v>2644</v>
      </c>
    </row>
    <row r="5" spans="1:29">
      <c r="A5" s="404"/>
      <c r="B5" s="405"/>
      <c r="C5" s="3207" t="s">
        <v>2537</v>
      </c>
      <c r="D5" s="3208"/>
      <c r="E5" s="3205" t="s">
        <v>2538</v>
      </c>
      <c r="F5" s="3206"/>
      <c r="G5" s="3207" t="s">
        <v>2539</v>
      </c>
      <c r="H5" s="3208"/>
      <c r="I5" s="3207" t="s">
        <v>2540</v>
      </c>
      <c r="J5" s="3208"/>
      <c r="K5" s="610"/>
      <c r="L5" s="1130"/>
      <c r="M5" s="1131"/>
      <c r="N5" s="1131"/>
      <c r="O5" s="1131"/>
      <c r="P5" s="3277"/>
      <c r="Q5" s="3221"/>
      <c r="R5" s="3203"/>
      <c r="S5" s="3204"/>
      <c r="T5" s="3203"/>
      <c r="U5" s="3204"/>
      <c r="V5" s="3226"/>
      <c r="W5" s="3226"/>
      <c r="X5" s="1812"/>
      <c r="Y5" s="3203"/>
      <c r="Z5" s="3204"/>
      <c r="AA5" s="3197"/>
      <c r="AB5" s="3197"/>
      <c r="AC5" s="3273"/>
    </row>
    <row r="6" spans="1:29" ht="15" thickBot="1">
      <c r="A6" s="406"/>
      <c r="B6" s="407"/>
      <c r="C6" s="3209" t="s">
        <v>2541</v>
      </c>
      <c r="D6" s="3210"/>
      <c r="E6" s="3211" t="s">
        <v>2541</v>
      </c>
      <c r="F6" s="3212"/>
      <c r="G6" s="3209" t="s">
        <v>2541</v>
      </c>
      <c r="H6" s="3210"/>
      <c r="I6" s="3209" t="s">
        <v>2541</v>
      </c>
      <c r="J6" s="3210"/>
      <c r="K6" s="610" t="s">
        <v>2542</v>
      </c>
      <c r="L6" s="1130"/>
      <c r="M6" s="1131"/>
      <c r="N6" s="1131"/>
      <c r="O6" s="1131"/>
      <c r="P6" s="3278"/>
      <c r="Q6" s="3223"/>
      <c r="R6" s="3203"/>
      <c r="S6" s="3204"/>
      <c r="T6" s="3224"/>
      <c r="U6" s="3225"/>
      <c r="V6" s="3226"/>
      <c r="W6" s="3226"/>
      <c r="X6" s="1812"/>
      <c r="Y6" s="3224"/>
      <c r="Z6" s="3225"/>
      <c r="AA6" s="3198"/>
      <c r="AB6" s="3198"/>
      <c r="AC6" s="3274"/>
    </row>
    <row r="7" spans="1:29" s="117" customFormat="1" ht="15" thickBot="1">
      <c r="A7" s="408" t="s">
        <v>2543</v>
      </c>
      <c r="B7" s="409"/>
      <c r="C7" s="410">
        <f>'数据-取费表'!B2</f>
        <v>43915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0" t="s">
        <v>2544</v>
      </c>
      <c r="Q7" s="3227"/>
      <c r="R7" s="770" t="s">
        <v>17</v>
      </c>
      <c r="S7" s="771">
        <f t="shared" ref="S7:S15" si="0">F7</f>
        <v>0</v>
      </c>
      <c r="T7" s="770" t="s">
        <v>17</v>
      </c>
      <c r="U7" s="771">
        <f t="shared" ref="U7:U15" si="1">H7</f>
        <v>0</v>
      </c>
      <c r="V7" s="770" t="s">
        <v>17</v>
      </c>
      <c r="W7" s="771">
        <f t="shared" ref="W7:W15" si="2">J7</f>
        <v>0</v>
      </c>
      <c r="X7" s="772"/>
      <c r="Y7" s="3199" t="s">
        <v>2544</v>
      </c>
      <c r="Z7" s="3200"/>
      <c r="AA7" s="773" t="e">
        <f>D7/F7</f>
        <v>#DIV/0!</v>
      </c>
      <c r="AB7" s="773" t="e">
        <f>D7/H7</f>
        <v>#DIV/0!</v>
      </c>
      <c r="AC7" s="2671" t="e">
        <f>D7/J7</f>
        <v>#DIV/0!</v>
      </c>
    </row>
    <row r="8" spans="1:29" s="117" customFormat="1" ht="1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0" t="s">
        <v>2547</v>
      </c>
      <c r="Q8" s="3200"/>
      <c r="R8" s="770" t="s">
        <v>17</v>
      </c>
      <c r="S8" s="771">
        <f t="shared" si="0"/>
        <v>0</v>
      </c>
      <c r="T8" s="770" t="s">
        <v>17</v>
      </c>
      <c r="U8" s="771">
        <f t="shared" si="1"/>
        <v>0</v>
      </c>
      <c r="V8" s="770" t="s">
        <v>17</v>
      </c>
      <c r="W8" s="771">
        <f t="shared" si="2"/>
        <v>0</v>
      </c>
      <c r="X8" s="772"/>
      <c r="Y8" s="3199" t="s">
        <v>2547</v>
      </c>
      <c r="Z8" s="3200"/>
      <c r="AA8" s="773" t="e">
        <f t="shared" ref="AA8:AA47" si="3">D8/F8</f>
        <v>#DIV/0!</v>
      </c>
      <c r="AB8" s="773" t="e">
        <f t="shared" ref="AB8:AB47" si="4">D8/H8</f>
        <v>#DIV/0!</v>
      </c>
      <c r="AC8" s="2671" t="e">
        <f t="shared" ref="AC8:AC47" si="5">D8/J8</f>
        <v>#DIV/0!</v>
      </c>
    </row>
    <row r="9" spans="1:29" s="117" customFormat="1" ht="14.4">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3" t="s">
        <v>2550</v>
      </c>
      <c r="Q9" s="1794" t="str">
        <f t="shared" ref="Q9:Q15" si="6">B9</f>
        <v>用途</v>
      </c>
      <c r="R9" s="770" t="s">
        <v>17</v>
      </c>
      <c r="S9" s="771">
        <f t="shared" si="0"/>
        <v>100</v>
      </c>
      <c r="T9" s="770" t="s">
        <v>17</v>
      </c>
      <c r="U9" s="771">
        <f t="shared" si="1"/>
        <v>100</v>
      </c>
      <c r="V9" s="770" t="s">
        <v>17</v>
      </c>
      <c r="W9" s="771">
        <f t="shared" si="2"/>
        <v>100</v>
      </c>
      <c r="X9" s="772"/>
      <c r="Y9" s="3050" t="s">
        <v>2551</v>
      </c>
      <c r="Z9" s="55" t="str">
        <f t="shared" ref="Z9:Z15" si="7">Q9</f>
        <v>用途</v>
      </c>
      <c r="AA9" s="773">
        <f t="shared" si="3"/>
        <v>1</v>
      </c>
      <c r="AB9" s="773">
        <f t="shared" si="4"/>
        <v>1</v>
      </c>
      <c r="AC9" s="2671">
        <f t="shared" si="5"/>
        <v>1</v>
      </c>
    </row>
    <row r="10" spans="1:29" s="427" customFormat="1" ht="28.8">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3"/>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2671">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3"/>
      <c r="Q11" s="1794"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13"/>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13"/>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2671">
        <f t="shared" si="5"/>
        <v>1</v>
      </c>
    </row>
    <row r="14" spans="1:29" ht="15.6"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13"/>
      <c r="Q14" s="1794">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2671">
        <f t="shared" si="5"/>
        <v>1</v>
      </c>
    </row>
    <row r="15" spans="1:29" ht="69">
      <c r="A15" s="440" t="s">
        <v>2554</v>
      </c>
      <c r="B15" s="629" t="s">
        <v>2682</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0" t="s">
        <v>2555</v>
      </c>
      <c r="Q15" s="1809" t="str">
        <f t="shared" si="6"/>
        <v>办公集聚程度</v>
      </c>
      <c r="R15" s="774" t="s">
        <v>17</v>
      </c>
      <c r="S15" s="775">
        <f t="shared" si="0"/>
        <v>100</v>
      </c>
      <c r="T15" s="774" t="s">
        <v>17</v>
      </c>
      <c r="U15" s="775">
        <f t="shared" si="1"/>
        <v>100</v>
      </c>
      <c r="V15" s="774" t="s">
        <v>17</v>
      </c>
      <c r="W15" s="775">
        <f t="shared" si="2"/>
        <v>100</v>
      </c>
      <c r="X15" s="1812"/>
      <c r="Y15" s="3233" t="s">
        <v>2555</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40"/>
      <c r="M16" s="1131"/>
      <c r="N16" s="1131"/>
      <c r="O16" s="1131"/>
      <c r="P16" s="3241"/>
      <c r="Q16" s="1809"/>
      <c r="R16" s="774"/>
      <c r="S16" s="775"/>
      <c r="T16" s="774"/>
      <c r="U16" s="775"/>
      <c r="V16" s="774"/>
      <c r="W16" s="775"/>
      <c r="X16" s="1812"/>
      <c r="Y16" s="3234"/>
      <c r="Z16" s="1813"/>
      <c r="AA16" s="1810">
        <v>1</v>
      </c>
      <c r="AB16" s="1810">
        <v>1</v>
      </c>
      <c r="AC16" s="2674">
        <v>1</v>
      </c>
    </row>
    <row r="17" spans="1:29" ht="82.8">
      <c r="A17" s="428"/>
      <c r="B17" s="631" t="s">
        <v>2095</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1"/>
      <c r="Q17" s="1809" t="str">
        <f>B17</f>
        <v>交通便捷度</v>
      </c>
      <c r="R17" s="774" t="s">
        <v>17</v>
      </c>
      <c r="S17" s="775">
        <f>F17</f>
        <v>100</v>
      </c>
      <c r="T17" s="774" t="s">
        <v>17</v>
      </c>
      <c r="U17" s="775">
        <f>H17</f>
        <v>100</v>
      </c>
      <c r="V17" s="774" t="s">
        <v>17</v>
      </c>
      <c r="W17" s="775">
        <f>J17</f>
        <v>100</v>
      </c>
      <c r="X17" s="1812"/>
      <c r="Y17" s="3234"/>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40"/>
      <c r="M18" s="1131"/>
      <c r="N18" s="1131"/>
      <c r="O18" s="1131"/>
      <c r="P18" s="3241"/>
      <c r="Q18" s="1809"/>
      <c r="R18" s="774"/>
      <c r="S18" s="775"/>
      <c r="T18" s="774"/>
      <c r="U18" s="775"/>
      <c r="V18" s="774"/>
      <c r="W18" s="775"/>
      <c r="X18" s="1812"/>
      <c r="Y18" s="3234"/>
      <c r="Z18" s="1813"/>
      <c r="AA18" s="1810">
        <v>1</v>
      </c>
      <c r="AB18" s="1810">
        <v>1</v>
      </c>
      <c r="AC18" s="2674">
        <v>1</v>
      </c>
    </row>
    <row r="19" spans="1:29" ht="41.4">
      <c r="A19" s="428"/>
      <c r="B19" s="631" t="s">
        <v>2683</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1"/>
      <c r="Q19" s="1809" t="str">
        <f>B19</f>
        <v>公共配套设施</v>
      </c>
      <c r="R19" s="774" t="s">
        <v>17</v>
      </c>
      <c r="S19" s="775">
        <f>F19</f>
        <v>100</v>
      </c>
      <c r="T19" s="774" t="s">
        <v>17</v>
      </c>
      <c r="U19" s="775">
        <f>H19</f>
        <v>100</v>
      </c>
      <c r="V19" s="774" t="s">
        <v>17</v>
      </c>
      <c r="W19" s="775">
        <f>J19</f>
        <v>100</v>
      </c>
      <c r="X19" s="1812"/>
      <c r="Y19" s="3234"/>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40"/>
      <c r="M20" s="1131"/>
      <c r="N20" s="1131"/>
      <c r="O20" s="1131"/>
      <c r="P20" s="3241"/>
      <c r="Q20" s="1809"/>
      <c r="R20" s="774"/>
      <c r="S20" s="775"/>
      <c r="T20" s="774"/>
      <c r="U20" s="775"/>
      <c r="V20" s="774"/>
      <c r="W20" s="775"/>
      <c r="X20" s="1812"/>
      <c r="Y20" s="3234"/>
      <c r="Z20" s="1813"/>
      <c r="AA20" s="1810">
        <v>1</v>
      </c>
      <c r="AB20" s="1810">
        <v>1</v>
      </c>
      <c r="AC20" s="2674">
        <v>1</v>
      </c>
    </row>
    <row r="21" spans="1:29" ht="27.6">
      <c r="A21" s="428"/>
      <c r="B21" s="633" t="s">
        <v>2684</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1"/>
      <c r="Q21" s="1809" t="str">
        <f>B21</f>
        <v>基础设施水平</v>
      </c>
      <c r="R21" s="774" t="s">
        <v>17</v>
      </c>
      <c r="S21" s="775">
        <f>F21</f>
        <v>100</v>
      </c>
      <c r="T21" s="774" t="s">
        <v>17</v>
      </c>
      <c r="U21" s="775">
        <f>H21</f>
        <v>100</v>
      </c>
      <c r="V21" s="774" t="s">
        <v>17</v>
      </c>
      <c r="W21" s="775">
        <f>J21</f>
        <v>100</v>
      </c>
      <c r="X21" s="1812"/>
      <c r="Y21" s="3234"/>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2"/>
      <c r="L22" s="1140"/>
      <c r="M22" s="1131"/>
      <c r="N22" s="1131"/>
      <c r="O22" s="1131"/>
      <c r="P22" s="3241"/>
      <c r="Q22" s="1809"/>
      <c r="R22" s="774"/>
      <c r="S22" s="775"/>
      <c r="T22" s="774"/>
      <c r="U22" s="775"/>
      <c r="V22" s="774"/>
      <c r="W22" s="775"/>
      <c r="X22" s="1812"/>
      <c r="Y22" s="3234"/>
      <c r="Z22" s="1813"/>
      <c r="AA22" s="1810">
        <v>1</v>
      </c>
      <c r="AB22" s="1810">
        <v>1</v>
      </c>
      <c r="AC22" s="2674">
        <v>1</v>
      </c>
    </row>
    <row r="23" spans="1:29" ht="55.2">
      <c r="A23" s="428"/>
      <c r="B23" s="631" t="s">
        <v>2685</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1"/>
      <c r="Q23" s="1809" t="str">
        <f>B23</f>
        <v>环境质量</v>
      </c>
      <c r="R23" s="774" t="s">
        <v>17</v>
      </c>
      <c r="S23" s="775">
        <f>F23</f>
        <v>100</v>
      </c>
      <c r="T23" s="774" t="s">
        <v>17</v>
      </c>
      <c r="U23" s="775">
        <f>H23</f>
        <v>100</v>
      </c>
      <c r="V23" s="774" t="s">
        <v>17</v>
      </c>
      <c r="W23" s="775">
        <f>J23</f>
        <v>100</v>
      </c>
      <c r="X23" s="1812"/>
      <c r="Y23" s="3234"/>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40"/>
      <c r="M24" s="1131"/>
      <c r="N24" s="1131"/>
      <c r="O24" s="1131"/>
      <c r="P24" s="3241"/>
      <c r="Q24" s="1809"/>
      <c r="R24" s="774"/>
      <c r="S24" s="775"/>
      <c r="T24" s="774"/>
      <c r="U24" s="775"/>
      <c r="V24" s="774"/>
      <c r="W24" s="775"/>
      <c r="X24" s="1812"/>
      <c r="Y24" s="3234"/>
      <c r="Z24" s="1813"/>
      <c r="AA24" s="1810">
        <v>1</v>
      </c>
      <c r="AB24" s="1810">
        <v>1</v>
      </c>
      <c r="AC24" s="2674">
        <v>1</v>
      </c>
    </row>
    <row r="25" spans="1:29" ht="28.8">
      <c r="A25" s="404"/>
      <c r="B25" s="631" t="s">
        <v>2686</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41"/>
      <c r="Q25" s="1809" t="str">
        <f>B25</f>
        <v>毗邻道路的类型与等级</v>
      </c>
      <c r="R25" s="774" t="s">
        <v>17</v>
      </c>
      <c r="S25" s="775">
        <f>F25</f>
        <v>100</v>
      </c>
      <c r="T25" s="774" t="s">
        <v>17</v>
      </c>
      <c r="U25" s="775">
        <f>H25</f>
        <v>100</v>
      </c>
      <c r="V25" s="774" t="s">
        <v>17</v>
      </c>
      <c r="W25" s="775">
        <f>J25</f>
        <v>100</v>
      </c>
      <c r="X25" s="1812"/>
      <c r="Y25" s="3234"/>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40"/>
      <c r="M26" s="1131"/>
      <c r="N26" s="1131"/>
      <c r="O26" s="1131"/>
      <c r="P26" s="3241"/>
      <c r="Q26" s="1809"/>
      <c r="R26" s="774"/>
      <c r="S26" s="775"/>
      <c r="T26" s="774"/>
      <c r="U26" s="775"/>
      <c r="V26" s="774"/>
      <c r="W26" s="775"/>
      <c r="X26" s="1812"/>
      <c r="Y26" s="3234"/>
      <c r="Z26" s="1813"/>
      <c r="AA26" s="1810">
        <v>1</v>
      </c>
      <c r="AB26" s="1810">
        <v>1</v>
      </c>
      <c r="AC26" s="2674">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1"/>
      <c r="Q27" s="1809" t="str">
        <f t="shared" ref="Q27:Q47" si="11">B27</f>
        <v>楼层</v>
      </c>
      <c r="R27" s="774" t="s">
        <v>17</v>
      </c>
      <c r="S27" s="775">
        <f>F27</f>
        <v>100</v>
      </c>
      <c r="T27" s="774" t="s">
        <v>17</v>
      </c>
      <c r="U27" s="775">
        <f>H27</f>
        <v>100</v>
      </c>
      <c r="V27" s="774" t="s">
        <v>17</v>
      </c>
      <c r="W27" s="775">
        <f>J27</f>
        <v>100</v>
      </c>
      <c r="X27" s="1812"/>
      <c r="Y27" s="3234"/>
      <c r="Z27" s="1813" t="str">
        <f>Q27</f>
        <v>楼层</v>
      </c>
      <c r="AA27" s="1810">
        <f t="shared" si="3"/>
        <v>1</v>
      </c>
      <c r="AB27" s="1810">
        <f t="shared" si="4"/>
        <v>1</v>
      </c>
      <c r="AC27" s="2674">
        <f t="shared" si="5"/>
        <v>1</v>
      </c>
    </row>
    <row r="28" spans="1:29" s="117" customFormat="1" ht="15">
      <c r="A28" s="431"/>
      <c r="B28" s="631" t="s">
        <v>2687</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41"/>
      <c r="Q28" s="1794" t="str">
        <f t="shared" si="11"/>
        <v>朝向</v>
      </c>
      <c r="R28" s="770" t="s">
        <v>17</v>
      </c>
      <c r="S28" s="771">
        <f>F28</f>
        <v>100</v>
      </c>
      <c r="T28" s="770" t="s">
        <v>17</v>
      </c>
      <c r="U28" s="771">
        <f>H28</f>
        <v>100</v>
      </c>
      <c r="V28" s="770" t="s">
        <v>17</v>
      </c>
      <c r="W28" s="771">
        <f>J28</f>
        <v>100</v>
      </c>
      <c r="X28" s="772"/>
      <c r="Y28" s="3234"/>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41"/>
      <c r="Q29" s="1809">
        <f t="shared" si="11"/>
        <v>111</v>
      </c>
      <c r="R29" s="774" t="s">
        <v>17</v>
      </c>
      <c r="S29" s="775">
        <f t="shared" ref="S29:S47" si="12">F29</f>
        <v>100</v>
      </c>
      <c r="T29" s="774" t="s">
        <v>17</v>
      </c>
      <c r="U29" s="775">
        <f t="shared" ref="U29:U47" si="13">H29</f>
        <v>100</v>
      </c>
      <c r="V29" s="774" t="s">
        <v>17</v>
      </c>
      <c r="W29" s="775">
        <f t="shared" ref="W29:W47" si="14">J29</f>
        <v>100</v>
      </c>
      <c r="X29" s="1812"/>
      <c r="Y29" s="3234"/>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41"/>
      <c r="Q30" s="1809">
        <f t="shared" si="11"/>
        <v>111</v>
      </c>
      <c r="R30" s="774" t="s">
        <v>17</v>
      </c>
      <c r="S30" s="775">
        <f t="shared" si="12"/>
        <v>100</v>
      </c>
      <c r="T30" s="774" t="s">
        <v>17</v>
      </c>
      <c r="U30" s="775">
        <f t="shared" si="13"/>
        <v>100</v>
      </c>
      <c r="V30" s="774" t="s">
        <v>17</v>
      </c>
      <c r="W30" s="775">
        <f t="shared" si="14"/>
        <v>100</v>
      </c>
      <c r="X30" s="1812"/>
      <c r="Y30" s="3234"/>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41"/>
      <c r="Q31" s="1809">
        <f t="shared" si="11"/>
        <v>111</v>
      </c>
      <c r="R31" s="774" t="s">
        <v>17</v>
      </c>
      <c r="S31" s="775">
        <f t="shared" si="12"/>
        <v>100</v>
      </c>
      <c r="T31" s="774" t="s">
        <v>17</v>
      </c>
      <c r="U31" s="775">
        <f t="shared" si="13"/>
        <v>100</v>
      </c>
      <c r="V31" s="774" t="s">
        <v>17</v>
      </c>
      <c r="W31" s="775">
        <f t="shared" si="14"/>
        <v>100</v>
      </c>
      <c r="X31" s="1812"/>
      <c r="Y31" s="3234"/>
      <c r="Z31" s="1813">
        <f t="shared" si="15"/>
        <v>111</v>
      </c>
      <c r="AA31" s="1810">
        <f t="shared" si="3"/>
        <v>1</v>
      </c>
      <c r="AB31" s="1810">
        <f t="shared" si="4"/>
        <v>1</v>
      </c>
      <c r="AC31" s="2674">
        <f t="shared" si="5"/>
        <v>1</v>
      </c>
    </row>
    <row r="32" spans="1:29" ht="15.6"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41"/>
      <c r="Q32" s="1809">
        <f t="shared" si="11"/>
        <v>111</v>
      </c>
      <c r="R32" s="774" t="s">
        <v>17</v>
      </c>
      <c r="S32" s="775">
        <f t="shared" si="12"/>
        <v>100</v>
      </c>
      <c r="T32" s="774" t="s">
        <v>17</v>
      </c>
      <c r="U32" s="775">
        <f t="shared" si="13"/>
        <v>100</v>
      </c>
      <c r="V32" s="774" t="s">
        <v>17</v>
      </c>
      <c r="W32" s="775">
        <f t="shared" si="14"/>
        <v>100</v>
      </c>
      <c r="X32" s="1812"/>
      <c r="Y32" s="3234"/>
      <c r="Z32" s="1813">
        <f t="shared" si="15"/>
        <v>111</v>
      </c>
      <c r="AA32" s="1810">
        <f t="shared" si="3"/>
        <v>1</v>
      </c>
      <c r="AB32" s="1810">
        <f t="shared" si="4"/>
        <v>1</v>
      </c>
      <c r="AC32" s="2674">
        <f t="shared" si="5"/>
        <v>1</v>
      </c>
    </row>
    <row r="33" spans="1:29" ht="15">
      <c r="A33" s="440" t="s">
        <v>2558</v>
      </c>
      <c r="B33" s="71" t="s">
        <v>2688</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35" t="s">
        <v>2560</v>
      </c>
      <c r="Q33" s="1809" t="str">
        <f t="shared" si="11"/>
        <v>建筑类型</v>
      </c>
      <c r="R33" s="774" t="s">
        <v>17</v>
      </c>
      <c r="S33" s="775">
        <f t="shared" si="12"/>
        <v>100</v>
      </c>
      <c r="T33" s="774" t="s">
        <v>17</v>
      </c>
      <c r="U33" s="775">
        <f t="shared" si="13"/>
        <v>100</v>
      </c>
      <c r="V33" s="774" t="s">
        <v>17</v>
      </c>
      <c r="W33" s="775">
        <f t="shared" si="14"/>
        <v>100</v>
      </c>
      <c r="X33" s="1812"/>
      <c r="Y33" s="3238" t="s">
        <v>2560</v>
      </c>
      <c r="Z33" s="1813" t="str">
        <f t="shared" si="15"/>
        <v>建筑类型</v>
      </c>
      <c r="AA33" s="1810">
        <f t="shared" si="3"/>
        <v>1</v>
      </c>
      <c r="AB33" s="1810">
        <f t="shared" si="4"/>
        <v>1</v>
      </c>
      <c r="AC33" s="2674">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6"/>
      <c r="Q34" s="776" t="str">
        <f t="shared" si="11"/>
        <v>项目建筑规模</v>
      </c>
      <c r="R34" s="777" t="s">
        <v>17</v>
      </c>
      <c r="S34" s="778" t="e">
        <f t="shared" si="12"/>
        <v>#N/A</v>
      </c>
      <c r="T34" s="777" t="s">
        <v>17</v>
      </c>
      <c r="U34" s="778" t="e">
        <f t="shared" si="13"/>
        <v>#N/A</v>
      </c>
      <c r="V34" s="777" t="s">
        <v>17</v>
      </c>
      <c r="W34" s="778" t="e">
        <f t="shared" si="14"/>
        <v>#N/A</v>
      </c>
      <c r="X34" s="779"/>
      <c r="Y34" s="3238"/>
      <c r="Z34" s="780" t="str">
        <f t="shared" si="15"/>
        <v>项目建筑规模</v>
      </c>
      <c r="AA34" s="1810" t="e">
        <f t="shared" si="3"/>
        <v>#N/A</v>
      </c>
      <c r="AB34" s="1810" t="e">
        <f t="shared" si="4"/>
        <v>#N/A</v>
      </c>
      <c r="AC34" s="2674"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6"/>
      <c r="Q35" s="1809" t="str">
        <f t="shared" si="11"/>
        <v>建筑结构</v>
      </c>
      <c r="R35" s="774" t="s">
        <v>17</v>
      </c>
      <c r="S35" s="775">
        <f t="shared" si="12"/>
        <v>100</v>
      </c>
      <c r="T35" s="774" t="s">
        <v>17</v>
      </c>
      <c r="U35" s="775">
        <f t="shared" si="13"/>
        <v>100</v>
      </c>
      <c r="V35" s="774" t="s">
        <v>17</v>
      </c>
      <c r="W35" s="775">
        <f t="shared" si="14"/>
        <v>100</v>
      </c>
      <c r="X35" s="1812"/>
      <c r="Y35" s="3238"/>
      <c r="Z35" s="1813" t="str">
        <f t="shared" si="15"/>
        <v>建筑结构</v>
      </c>
      <c r="AA35" s="1810">
        <f t="shared" si="3"/>
        <v>1</v>
      </c>
      <c r="AB35" s="1810">
        <f t="shared" si="4"/>
        <v>1</v>
      </c>
      <c r="AC35" s="2674">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6"/>
      <c r="Q36" s="1809" t="str">
        <f t="shared" si="11"/>
        <v>公共部分装修</v>
      </c>
      <c r="R36" s="774" t="s">
        <v>17</v>
      </c>
      <c r="S36" s="775">
        <f t="shared" si="12"/>
        <v>100</v>
      </c>
      <c r="T36" s="774" t="s">
        <v>17</v>
      </c>
      <c r="U36" s="775">
        <f t="shared" si="13"/>
        <v>100</v>
      </c>
      <c r="V36" s="774" t="s">
        <v>17</v>
      </c>
      <c r="W36" s="775">
        <f t="shared" si="14"/>
        <v>100</v>
      </c>
      <c r="X36" s="1812"/>
      <c r="Y36" s="3238"/>
      <c r="Z36" s="1813" t="str">
        <f t="shared" si="15"/>
        <v>公共部分装修</v>
      </c>
      <c r="AA36" s="1810">
        <f t="shared" si="3"/>
        <v>1</v>
      </c>
      <c r="AB36" s="1810">
        <f t="shared" si="4"/>
        <v>1</v>
      </c>
      <c r="AC36" s="2674">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6"/>
      <c r="Q37" s="1809" t="str">
        <f t="shared" si="11"/>
        <v>成新度</v>
      </c>
      <c r="R37" s="774" t="s">
        <v>17</v>
      </c>
      <c r="S37" s="775" t="e">
        <f t="shared" si="12"/>
        <v>#N/A</v>
      </c>
      <c r="T37" s="774" t="s">
        <v>17</v>
      </c>
      <c r="U37" s="775" t="e">
        <f t="shared" si="13"/>
        <v>#N/A</v>
      </c>
      <c r="V37" s="774" t="s">
        <v>17</v>
      </c>
      <c r="W37" s="775" t="e">
        <f t="shared" si="14"/>
        <v>#N/A</v>
      </c>
      <c r="X37" s="1812"/>
      <c r="Y37" s="3238"/>
      <c r="Z37" s="1813" t="str">
        <f t="shared" si="15"/>
        <v>成新度</v>
      </c>
      <c r="AA37" s="1810" t="e">
        <f t="shared" si="3"/>
        <v>#N/A</v>
      </c>
      <c r="AB37" s="1810" t="e">
        <f t="shared" si="4"/>
        <v>#N/A</v>
      </c>
      <c r="AC37" s="2674"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6"/>
      <c r="Q38" s="1794" t="str">
        <f t="shared" si="11"/>
        <v>写字楼等级</v>
      </c>
      <c r="R38" s="770" t="s">
        <v>17</v>
      </c>
      <c r="S38" s="771">
        <f t="shared" si="12"/>
        <v>100</v>
      </c>
      <c r="T38" s="770" t="s">
        <v>17</v>
      </c>
      <c r="U38" s="771">
        <f t="shared" si="13"/>
        <v>100</v>
      </c>
      <c r="V38" s="770" t="s">
        <v>17</v>
      </c>
      <c r="W38" s="771">
        <f t="shared" si="14"/>
        <v>100</v>
      </c>
      <c r="X38" s="772"/>
      <c r="Y38" s="3238"/>
      <c r="Z38" s="55" t="str">
        <f t="shared" si="15"/>
        <v>写字楼等级</v>
      </c>
      <c r="AA38" s="773">
        <f t="shared" si="3"/>
        <v>1</v>
      </c>
      <c r="AB38" s="773">
        <f t="shared" si="4"/>
        <v>1</v>
      </c>
      <c r="AC38" s="2671">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6" t="s">
        <v>2560</v>
      </c>
      <c r="Q39" s="1809" t="str">
        <f t="shared" si="11"/>
        <v>物业管理</v>
      </c>
      <c r="R39" s="774" t="s">
        <v>17</v>
      </c>
      <c r="S39" s="775">
        <f t="shared" si="12"/>
        <v>100</v>
      </c>
      <c r="T39" s="774" t="s">
        <v>17</v>
      </c>
      <c r="U39" s="775">
        <f t="shared" si="13"/>
        <v>100</v>
      </c>
      <c r="V39" s="774" t="s">
        <v>17</v>
      </c>
      <c r="W39" s="775">
        <f t="shared" si="14"/>
        <v>100</v>
      </c>
      <c r="X39" s="1812"/>
      <c r="Y39" s="3238" t="s">
        <v>2560</v>
      </c>
      <c r="Z39" s="1813" t="str">
        <f t="shared" si="15"/>
        <v>物业管理</v>
      </c>
      <c r="AA39" s="1810">
        <f t="shared" si="3"/>
        <v>1</v>
      </c>
      <c r="AB39" s="1810">
        <f t="shared" si="4"/>
        <v>1</v>
      </c>
      <c r="AC39" s="2674">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6"/>
      <c r="Q40" s="1809" t="str">
        <f t="shared" si="11"/>
        <v>市政基础设施</v>
      </c>
      <c r="R40" s="774" t="s">
        <v>17</v>
      </c>
      <c r="S40" s="775">
        <f t="shared" si="12"/>
        <v>100</v>
      </c>
      <c r="T40" s="774" t="s">
        <v>17</v>
      </c>
      <c r="U40" s="775">
        <f t="shared" si="13"/>
        <v>100</v>
      </c>
      <c r="V40" s="774" t="s">
        <v>17</v>
      </c>
      <c r="W40" s="775">
        <f t="shared" si="14"/>
        <v>100</v>
      </c>
      <c r="X40" s="1812"/>
      <c r="Y40" s="3238"/>
      <c r="Z40" s="1813" t="str">
        <f t="shared" si="15"/>
        <v>市政基础设施</v>
      </c>
      <c r="AA40" s="1810">
        <f t="shared" si="3"/>
        <v>1</v>
      </c>
      <c r="AB40" s="1810">
        <f t="shared" si="4"/>
        <v>1</v>
      </c>
      <c r="AC40" s="2674">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6"/>
      <c r="Q41" s="1809" t="str">
        <f t="shared" si="11"/>
        <v>层高</v>
      </c>
      <c r="R41" s="774" t="s">
        <v>17</v>
      </c>
      <c r="S41" s="775">
        <f t="shared" si="12"/>
        <v>100</v>
      </c>
      <c r="T41" s="774" t="s">
        <v>17</v>
      </c>
      <c r="U41" s="775">
        <f t="shared" si="13"/>
        <v>100</v>
      </c>
      <c r="V41" s="774" t="s">
        <v>17</v>
      </c>
      <c r="W41" s="775">
        <f t="shared" si="14"/>
        <v>100</v>
      </c>
      <c r="X41" s="1812"/>
      <c r="Y41" s="3238"/>
      <c r="Z41" s="1813" t="str">
        <f t="shared" si="15"/>
        <v>层高</v>
      </c>
      <c r="AA41" s="1810">
        <f t="shared" si="3"/>
        <v>1</v>
      </c>
      <c r="AB41" s="1810">
        <f t="shared" si="4"/>
        <v>1</v>
      </c>
      <c r="AC41" s="2674">
        <f t="shared" si="5"/>
        <v>1</v>
      </c>
    </row>
    <row r="42" spans="1:29" s="471" customFormat="1" ht="15">
      <c r="A42" s="468"/>
      <c r="B42" s="1811"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6"/>
      <c r="Q42" s="776" t="str">
        <f t="shared" si="11"/>
        <v>单套建筑面积</v>
      </c>
      <c r="R42" s="777" t="s">
        <v>17</v>
      </c>
      <c r="S42" s="778">
        <f t="shared" si="12"/>
        <v>100</v>
      </c>
      <c r="T42" s="777" t="s">
        <v>17</v>
      </c>
      <c r="U42" s="778">
        <f t="shared" si="13"/>
        <v>100</v>
      </c>
      <c r="V42" s="777" t="s">
        <v>17</v>
      </c>
      <c r="W42" s="778">
        <f t="shared" si="14"/>
        <v>100</v>
      </c>
      <c r="X42" s="779"/>
      <c r="Y42" s="3238"/>
      <c r="Z42" s="780" t="str">
        <f t="shared" si="15"/>
        <v>单套建筑面积</v>
      </c>
      <c r="AA42" s="1810">
        <f t="shared" si="3"/>
        <v>1</v>
      </c>
      <c r="AB42" s="1810">
        <f t="shared" si="4"/>
        <v>1</v>
      </c>
      <c r="AC42" s="2674">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6"/>
      <c r="Q43" s="1809" t="str">
        <f t="shared" si="11"/>
        <v>内部装修</v>
      </c>
      <c r="R43" s="774" t="s">
        <v>17</v>
      </c>
      <c r="S43" s="775">
        <f t="shared" si="12"/>
        <v>100</v>
      </c>
      <c r="T43" s="774" t="s">
        <v>17</v>
      </c>
      <c r="U43" s="775">
        <f t="shared" si="13"/>
        <v>100</v>
      </c>
      <c r="V43" s="774" t="s">
        <v>17</v>
      </c>
      <c r="W43" s="775">
        <f t="shared" si="14"/>
        <v>100</v>
      </c>
      <c r="X43" s="1812"/>
      <c r="Y43" s="3238"/>
      <c r="Z43" s="1813" t="str">
        <f t="shared" si="15"/>
        <v>内部装修</v>
      </c>
      <c r="AA43" s="1810">
        <f t="shared" si="3"/>
        <v>1</v>
      </c>
      <c r="AB43" s="1810">
        <f t="shared" si="4"/>
        <v>1</v>
      </c>
      <c r="AC43" s="2674">
        <f t="shared" si="5"/>
        <v>1</v>
      </c>
    </row>
    <row r="44" spans="1:29" ht="28.8">
      <c r="A44" s="472"/>
      <c r="B44" s="422" t="s">
        <v>2571</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36"/>
      <c r="Q44" s="1809" t="str">
        <f t="shared" si="11"/>
        <v>内部装修维护情况</v>
      </c>
      <c r="R44" s="774" t="s">
        <v>17</v>
      </c>
      <c r="S44" s="775">
        <f t="shared" si="12"/>
        <v>100</v>
      </c>
      <c r="T44" s="774" t="s">
        <v>17</v>
      </c>
      <c r="U44" s="775">
        <f t="shared" si="13"/>
        <v>100</v>
      </c>
      <c r="V44" s="774" t="s">
        <v>17</v>
      </c>
      <c r="W44" s="775">
        <f t="shared" si="14"/>
        <v>100</v>
      </c>
      <c r="X44" s="1812"/>
      <c r="Y44" s="3238"/>
      <c r="Z44" s="1813" t="str">
        <f t="shared" si="15"/>
        <v>内部装修维护情况</v>
      </c>
      <c r="AA44" s="1810">
        <f t="shared" si="3"/>
        <v>1</v>
      </c>
      <c r="AB44" s="1810">
        <f t="shared" si="4"/>
        <v>1</v>
      </c>
      <c r="AC44" s="2674">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6"/>
      <c r="Q45" s="1794">
        <f t="shared" si="11"/>
        <v>111</v>
      </c>
      <c r="R45" s="770" t="s">
        <v>17</v>
      </c>
      <c r="S45" s="771">
        <f t="shared" si="12"/>
        <v>100</v>
      </c>
      <c r="T45" s="770" t="s">
        <v>17</v>
      </c>
      <c r="U45" s="771">
        <f t="shared" si="13"/>
        <v>100</v>
      </c>
      <c r="V45" s="770" t="s">
        <v>17</v>
      </c>
      <c r="W45" s="771">
        <f t="shared" si="14"/>
        <v>100</v>
      </c>
      <c r="X45" s="772"/>
      <c r="Y45" s="3238"/>
      <c r="Z45" s="55">
        <f t="shared" si="15"/>
        <v>111</v>
      </c>
      <c r="AA45" s="773">
        <f t="shared" si="3"/>
        <v>1</v>
      </c>
      <c r="AB45" s="773">
        <f t="shared" si="4"/>
        <v>1</v>
      </c>
      <c r="AC45" s="2671">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6"/>
      <c r="Q46" s="1809">
        <f t="shared" si="11"/>
        <v>111</v>
      </c>
      <c r="R46" s="774" t="s">
        <v>17</v>
      </c>
      <c r="S46" s="775">
        <f t="shared" si="12"/>
        <v>100</v>
      </c>
      <c r="T46" s="774" t="s">
        <v>17</v>
      </c>
      <c r="U46" s="775">
        <f t="shared" si="13"/>
        <v>100</v>
      </c>
      <c r="V46" s="774" t="s">
        <v>17</v>
      </c>
      <c r="W46" s="775">
        <f t="shared" si="14"/>
        <v>100</v>
      </c>
      <c r="X46" s="1812"/>
      <c r="Y46" s="3238"/>
      <c r="Z46" s="1813">
        <f t="shared" si="15"/>
        <v>111</v>
      </c>
      <c r="AA46" s="1810">
        <f t="shared" si="3"/>
        <v>1</v>
      </c>
      <c r="AB46" s="1810">
        <f t="shared" si="4"/>
        <v>1</v>
      </c>
      <c r="AC46" s="2674">
        <f t="shared" si="5"/>
        <v>1</v>
      </c>
    </row>
    <row r="47" spans="1:29" ht="15.6"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7"/>
      <c r="Q47" s="1809">
        <f t="shared" si="11"/>
        <v>111</v>
      </c>
      <c r="R47" s="774" t="s">
        <v>17</v>
      </c>
      <c r="S47" s="775">
        <f t="shared" si="12"/>
        <v>100</v>
      </c>
      <c r="T47" s="774" t="s">
        <v>17</v>
      </c>
      <c r="U47" s="775">
        <f t="shared" si="13"/>
        <v>100</v>
      </c>
      <c r="V47" s="774" t="s">
        <v>17</v>
      </c>
      <c r="W47" s="775">
        <f t="shared" si="14"/>
        <v>100</v>
      </c>
      <c r="X47" s="1812"/>
      <c r="Y47" s="3239"/>
      <c r="Z47" s="1813">
        <f t="shared" si="15"/>
        <v>111</v>
      </c>
      <c r="AA47" s="1810">
        <f t="shared" si="3"/>
        <v>1</v>
      </c>
      <c r="AB47" s="1810">
        <f t="shared" si="4"/>
        <v>1</v>
      </c>
      <c r="AC47" s="2674">
        <f t="shared" si="5"/>
        <v>1</v>
      </c>
    </row>
    <row r="48" spans="1:29" ht="14.4">
      <c r="A48" s="479" t="s">
        <v>2572</v>
      </c>
      <c r="B48" s="480"/>
      <c r="C48" s="1406" t="s">
        <v>1</v>
      </c>
      <c r="D48" s="1407"/>
      <c r="E48" s="1408"/>
      <c r="F48" s="1409"/>
      <c r="G48" s="1410"/>
      <c r="H48" s="1411"/>
      <c r="I48" s="1408"/>
      <c r="J48" s="485"/>
      <c r="K48" s="783"/>
      <c r="L48" s="1143"/>
      <c r="M48" s="1131"/>
      <c r="N48" s="1131"/>
      <c r="O48" s="1131"/>
      <c r="P48" s="3213" t="str">
        <f>A48</f>
        <v>成交单价（元/平方米）</v>
      </c>
      <c r="Q48" s="3231"/>
      <c r="R48" s="3232">
        <f>E48</f>
        <v>0</v>
      </c>
      <c r="S48" s="3232"/>
      <c r="T48" s="3232">
        <f>G48</f>
        <v>0</v>
      </c>
      <c r="U48" s="3232"/>
      <c r="V48" s="3232">
        <f>I48</f>
        <v>0</v>
      </c>
      <c r="W48" s="3232"/>
      <c r="X48" s="446"/>
      <c r="Y48" s="781"/>
      <c r="Z48" s="446"/>
      <c r="AA48" s="446"/>
      <c r="AB48" s="446"/>
      <c r="AC48" s="630"/>
    </row>
    <row r="49" spans="1:29" ht="15" thickBot="1">
      <c r="A49" s="486" t="s">
        <v>2664</v>
      </c>
      <c r="B49" s="487"/>
      <c r="C49" s="1412" t="e">
        <f>R50</f>
        <v>#DIV/0!</v>
      </c>
      <c r="D49" s="1413"/>
      <c r="E49" s="1414" t="e">
        <f>R49</f>
        <v>#DIV/0!</v>
      </c>
      <c r="F49" s="1414"/>
      <c r="G49" s="1412" t="e">
        <f>T49</f>
        <v>#DIV/0!</v>
      </c>
      <c r="H49" s="1413"/>
      <c r="I49" s="1414" t="e">
        <f>V49</f>
        <v>#DIV/0!</v>
      </c>
      <c r="J49" s="489"/>
      <c r="K49" s="784"/>
      <c r="L49" s="1143"/>
      <c r="M49" s="1131"/>
      <c r="N49" s="1131"/>
      <c r="O49" s="1131"/>
      <c r="P49" s="3213" t="str">
        <f>A49</f>
        <v>比较价值（元/平方米）</v>
      </c>
      <c r="Q49" s="3231"/>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6"/>
      <c r="Y49" s="446"/>
      <c r="Z49" s="446"/>
      <c r="AA49" s="446"/>
      <c r="AB49" s="446"/>
      <c r="AC49" s="630"/>
    </row>
    <row r="50" spans="1:29" ht="15" thickBot="1">
      <c r="A50" s="492" t="s">
        <v>2665</v>
      </c>
      <c r="B50" s="493"/>
      <c r="C50" s="1416" t="e">
        <f>R50</f>
        <v>#DIV/0!</v>
      </c>
      <c r="D50" s="1416"/>
      <c r="E50" s="1416"/>
      <c r="F50" s="1416"/>
      <c r="G50" s="1416"/>
      <c r="H50" s="1416"/>
      <c r="I50" s="1416"/>
      <c r="J50" s="494"/>
      <c r="K50" s="785"/>
      <c r="L50" s="1143"/>
      <c r="M50" s="1131"/>
      <c r="N50" s="1131"/>
      <c r="O50" s="1131"/>
      <c r="P50" s="3281" t="str">
        <f>A50</f>
        <v>估价对象XX用房的比较价值（楼面单价，元/平方米）</v>
      </c>
      <c r="Q50" s="3282"/>
      <c r="R50" s="3283" t="e">
        <f>IF(F1="售价",ROUND(AVERAGE(R49:V49),0),ROUND(AVERAGE(R49:V49),1))</f>
        <v>#DIV/0!</v>
      </c>
      <c r="S50" s="3283"/>
      <c r="T50" s="3283"/>
      <c r="U50" s="3283"/>
      <c r="V50" s="3283"/>
      <c r="W50" s="3283"/>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2.2" thickBot="1">
      <c r="A58" s="763" t="s">
        <v>2669</v>
      </c>
      <c r="B58" s="759"/>
      <c r="C58" s="764"/>
      <c r="D58" s="764"/>
      <c r="E58" s="764"/>
      <c r="F58" s="765"/>
      <c r="G58" s="765"/>
      <c r="H58" s="764"/>
      <c r="I58" s="764"/>
      <c r="J58" s="764"/>
      <c r="K58" s="766"/>
      <c r="L58" s="1161"/>
      <c r="M58" s="1159"/>
      <c r="N58" s="1159"/>
      <c r="O58" s="1159"/>
      <c r="P58" s="2681"/>
      <c r="Q58" s="504"/>
    </row>
    <row r="59" spans="1:29" s="508" customFormat="1" ht="14.4">
      <c r="A59" s="505" t="s">
        <v>2543</v>
      </c>
      <c r="B59" s="506"/>
      <c r="C59" s="1573" t="str">
        <f>YEAR(C7)&amp;"-"&amp;MONTH(C7)</f>
        <v>2020-3</v>
      </c>
      <c r="D59" s="1574">
        <f>EDATE(C59,-1)</f>
        <v>43862</v>
      </c>
      <c r="E59" s="1574">
        <f>EDATE(D59,-1)</f>
        <v>43831</v>
      </c>
      <c r="F59" s="1574">
        <f t="shared" ref="F59:O59" si="16">EDATE(E59,-1)</f>
        <v>43800</v>
      </c>
      <c r="G59" s="1574">
        <f t="shared" si="16"/>
        <v>43770</v>
      </c>
      <c r="H59" s="1574">
        <f t="shared" si="16"/>
        <v>43739</v>
      </c>
      <c r="I59" s="1574">
        <f t="shared" si="16"/>
        <v>43709</v>
      </c>
      <c r="J59" s="1574">
        <f t="shared" si="16"/>
        <v>43678</v>
      </c>
      <c r="K59" s="1574">
        <f t="shared" si="16"/>
        <v>43647</v>
      </c>
      <c r="L59" s="1574">
        <f t="shared" si="16"/>
        <v>43617</v>
      </c>
      <c r="M59" s="1574">
        <f t="shared" si="16"/>
        <v>43586</v>
      </c>
      <c r="N59" s="1574">
        <f t="shared" si="16"/>
        <v>43556</v>
      </c>
      <c r="O59" s="1574">
        <f t="shared" si="16"/>
        <v>43525</v>
      </c>
      <c r="P59" s="1570"/>
    </row>
    <row r="60" spans="1:29" s="117" customFormat="1">
      <c r="A60" s="509"/>
      <c r="B60" s="510"/>
      <c r="C60" s="1572">
        <v>100</v>
      </c>
      <c r="D60" s="512"/>
      <c r="E60" s="512"/>
      <c r="F60" s="512"/>
      <c r="G60" s="512"/>
      <c r="H60" s="512"/>
      <c r="I60" s="512"/>
      <c r="J60" s="512"/>
      <c r="K60" s="512"/>
      <c r="L60" s="512"/>
      <c r="M60" s="513"/>
      <c r="N60" s="512"/>
      <c r="O60" s="513"/>
      <c r="P60" s="2682"/>
    </row>
    <row r="61" spans="1:29" s="117" customFormat="1" ht="15" thickBot="1">
      <c r="A61" s="515" t="s">
        <v>2580</v>
      </c>
      <c r="B61" s="516"/>
      <c r="C61" s="517"/>
      <c r="D61" s="518"/>
      <c r="E61" s="518"/>
      <c r="F61" s="518"/>
      <c r="G61" s="518"/>
      <c r="H61" s="518"/>
      <c r="I61" s="518"/>
      <c r="J61" s="518"/>
      <c r="K61" s="518"/>
      <c r="L61" s="518"/>
      <c r="M61" s="519"/>
      <c r="N61" s="518"/>
      <c r="O61" s="519"/>
      <c r="P61" s="2682"/>
      <c r="Q61" s="504"/>
    </row>
    <row r="62" spans="1:29" s="117" customFormat="1" ht="14.4">
      <c r="A62" s="521" t="s">
        <v>2545</v>
      </c>
      <c r="B62" s="510"/>
      <c r="C62" s="522" t="s">
        <v>2647</v>
      </c>
      <c r="D62" s="523"/>
      <c r="E62" s="523"/>
      <c r="F62" s="523"/>
      <c r="G62" s="523"/>
      <c r="H62" s="523"/>
      <c r="I62" s="523"/>
      <c r="J62" s="523"/>
      <c r="K62" s="523"/>
      <c r="L62" s="524"/>
      <c r="M62" s="525"/>
      <c r="N62" s="1151"/>
      <c r="O62" s="1151"/>
      <c r="P62" s="2683"/>
      <c r="Q62" s="504"/>
    </row>
    <row r="63" spans="1:29" s="117" customFormat="1" ht="14.4" thickBot="1">
      <c r="A63" s="521"/>
      <c r="B63" s="510"/>
      <c r="C63" s="511">
        <v>100</v>
      </c>
      <c r="D63" s="512"/>
      <c r="E63" s="512"/>
      <c r="F63" s="512"/>
      <c r="G63" s="512"/>
      <c r="H63" s="512"/>
      <c r="I63" s="512"/>
      <c r="J63" s="512"/>
      <c r="K63" s="512"/>
      <c r="L63" s="512"/>
      <c r="M63" s="514"/>
      <c r="N63" s="1151"/>
      <c r="O63" s="1151"/>
      <c r="P63" s="2682"/>
      <c r="Q63" s="504"/>
    </row>
    <row r="64" spans="1:29" ht="14.4">
      <c r="A64" s="527" t="s">
        <v>2583</v>
      </c>
      <c r="B64" s="528" t="s">
        <v>2549</v>
      </c>
      <c r="C64" s="529">
        <f>C9</f>
        <v>0</v>
      </c>
      <c r="D64" s="530"/>
      <c r="E64" s="530"/>
      <c r="F64" s="530"/>
      <c r="G64" s="530"/>
      <c r="H64" s="530"/>
      <c r="I64" s="530"/>
      <c r="J64" s="530"/>
      <c r="K64" s="531"/>
      <c r="L64" s="532"/>
      <c r="M64" s="533"/>
      <c r="N64" s="1152"/>
      <c r="O64" s="1152"/>
      <c r="P64" s="2684"/>
      <c r="Q64" s="504"/>
    </row>
    <row r="65" spans="1:17" ht="14.4" thickBot="1">
      <c r="A65" s="534"/>
      <c r="B65" s="535"/>
      <c r="C65" s="536">
        <v>100</v>
      </c>
      <c r="D65" s="536"/>
      <c r="E65" s="536"/>
      <c r="F65" s="536"/>
      <c r="G65" s="536"/>
      <c r="H65" s="536"/>
      <c r="I65" s="536"/>
      <c r="J65" s="536"/>
      <c r="K65" s="536"/>
      <c r="L65" s="536"/>
      <c r="M65" s="537"/>
      <c r="N65" s="1153"/>
      <c r="O65" s="1153"/>
      <c r="P65" s="2684"/>
      <c r="Q65" s="504"/>
    </row>
    <row r="66" spans="1:17" ht="29.4"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84"/>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c r="A69" s="534"/>
      <c r="B69" s="548"/>
      <c r="C69" s="549"/>
      <c r="D69" s="549"/>
      <c r="E69" s="549"/>
      <c r="F69" s="549"/>
      <c r="G69" s="549"/>
      <c r="H69" s="549"/>
      <c r="I69" s="549"/>
      <c r="J69" s="549"/>
      <c r="K69" s="550"/>
      <c r="L69" s="551"/>
      <c r="M69" s="552"/>
      <c r="N69" s="1152"/>
      <c r="O69" s="1152"/>
      <c r="P69" s="2684"/>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4.4" thickTop="1">
      <c r="A71" s="553"/>
      <c r="B71" s="538">
        <f>B12</f>
        <v>111</v>
      </c>
      <c r="C71" s="554"/>
      <c r="D71" s="554"/>
      <c r="E71" s="554"/>
      <c r="F71" s="554"/>
      <c r="G71" s="554"/>
      <c r="H71" s="555"/>
      <c r="I71" s="555"/>
      <c r="J71" s="555"/>
      <c r="K71" s="555"/>
      <c r="L71" s="556"/>
      <c r="M71" s="557"/>
      <c r="N71" s="1154"/>
      <c r="O71" s="1154"/>
      <c r="P71" s="2685"/>
      <c r="Q71" s="559"/>
    </row>
    <row r="72" spans="1:17" s="471" customFormat="1" ht="14.4" thickBot="1">
      <c r="A72" s="553"/>
      <c r="B72" s="543"/>
      <c r="C72" s="560"/>
      <c r="D72" s="536"/>
      <c r="E72" s="536"/>
      <c r="F72" s="536"/>
      <c r="G72" s="536"/>
      <c r="H72" s="536"/>
      <c r="I72" s="536"/>
      <c r="J72" s="536"/>
      <c r="K72" s="536"/>
      <c r="L72" s="536"/>
      <c r="M72" s="537"/>
      <c r="N72" s="1153"/>
      <c r="O72" s="1153"/>
      <c r="P72" s="2685"/>
      <c r="Q72" s="559"/>
    </row>
    <row r="73" spans="1:17" s="471" customFormat="1" ht="14.4" thickTop="1">
      <c r="A73" s="553"/>
      <c r="B73" s="538">
        <f>B13</f>
        <v>111</v>
      </c>
      <c r="C73" s="554"/>
      <c r="D73" s="554"/>
      <c r="E73" s="554"/>
      <c r="F73" s="554"/>
      <c r="G73" s="554"/>
      <c r="H73" s="555"/>
      <c r="I73" s="555"/>
      <c r="J73" s="555"/>
      <c r="K73" s="555"/>
      <c r="L73" s="556"/>
      <c r="M73" s="557"/>
      <c r="N73" s="1154"/>
      <c r="O73" s="1154"/>
      <c r="P73" s="2686"/>
      <c r="Q73" s="561"/>
    </row>
    <row r="74" spans="1:17" s="471" customFormat="1" ht="14.4" thickBot="1">
      <c r="A74" s="553"/>
      <c r="B74" s="543"/>
      <c r="C74" s="560"/>
      <c r="D74" s="560"/>
      <c r="E74" s="560"/>
      <c r="F74" s="560"/>
      <c r="G74" s="560"/>
      <c r="H74" s="562"/>
      <c r="I74" s="562"/>
      <c r="J74" s="562"/>
      <c r="K74" s="562"/>
      <c r="L74" s="562"/>
      <c r="M74" s="563"/>
      <c r="N74" s="1154"/>
      <c r="O74" s="1154"/>
      <c r="P74" s="2685"/>
      <c r="Q74" s="559"/>
    </row>
    <row r="75" spans="1:17" s="471" customFormat="1" ht="14.4" thickTop="1">
      <c r="A75" s="553"/>
      <c r="B75" s="546">
        <f>B14</f>
        <v>111</v>
      </c>
      <c r="C75" s="523"/>
      <c r="D75" s="523"/>
      <c r="E75" s="523"/>
      <c r="F75" s="523"/>
      <c r="G75" s="523"/>
      <c r="H75" s="564"/>
      <c r="I75" s="564"/>
      <c r="J75" s="564"/>
      <c r="K75" s="564"/>
      <c r="L75" s="565"/>
      <c r="M75" s="566"/>
      <c r="N75" s="1154"/>
      <c r="O75" s="1154"/>
      <c r="P75" s="2687"/>
      <c r="Q75" s="559"/>
    </row>
    <row r="76" spans="1:17" s="471" customFormat="1" ht="14.4" thickBot="1">
      <c r="A76" s="568"/>
      <c r="B76" s="569"/>
      <c r="C76" s="570"/>
      <c r="D76" s="570"/>
      <c r="E76" s="570"/>
      <c r="F76" s="570"/>
      <c r="G76" s="570"/>
      <c r="H76" s="571"/>
      <c r="I76" s="571"/>
      <c r="J76" s="571"/>
      <c r="K76" s="571"/>
      <c r="L76" s="571"/>
      <c r="M76" s="572"/>
      <c r="N76" s="1154"/>
      <c r="O76" s="1154"/>
      <c r="P76" s="2685"/>
      <c r="Q76" s="559"/>
    </row>
    <row r="77" spans="1:17" ht="14.4">
      <c r="A77" s="527" t="s">
        <v>2554</v>
      </c>
      <c r="B77" s="528" t="s">
        <v>2692</v>
      </c>
      <c r="C77" s="573" t="s">
        <v>2592</v>
      </c>
      <c r="D77" s="573" t="s">
        <v>2593</v>
      </c>
      <c r="E77" s="573" t="s">
        <v>2594</v>
      </c>
      <c r="F77" s="573" t="s">
        <v>2595</v>
      </c>
      <c r="G77" s="573" t="s">
        <v>2596</v>
      </c>
      <c r="H77" s="529"/>
      <c r="I77" s="529"/>
      <c r="J77" s="529"/>
      <c r="K77" s="574"/>
      <c r="L77" s="575"/>
      <c r="M77" s="576"/>
      <c r="N77" s="1152"/>
      <c r="O77" s="1152"/>
      <c r="P77" s="2688"/>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 thickTop="1">
      <c r="A79" s="534"/>
      <c r="B79" s="538" t="s">
        <v>2597</v>
      </c>
      <c r="C79" s="578" t="s">
        <v>2592</v>
      </c>
      <c r="D79" s="578" t="s">
        <v>2593</v>
      </c>
      <c r="E79" s="578" t="s">
        <v>2594</v>
      </c>
      <c r="F79" s="578" t="s">
        <v>2595</v>
      </c>
      <c r="G79" s="578" t="s">
        <v>2596</v>
      </c>
      <c r="H79" s="539"/>
      <c r="I79" s="539"/>
      <c r="J79" s="539"/>
      <c r="K79" s="540"/>
      <c r="L79" s="541"/>
      <c r="M79" s="542"/>
      <c r="N79" s="1152"/>
      <c r="O79" s="1152"/>
      <c r="P79" s="2684"/>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 thickTop="1">
      <c r="A81" s="534"/>
      <c r="B81" s="538" t="s">
        <v>2598</v>
      </c>
      <c r="C81" s="578" t="s">
        <v>2592</v>
      </c>
      <c r="D81" s="578" t="s">
        <v>2593</v>
      </c>
      <c r="E81" s="578" t="s">
        <v>2594</v>
      </c>
      <c r="F81" s="578" t="s">
        <v>2595</v>
      </c>
      <c r="G81" s="578" t="s">
        <v>2596</v>
      </c>
      <c r="H81" s="539"/>
      <c r="I81" s="539"/>
      <c r="J81" s="539"/>
      <c r="K81" s="540"/>
      <c r="L81" s="541"/>
      <c r="M81" s="542"/>
      <c r="N81" s="1152"/>
      <c r="O81" s="1152"/>
      <c r="P81" s="2684"/>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 thickTop="1">
      <c r="A83" s="534"/>
      <c r="B83" s="546" t="s">
        <v>2684</v>
      </c>
      <c r="C83" s="660" t="s">
        <v>2670</v>
      </c>
      <c r="D83" s="660" t="s">
        <v>2671</v>
      </c>
      <c r="E83" s="660" t="s">
        <v>2672</v>
      </c>
      <c r="F83" s="660" t="s">
        <v>2673</v>
      </c>
      <c r="G83" s="660" t="s">
        <v>2674</v>
      </c>
      <c r="H83" s="539"/>
      <c r="I83" s="539"/>
      <c r="J83" s="539"/>
      <c r="K83" s="539"/>
      <c r="L83" s="539"/>
      <c r="M83" s="1381"/>
      <c r="N83" s="1153"/>
      <c r="O83" s="1153"/>
      <c r="P83" s="2684"/>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 thickTop="1">
      <c r="A85" s="534"/>
      <c r="B85" s="538" t="s">
        <v>2693</v>
      </c>
      <c r="C85" s="578" t="s">
        <v>2592</v>
      </c>
      <c r="D85" s="578" t="s">
        <v>2593</v>
      </c>
      <c r="E85" s="578" t="s">
        <v>2594</v>
      </c>
      <c r="F85" s="578" t="s">
        <v>2595</v>
      </c>
      <c r="G85" s="578" t="s">
        <v>2596</v>
      </c>
      <c r="H85" s="539"/>
      <c r="I85" s="539"/>
      <c r="J85" s="539"/>
      <c r="K85" s="540"/>
      <c r="L85" s="541"/>
      <c r="M85" s="542"/>
      <c r="N85" s="1152"/>
      <c r="O85" s="1152"/>
      <c r="P85" s="2684"/>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9.4" thickTop="1">
      <c r="A87" s="579"/>
      <c r="B87" s="538" t="s">
        <v>2694</v>
      </c>
      <c r="C87" s="554"/>
      <c r="D87" s="554"/>
      <c r="E87" s="554"/>
      <c r="F87" s="554"/>
      <c r="G87" s="554"/>
      <c r="H87" s="554"/>
      <c r="I87" s="554"/>
      <c r="J87" s="554"/>
      <c r="K87" s="554"/>
      <c r="L87" s="580"/>
      <c r="M87" s="581"/>
      <c r="N87" s="1151"/>
      <c r="O87" s="1151"/>
      <c r="P87" s="2684"/>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4.4"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4.4" thickTop="1">
      <c r="A93" s="534"/>
      <c r="B93" s="538">
        <f>B29</f>
        <v>111</v>
      </c>
      <c r="C93" s="554"/>
      <c r="D93" s="554"/>
      <c r="E93" s="554"/>
      <c r="F93" s="554"/>
      <c r="G93" s="554"/>
      <c r="H93" s="554"/>
      <c r="I93" s="554"/>
      <c r="J93" s="554"/>
      <c r="K93" s="554"/>
      <c r="L93" s="580"/>
      <c r="M93" s="581"/>
      <c r="N93" s="1152"/>
      <c r="O93" s="1152"/>
      <c r="P93" s="2684"/>
      <c r="Q93" s="504"/>
    </row>
    <row r="94" spans="1:17" ht="14.4" thickBot="1">
      <c r="A94" s="534"/>
      <c r="B94" s="543"/>
      <c r="C94" s="560"/>
      <c r="D94" s="536"/>
      <c r="E94" s="536"/>
      <c r="F94" s="536"/>
      <c r="G94" s="536"/>
      <c r="H94" s="536"/>
      <c r="I94" s="536"/>
      <c r="J94" s="536"/>
      <c r="K94" s="536"/>
      <c r="L94" s="536"/>
      <c r="M94" s="537"/>
      <c r="N94" s="1153"/>
      <c r="O94" s="1153"/>
      <c r="P94" s="2684"/>
      <c r="Q94" s="504"/>
    </row>
    <row r="95" spans="1:17" ht="14.4" thickTop="1">
      <c r="A95" s="534"/>
      <c r="B95" s="538">
        <f>B30</f>
        <v>111</v>
      </c>
      <c r="C95" s="554"/>
      <c r="D95" s="554"/>
      <c r="E95" s="554"/>
      <c r="F95" s="554"/>
      <c r="G95" s="583"/>
      <c r="H95" s="583"/>
      <c r="I95" s="583"/>
      <c r="J95" s="583"/>
      <c r="K95" s="584"/>
      <c r="L95" s="585"/>
      <c r="M95" s="586"/>
      <c r="N95" s="1152"/>
      <c r="O95" s="1152"/>
      <c r="P95" s="2684"/>
      <c r="Q95" s="504"/>
    </row>
    <row r="96" spans="1:17" ht="14.4" thickBot="1">
      <c r="A96" s="534"/>
      <c r="B96" s="543"/>
      <c r="C96" s="560"/>
      <c r="D96" s="560"/>
      <c r="E96" s="560"/>
      <c r="F96" s="560"/>
      <c r="G96" s="536"/>
      <c r="H96" s="536"/>
      <c r="I96" s="536"/>
      <c r="J96" s="536"/>
      <c r="K96" s="536"/>
      <c r="L96" s="536"/>
      <c r="M96" s="537"/>
      <c r="N96" s="1153"/>
      <c r="O96" s="1153"/>
      <c r="P96" s="2684"/>
      <c r="Q96" s="504"/>
    </row>
    <row r="97" spans="1:17" ht="14.4" thickTop="1">
      <c r="A97" s="534"/>
      <c r="B97" s="538">
        <f>B31</f>
        <v>111</v>
      </c>
      <c r="C97" s="554"/>
      <c r="D97" s="554"/>
      <c r="E97" s="554"/>
      <c r="F97" s="554"/>
      <c r="G97" s="583"/>
      <c r="H97" s="583"/>
      <c r="I97" s="583"/>
      <c r="J97" s="583"/>
      <c r="K97" s="584"/>
      <c r="L97" s="585"/>
      <c r="M97" s="586"/>
      <c r="N97" s="1152"/>
      <c r="O97" s="1152"/>
      <c r="P97" s="2684"/>
      <c r="Q97" s="504"/>
    </row>
    <row r="98" spans="1:17" ht="14.4" thickBot="1">
      <c r="A98" s="534"/>
      <c r="B98" s="543"/>
      <c r="C98" s="560"/>
      <c r="D98" s="536"/>
      <c r="E98" s="536"/>
      <c r="F98" s="536"/>
      <c r="G98" s="536"/>
      <c r="H98" s="536"/>
      <c r="I98" s="536"/>
      <c r="J98" s="536"/>
      <c r="K98" s="536"/>
      <c r="L98" s="536"/>
      <c r="M98" s="537"/>
      <c r="N98" s="1153"/>
      <c r="O98" s="1153"/>
      <c r="P98" s="2684"/>
      <c r="Q98" s="504"/>
    </row>
    <row r="99" spans="1:17" ht="14.4" thickTop="1">
      <c r="A99" s="534"/>
      <c r="B99" s="546">
        <f>B32</f>
        <v>111</v>
      </c>
      <c r="C99" s="523"/>
      <c r="D99" s="523"/>
      <c r="E99" s="523"/>
      <c r="F99" s="523"/>
      <c r="G99" s="587"/>
      <c r="H99" s="587"/>
      <c r="I99" s="587"/>
      <c r="J99" s="587"/>
      <c r="K99" s="588"/>
      <c r="L99" s="589"/>
      <c r="M99" s="590"/>
      <c r="N99" s="1152"/>
      <c r="O99" s="1152"/>
      <c r="P99" s="2684"/>
      <c r="Q99" s="504"/>
    </row>
    <row r="100" spans="1:17" ht="14.4" thickBot="1">
      <c r="A100" s="2636"/>
      <c r="B100" s="569"/>
      <c r="C100" s="570"/>
      <c r="D100" s="570"/>
      <c r="E100" s="570"/>
      <c r="F100" s="570"/>
      <c r="G100" s="591"/>
      <c r="H100" s="591"/>
      <c r="I100" s="591"/>
      <c r="J100" s="591"/>
      <c r="K100" s="591"/>
      <c r="L100" s="591"/>
      <c r="M100" s="592"/>
      <c r="N100" s="1153"/>
      <c r="O100" s="1153"/>
      <c r="P100" s="2684"/>
      <c r="Q100" s="504"/>
    </row>
    <row r="101" spans="1:17" ht="14.4">
      <c r="A101" s="527" t="s">
        <v>2558</v>
      </c>
      <c r="B101" s="528" t="s">
        <v>2607</v>
      </c>
      <c r="C101" s="530"/>
      <c r="D101" s="530"/>
      <c r="E101" s="530"/>
      <c r="F101" s="530"/>
      <c r="G101" s="530"/>
      <c r="H101" s="530"/>
      <c r="I101" s="530"/>
      <c r="J101" s="530"/>
      <c r="K101" s="531"/>
      <c r="L101" s="532"/>
      <c r="M101" s="533"/>
      <c r="N101" s="1152"/>
      <c r="O101" s="1152"/>
      <c r="P101" s="2684"/>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2609</v>
      </c>
      <c r="C106" s="554"/>
      <c r="D106" s="554"/>
      <c r="E106" s="583"/>
      <c r="F106" s="583"/>
      <c r="G106" s="583"/>
      <c r="H106" s="583"/>
      <c r="I106" s="583"/>
      <c r="J106" s="583"/>
      <c r="K106" s="584"/>
      <c r="L106" s="585"/>
      <c r="M106" s="586"/>
      <c r="N106" s="1152"/>
      <c r="O106" s="1152"/>
      <c r="P106" s="2684"/>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2611</v>
      </c>
      <c r="C108" s="554"/>
      <c r="D108" s="554"/>
      <c r="E108" s="554"/>
      <c r="F108" s="583"/>
      <c r="G108" s="583"/>
      <c r="H108" s="583"/>
      <c r="I108" s="583"/>
      <c r="J108" s="583"/>
      <c r="K108" s="584"/>
      <c r="L108" s="585"/>
      <c r="M108" s="586"/>
      <c r="N108" s="1152"/>
      <c r="O108" s="1152"/>
      <c r="P108" s="2684"/>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85"/>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2612</v>
      </c>
      <c r="C115" s="554"/>
      <c r="D115" s="554"/>
      <c r="E115" s="583"/>
      <c r="F115" s="583"/>
      <c r="G115" s="583"/>
      <c r="H115" s="583"/>
      <c r="I115" s="583"/>
      <c r="J115" s="583"/>
      <c r="K115" s="584"/>
      <c r="L115" s="585"/>
      <c r="M115" s="586"/>
      <c r="N115" s="1152"/>
      <c r="O115" s="1152"/>
      <c r="P115" s="2684"/>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2613</v>
      </c>
      <c r="C117" s="554"/>
      <c r="D117" s="554"/>
      <c r="E117" s="554"/>
      <c r="F117" s="554"/>
      <c r="G117" s="554"/>
      <c r="H117" s="583"/>
      <c r="I117" s="583"/>
      <c r="J117" s="583"/>
      <c r="K117" s="584"/>
      <c r="L117" s="585"/>
      <c r="M117" s="586"/>
      <c r="N117" s="1152"/>
      <c r="O117" s="1152"/>
      <c r="P117" s="2684"/>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2696</v>
      </c>
      <c r="C119" s="583"/>
      <c r="D119" s="583"/>
      <c r="E119" s="583"/>
      <c r="F119" s="583"/>
      <c r="G119" s="583"/>
      <c r="H119" s="583"/>
      <c r="I119" s="583"/>
      <c r="J119" s="583"/>
      <c r="K119" s="583"/>
      <c r="L119" s="2689"/>
      <c r="M119" s="2690"/>
      <c r="N119" s="1153"/>
      <c r="O119" s="1153"/>
      <c r="P119" s="2691"/>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85"/>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2615</v>
      </c>
      <c r="C123" s="554"/>
      <c r="D123" s="554"/>
      <c r="E123" s="554"/>
      <c r="F123" s="583"/>
      <c r="G123" s="583"/>
      <c r="H123" s="583"/>
      <c r="I123" s="583"/>
      <c r="J123" s="583"/>
      <c r="K123" s="584"/>
      <c r="L123" s="585"/>
      <c r="M123" s="586"/>
      <c r="N123" s="1152"/>
      <c r="O123" s="1152"/>
      <c r="P123" s="2684"/>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29.4"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5"/>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5"/>
      <c r="Q128" s="559"/>
    </row>
    <row r="129" spans="1:17" ht="14.4" thickTop="1">
      <c r="A129" s="599"/>
      <c r="B129" s="538">
        <f>B46</f>
        <v>111</v>
      </c>
      <c r="C129" s="554"/>
      <c r="D129" s="554"/>
      <c r="E129" s="554"/>
      <c r="F129" s="554"/>
      <c r="G129" s="583"/>
      <c r="H129" s="583"/>
      <c r="I129" s="583"/>
      <c r="J129" s="583"/>
      <c r="K129" s="584"/>
      <c r="L129" s="585"/>
      <c r="M129" s="586"/>
      <c r="N129" s="1152"/>
      <c r="O129" s="1152"/>
      <c r="P129" s="2684"/>
      <c r="Q129" s="504"/>
    </row>
    <row r="130" spans="1:17" ht="14.4" thickBot="1">
      <c r="A130" s="534"/>
      <c r="B130" s="543"/>
      <c r="C130" s="560"/>
      <c r="D130" s="560"/>
      <c r="E130" s="560"/>
      <c r="F130" s="560"/>
      <c r="G130" s="536"/>
      <c r="H130" s="536"/>
      <c r="I130" s="536"/>
      <c r="J130" s="536"/>
      <c r="K130" s="536"/>
      <c r="L130" s="536"/>
      <c r="M130" s="537"/>
      <c r="N130" s="1153"/>
      <c r="O130" s="1153"/>
      <c r="P130" s="2684"/>
      <c r="Q130" s="504"/>
    </row>
    <row r="131" spans="1:17" ht="14.4" thickTop="1">
      <c r="A131" s="599"/>
      <c r="B131" s="546">
        <f>B47</f>
        <v>111</v>
      </c>
      <c r="C131" s="523"/>
      <c r="D131" s="523"/>
      <c r="E131" s="523"/>
      <c r="F131" s="523"/>
      <c r="G131" s="587"/>
      <c r="H131" s="587"/>
      <c r="I131" s="587"/>
      <c r="J131" s="587"/>
      <c r="K131" s="523"/>
      <c r="L131" s="524"/>
      <c r="M131" s="590"/>
      <c r="N131" s="1152"/>
      <c r="O131" s="1152"/>
      <c r="P131" s="2684"/>
      <c r="Q131" s="504"/>
    </row>
    <row r="132" spans="1:17" ht="14.4"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2523</v>
      </c>
      <c r="B1" s="2669" t="s">
        <v>2697</v>
      </c>
      <c r="C1" s="1619" t="s">
        <v>2525</v>
      </c>
      <c r="D1" s="1620"/>
      <c r="E1" s="1629"/>
      <c r="F1" s="2585"/>
      <c r="G1" s="1630" t="s">
        <v>2638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2322</v>
      </c>
      <c r="B2" s="1417" t="e">
        <f ca="1">IF(C2="——",ROUND(C43*D3/10000,0),ROUND(C43*D3/10000,0)-D2)</f>
        <v>#DIV/0!</v>
      </c>
      <c r="C2" s="2587"/>
      <c r="D2" s="1124" t="e">
        <f ca="1">SUMIF(INDIRECT("'"&amp;F2&amp;"'"&amp;"!A:A"),"承租人权益价值",INDIRECT("'"&amp;F2&amp;"'"&amp;"!c:c"))</f>
        <v>#REF!</v>
      </c>
      <c r="E2" s="2588" t="s">
        <v>2323</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4457.2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2640</v>
      </c>
      <c r="B4" s="402"/>
      <c r="C4" s="3214" t="s">
        <v>2641</v>
      </c>
      <c r="D4" s="3215"/>
      <c r="E4" s="3216" t="s">
        <v>2642</v>
      </c>
      <c r="F4" s="3217"/>
      <c r="G4" s="3214" t="s">
        <v>2643</v>
      </c>
      <c r="H4" s="3215"/>
      <c r="I4" s="3214" t="s">
        <v>2644</v>
      </c>
      <c r="J4" s="3215"/>
      <c r="K4" s="610" t="s">
        <v>2645</v>
      </c>
      <c r="L4" s="1130"/>
      <c r="M4" s="1131"/>
      <c r="N4" s="1131"/>
      <c r="O4" s="1131"/>
      <c r="P4" s="3218" t="s">
        <v>2646</v>
      </c>
      <c r="Q4" s="3219"/>
      <c r="R4" s="3201" t="s">
        <v>2642</v>
      </c>
      <c r="S4" s="3202"/>
      <c r="T4" s="3201" t="s">
        <v>2643</v>
      </c>
      <c r="U4" s="3202"/>
      <c r="V4" s="3226" t="s">
        <v>2644</v>
      </c>
      <c r="W4" s="3226"/>
      <c r="X4" s="1812"/>
      <c r="Y4" s="3201" t="s">
        <v>2646</v>
      </c>
      <c r="Z4" s="3202"/>
      <c r="AA4" s="3196" t="s">
        <v>2642</v>
      </c>
      <c r="AB4" s="3197" t="s">
        <v>2643</v>
      </c>
      <c r="AC4" s="3196" t="s">
        <v>2644</v>
      </c>
    </row>
    <row r="5" spans="1:29">
      <c r="A5" s="404"/>
      <c r="B5" s="405"/>
      <c r="C5" s="3207" t="s">
        <v>2537</v>
      </c>
      <c r="D5" s="3208"/>
      <c r="E5" s="3205" t="s">
        <v>2538</v>
      </c>
      <c r="F5" s="3206"/>
      <c r="G5" s="3207" t="s">
        <v>2539</v>
      </c>
      <c r="H5" s="3208"/>
      <c r="I5" s="3207" t="s">
        <v>2540</v>
      </c>
      <c r="J5" s="3208"/>
      <c r="K5" s="610"/>
      <c r="L5" s="1130"/>
      <c r="M5" s="1131"/>
      <c r="N5" s="1131"/>
      <c r="O5" s="1131"/>
      <c r="P5" s="3220"/>
      <c r="Q5" s="3221"/>
      <c r="R5" s="3203"/>
      <c r="S5" s="3204"/>
      <c r="T5" s="3203"/>
      <c r="U5" s="3204"/>
      <c r="V5" s="3226"/>
      <c r="W5" s="3226"/>
      <c r="X5" s="1812"/>
      <c r="Y5" s="3203"/>
      <c r="Z5" s="3204"/>
      <c r="AA5" s="3197"/>
      <c r="AB5" s="3197"/>
      <c r="AC5" s="3197"/>
    </row>
    <row r="6" spans="1:29" ht="15" thickBot="1">
      <c r="A6" s="406"/>
      <c r="B6" s="407"/>
      <c r="C6" s="3209" t="s">
        <v>2541</v>
      </c>
      <c r="D6" s="3210"/>
      <c r="E6" s="3211" t="s">
        <v>2541</v>
      </c>
      <c r="F6" s="3212"/>
      <c r="G6" s="3209" t="s">
        <v>2541</v>
      </c>
      <c r="H6" s="3210"/>
      <c r="I6" s="3209" t="s">
        <v>2541</v>
      </c>
      <c r="J6" s="3210"/>
      <c r="K6" s="610" t="s">
        <v>2542</v>
      </c>
      <c r="L6" s="1130"/>
      <c r="M6" s="1131"/>
      <c r="N6" s="1131"/>
      <c r="O6" s="1131"/>
      <c r="P6" s="3222"/>
      <c r="Q6" s="3223"/>
      <c r="R6" s="3203"/>
      <c r="S6" s="3204"/>
      <c r="T6" s="3224"/>
      <c r="U6" s="3225"/>
      <c r="V6" s="3226"/>
      <c r="W6" s="3226"/>
      <c r="X6" s="1812"/>
      <c r="Y6" s="3224"/>
      <c r="Z6" s="3225"/>
      <c r="AA6" s="3198"/>
      <c r="AB6" s="3198"/>
      <c r="AC6" s="3198"/>
    </row>
    <row r="7" spans="1:29" s="117" customFormat="1" ht="15" thickBot="1">
      <c r="A7" s="408" t="s">
        <v>2543</v>
      </c>
      <c r="B7" s="409"/>
      <c r="C7" s="410">
        <f>'数据-取费表'!B2</f>
        <v>43915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9" t="s">
        <v>2544</v>
      </c>
      <c r="Q7" s="3227"/>
      <c r="R7" s="770" t="s">
        <v>17</v>
      </c>
      <c r="S7" s="771">
        <f t="shared" ref="S7:S15" si="0">F7</f>
        <v>0</v>
      </c>
      <c r="T7" s="770" t="s">
        <v>17</v>
      </c>
      <c r="U7" s="771">
        <f t="shared" ref="U7:U15" si="1">H7</f>
        <v>0</v>
      </c>
      <c r="V7" s="770" t="s">
        <v>17</v>
      </c>
      <c r="W7" s="771">
        <f t="shared" ref="W7:W15" si="2">J7</f>
        <v>0</v>
      </c>
      <c r="X7" s="772"/>
      <c r="Y7" s="3199" t="s">
        <v>2544</v>
      </c>
      <c r="Z7" s="3200"/>
      <c r="AA7" s="773" t="e">
        <f>D7/F7</f>
        <v>#DIV/0!</v>
      </c>
      <c r="AB7" s="773" t="e">
        <f>D7/H7</f>
        <v>#DIV/0!</v>
      </c>
      <c r="AC7" s="773" t="e">
        <f>D7/J7</f>
        <v>#DIV/0!</v>
      </c>
    </row>
    <row r="8" spans="1:29" s="117" customFormat="1" ht="1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9" t="s">
        <v>2547</v>
      </c>
      <c r="Q8" s="3200"/>
      <c r="R8" s="770" t="s">
        <v>17</v>
      </c>
      <c r="S8" s="771">
        <f t="shared" si="0"/>
        <v>0</v>
      </c>
      <c r="T8" s="770" t="s">
        <v>17</v>
      </c>
      <c r="U8" s="771">
        <f t="shared" si="1"/>
        <v>0</v>
      </c>
      <c r="V8" s="770" t="s">
        <v>17</v>
      </c>
      <c r="W8" s="771">
        <f t="shared" si="2"/>
        <v>0</v>
      </c>
      <c r="X8" s="772"/>
      <c r="Y8" s="3199" t="s">
        <v>2547</v>
      </c>
      <c r="Z8" s="3200"/>
      <c r="AA8" s="773" t="e">
        <f t="shared" ref="AA8:AA40" si="3">D8/F8</f>
        <v>#DIV/0!</v>
      </c>
      <c r="AB8" s="773" t="e">
        <f t="shared" ref="AB8:AB40" si="4">D8/H8</f>
        <v>#DIV/0!</v>
      </c>
      <c r="AC8" s="773" t="e">
        <f t="shared" ref="AC8:AC40" si="5">D8/J8</f>
        <v>#DIV/0!</v>
      </c>
    </row>
    <row r="9" spans="1:29" s="117" customFormat="1" ht="14.4">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1" t="s">
        <v>2550</v>
      </c>
      <c r="Q9" s="1794" t="str">
        <f t="shared" ref="Q9:Q15" si="6">B9</f>
        <v>用途</v>
      </c>
      <c r="R9" s="770" t="s">
        <v>17</v>
      </c>
      <c r="S9" s="771">
        <f t="shared" si="0"/>
        <v>100</v>
      </c>
      <c r="T9" s="770" t="s">
        <v>17</v>
      </c>
      <c r="U9" s="771">
        <f t="shared" si="1"/>
        <v>100</v>
      </c>
      <c r="V9" s="770" t="s">
        <v>17</v>
      </c>
      <c r="W9" s="771">
        <f t="shared" si="2"/>
        <v>100</v>
      </c>
      <c r="X9" s="772"/>
      <c r="Y9" s="3050" t="s">
        <v>2551</v>
      </c>
      <c r="Z9" s="55" t="str">
        <f t="shared" ref="Z9:Z15" si="7">Q9</f>
        <v>用途</v>
      </c>
      <c r="AA9" s="773">
        <f t="shared" si="3"/>
        <v>1</v>
      </c>
      <c r="AB9" s="773">
        <f t="shared" si="4"/>
        <v>1</v>
      </c>
      <c r="AC9" s="773">
        <f t="shared" si="5"/>
        <v>1</v>
      </c>
    </row>
    <row r="10" spans="1:29" s="427" customFormat="1" ht="28.8">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1"/>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1"/>
      <c r="Q11" s="1794"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31"/>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31"/>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6"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31"/>
      <c r="Q14" s="1794">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69">
      <c r="A15" s="440" t="s">
        <v>2554</v>
      </c>
      <c r="B15" s="69" t="s">
        <v>2698</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3" t="s">
        <v>2555</v>
      </c>
      <c r="Q15" s="1809" t="str">
        <f t="shared" si="6"/>
        <v>产业集聚程度</v>
      </c>
      <c r="R15" s="774" t="s">
        <v>17</v>
      </c>
      <c r="S15" s="775">
        <f t="shared" si="0"/>
        <v>100</v>
      </c>
      <c r="T15" s="774" t="s">
        <v>17</v>
      </c>
      <c r="U15" s="775">
        <f t="shared" si="1"/>
        <v>100</v>
      </c>
      <c r="V15" s="774" t="s">
        <v>17</v>
      </c>
      <c r="W15" s="775">
        <f t="shared" si="2"/>
        <v>100</v>
      </c>
      <c r="X15" s="1812"/>
      <c r="Y15" s="3233" t="s">
        <v>2555</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34"/>
      <c r="Q16" s="1809"/>
      <c r="R16" s="774"/>
      <c r="S16" s="775"/>
      <c r="T16" s="774"/>
      <c r="U16" s="775"/>
      <c r="V16" s="774"/>
      <c r="W16" s="775"/>
      <c r="X16" s="1812"/>
      <c r="Y16" s="3234"/>
      <c r="Z16" s="1813"/>
      <c r="AA16" s="1810">
        <v>1</v>
      </c>
      <c r="AB16" s="1810">
        <v>1</v>
      </c>
      <c r="AC16" s="1810">
        <v>1</v>
      </c>
    </row>
    <row r="17" spans="1:29" ht="96.6">
      <c r="A17" s="428"/>
      <c r="B17" s="451" t="s">
        <v>2095</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4"/>
      <c r="Q17" s="1809" t="str">
        <f>B17</f>
        <v>交通便捷度</v>
      </c>
      <c r="R17" s="774" t="s">
        <v>17</v>
      </c>
      <c r="S17" s="775">
        <f>F17</f>
        <v>100</v>
      </c>
      <c r="T17" s="774" t="s">
        <v>17</v>
      </c>
      <c r="U17" s="775">
        <f>H17</f>
        <v>100</v>
      </c>
      <c r="V17" s="774" t="s">
        <v>17</v>
      </c>
      <c r="W17" s="775">
        <f>J17</f>
        <v>100</v>
      </c>
      <c r="X17" s="1812"/>
      <c r="Y17" s="3234"/>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234"/>
      <c r="Q18" s="1809"/>
      <c r="R18" s="774"/>
      <c r="S18" s="775"/>
      <c r="T18" s="774"/>
      <c r="U18" s="775"/>
      <c r="V18" s="774"/>
      <c r="W18" s="775"/>
      <c r="X18" s="1812"/>
      <c r="Y18" s="3234"/>
      <c r="Z18" s="1813"/>
      <c r="AA18" s="1810">
        <v>1</v>
      </c>
      <c r="AB18" s="1810">
        <v>1</v>
      </c>
      <c r="AC18" s="1810">
        <v>1</v>
      </c>
    </row>
    <row r="19" spans="1:29" ht="41.4">
      <c r="A19" s="428"/>
      <c r="B19" s="451" t="s">
        <v>2683</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4"/>
      <c r="Q19" s="1809" t="str">
        <f>B19</f>
        <v>公共配套设施</v>
      </c>
      <c r="R19" s="774" t="s">
        <v>17</v>
      </c>
      <c r="S19" s="775">
        <f>F19</f>
        <v>100</v>
      </c>
      <c r="T19" s="774" t="s">
        <v>17</v>
      </c>
      <c r="U19" s="775">
        <f>H19</f>
        <v>100</v>
      </c>
      <c r="V19" s="774" t="s">
        <v>17</v>
      </c>
      <c r="W19" s="775">
        <f>J19</f>
        <v>100</v>
      </c>
      <c r="X19" s="1812"/>
      <c r="Y19" s="3234"/>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234"/>
      <c r="Q20" s="1809"/>
      <c r="R20" s="774"/>
      <c r="S20" s="775"/>
      <c r="T20" s="774"/>
      <c r="U20" s="775"/>
      <c r="V20" s="774"/>
      <c r="W20" s="775"/>
      <c r="X20" s="1812"/>
      <c r="Y20" s="3234"/>
      <c r="Z20" s="1813"/>
      <c r="AA20" s="1810">
        <v>1</v>
      </c>
      <c r="AB20" s="1810">
        <v>1</v>
      </c>
      <c r="AC20" s="1810">
        <v>1</v>
      </c>
    </row>
    <row r="21" spans="1:29" ht="41.4">
      <c r="A21" s="428"/>
      <c r="B21" s="1383" t="s">
        <v>2684</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4"/>
      <c r="Q21" s="1809" t="str">
        <f>B21</f>
        <v>基础设施水平</v>
      </c>
      <c r="R21" s="774" t="s">
        <v>17</v>
      </c>
      <c r="S21" s="775">
        <f>F21</f>
        <v>100</v>
      </c>
      <c r="T21" s="774" t="s">
        <v>17</v>
      </c>
      <c r="U21" s="775">
        <f>H21</f>
        <v>100</v>
      </c>
      <c r="V21" s="774" t="s">
        <v>17</v>
      </c>
      <c r="W21" s="775">
        <f>J21</f>
        <v>100</v>
      </c>
      <c r="X21" s="1812"/>
      <c r="Y21" s="3234"/>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40"/>
      <c r="M22" s="1131"/>
      <c r="N22" s="1131"/>
      <c r="O22" s="1139"/>
      <c r="P22" s="3234"/>
      <c r="Q22" s="1809"/>
      <c r="R22" s="774"/>
      <c r="S22" s="775"/>
      <c r="T22" s="774"/>
      <c r="U22" s="775"/>
      <c r="V22" s="774"/>
      <c r="W22" s="775"/>
      <c r="X22" s="1812"/>
      <c r="Y22" s="3234"/>
      <c r="Z22" s="1813"/>
      <c r="AA22" s="1810">
        <v>1</v>
      </c>
      <c r="AB22" s="1810">
        <v>1</v>
      </c>
      <c r="AC22" s="1810">
        <v>1</v>
      </c>
    </row>
    <row r="23" spans="1:29" ht="82.8">
      <c r="A23" s="428"/>
      <c r="B23" s="451" t="s">
        <v>2685</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4"/>
      <c r="Q23" s="1809" t="str">
        <f>B23</f>
        <v>环境质量</v>
      </c>
      <c r="R23" s="774" t="s">
        <v>17</v>
      </c>
      <c r="S23" s="775">
        <f>F23</f>
        <v>100</v>
      </c>
      <c r="T23" s="774" t="s">
        <v>17</v>
      </c>
      <c r="U23" s="775">
        <f>H23</f>
        <v>100</v>
      </c>
      <c r="V23" s="774" t="s">
        <v>17</v>
      </c>
      <c r="W23" s="775">
        <f>J23</f>
        <v>100</v>
      </c>
      <c r="X23" s="1812"/>
      <c r="Y23" s="3234"/>
      <c r="Z23" s="1813" t="str">
        <f>Q23</f>
        <v>环境质量</v>
      </c>
      <c r="AA23" s="1810">
        <f t="shared" si="3"/>
        <v>1</v>
      </c>
      <c r="AB23" s="1810">
        <f t="shared" si="4"/>
        <v>1</v>
      </c>
      <c r="AC23" s="1810">
        <f t="shared" si="5"/>
        <v>1</v>
      </c>
    </row>
    <row r="24" spans="1:29" ht="15">
      <c r="A24" s="428"/>
      <c r="B24" s="1383"/>
      <c r="C24" s="447"/>
      <c r="D24" s="448"/>
      <c r="E24" s="2605"/>
      <c r="F24" s="449"/>
      <c r="G24" s="2604"/>
      <c r="H24" s="448"/>
      <c r="I24" s="2605"/>
      <c r="J24" s="448"/>
      <c r="K24" s="615"/>
      <c r="L24" s="1140"/>
      <c r="M24" s="1131"/>
      <c r="N24" s="1131"/>
      <c r="O24" s="1139"/>
      <c r="P24" s="3234"/>
      <c r="Q24" s="1809"/>
      <c r="R24" s="774"/>
      <c r="S24" s="775"/>
      <c r="T24" s="774"/>
      <c r="U24" s="775"/>
      <c r="V24" s="774"/>
      <c r="W24" s="775"/>
      <c r="X24" s="1812"/>
      <c r="Y24" s="3234"/>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4"/>
      <c r="Q25" s="1809">
        <f>B25</f>
        <v>111</v>
      </c>
      <c r="R25" s="774" t="s">
        <v>17</v>
      </c>
      <c r="S25" s="775">
        <f>F25</f>
        <v>100</v>
      </c>
      <c r="T25" s="774" t="s">
        <v>17</v>
      </c>
      <c r="U25" s="775">
        <f>H25</f>
        <v>100</v>
      </c>
      <c r="V25" s="774" t="s">
        <v>17</v>
      </c>
      <c r="W25" s="775">
        <f>J25</f>
        <v>100</v>
      </c>
      <c r="X25" s="1812"/>
      <c r="Y25" s="3234"/>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4"/>
      <c r="Q26" s="1809">
        <f t="shared" ref="Q26:Q40" si="11">B26</f>
        <v>111</v>
      </c>
      <c r="R26" s="774" t="s">
        <v>17</v>
      </c>
      <c r="S26" s="775">
        <f>F26</f>
        <v>100</v>
      </c>
      <c r="T26" s="774" t="s">
        <v>17</v>
      </c>
      <c r="U26" s="775">
        <f>H26</f>
        <v>100</v>
      </c>
      <c r="V26" s="774" t="s">
        <v>17</v>
      </c>
      <c r="W26" s="775">
        <f>J26</f>
        <v>100</v>
      </c>
      <c r="X26" s="1812"/>
      <c r="Y26" s="3234"/>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4"/>
      <c r="Q27" s="1794">
        <f t="shared" si="11"/>
        <v>111</v>
      </c>
      <c r="R27" s="770" t="s">
        <v>17</v>
      </c>
      <c r="S27" s="771">
        <f>F27</f>
        <v>100</v>
      </c>
      <c r="T27" s="770" t="s">
        <v>17</v>
      </c>
      <c r="U27" s="771">
        <f>H27</f>
        <v>100</v>
      </c>
      <c r="V27" s="770" t="s">
        <v>17</v>
      </c>
      <c r="W27" s="771">
        <f>J27</f>
        <v>100</v>
      </c>
      <c r="X27" s="772"/>
      <c r="Y27" s="3234"/>
      <c r="Z27" s="55">
        <f>Q27</f>
        <v>111</v>
      </c>
      <c r="AA27" s="1810">
        <f>D27/F27</f>
        <v>1</v>
      </c>
      <c r="AB27" s="1810">
        <f>D27/H27</f>
        <v>1</v>
      </c>
      <c r="AC27" s="1810">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4"/>
      <c r="Q28" s="1809">
        <f t="shared" si="11"/>
        <v>111</v>
      </c>
      <c r="R28" s="774" t="s">
        <v>17</v>
      </c>
      <c r="S28" s="775">
        <f t="shared" ref="S28:S40" si="12">F28</f>
        <v>100</v>
      </c>
      <c r="T28" s="774" t="s">
        <v>17</v>
      </c>
      <c r="U28" s="775">
        <f t="shared" ref="U28:U40" si="13">H28</f>
        <v>100</v>
      </c>
      <c r="V28" s="774" t="s">
        <v>17</v>
      </c>
      <c r="W28" s="775">
        <f t="shared" ref="W28:W40" si="14">J28</f>
        <v>100</v>
      </c>
      <c r="X28" s="1812"/>
      <c r="Y28" s="3234"/>
      <c r="Z28" s="1813">
        <f t="shared" ref="Z28:Z40" si="15">Q28</f>
        <v>111</v>
      </c>
      <c r="AA28" s="1810">
        <f t="shared" si="3"/>
        <v>1</v>
      </c>
      <c r="AB28" s="1810">
        <f t="shared" si="4"/>
        <v>1</v>
      </c>
      <c r="AC28" s="1810">
        <f t="shared" si="5"/>
        <v>1</v>
      </c>
    </row>
    <row r="29" spans="1:29" ht="30">
      <c r="A29" s="466" t="s">
        <v>2558</v>
      </c>
      <c r="B29" s="71" t="s">
        <v>2688</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84" t="s">
        <v>2560</v>
      </c>
      <c r="Q29" s="1809" t="str">
        <f t="shared" si="11"/>
        <v>建筑类型</v>
      </c>
      <c r="R29" s="774" t="s">
        <v>17</v>
      </c>
      <c r="S29" s="775">
        <f t="shared" si="12"/>
        <v>100</v>
      </c>
      <c r="T29" s="774" t="s">
        <v>17</v>
      </c>
      <c r="U29" s="775">
        <f t="shared" si="13"/>
        <v>100</v>
      </c>
      <c r="V29" s="774" t="s">
        <v>17</v>
      </c>
      <c r="W29" s="775">
        <f t="shared" si="14"/>
        <v>100</v>
      </c>
      <c r="X29" s="1812"/>
      <c r="Y29" s="3238" t="s">
        <v>2560</v>
      </c>
      <c r="Z29" s="1813" t="str">
        <f t="shared" si="15"/>
        <v>建筑类型</v>
      </c>
      <c r="AA29" s="1810">
        <f t="shared" si="3"/>
        <v>1</v>
      </c>
      <c r="AB29" s="1810">
        <f t="shared" si="4"/>
        <v>1</v>
      </c>
      <c r="AC29" s="1810">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8"/>
      <c r="Q30" s="776" t="str">
        <f t="shared" si="11"/>
        <v>项目建筑规模</v>
      </c>
      <c r="R30" s="777" t="s">
        <v>17</v>
      </c>
      <c r="S30" s="778" t="e">
        <f t="shared" si="12"/>
        <v>#N/A</v>
      </c>
      <c r="T30" s="777" t="s">
        <v>17</v>
      </c>
      <c r="U30" s="778" t="e">
        <f t="shared" si="13"/>
        <v>#N/A</v>
      </c>
      <c r="V30" s="777" t="s">
        <v>17</v>
      </c>
      <c r="W30" s="778" t="e">
        <f t="shared" si="14"/>
        <v>#N/A</v>
      </c>
      <c r="X30" s="779"/>
      <c r="Y30" s="3238"/>
      <c r="Z30" s="780" t="str">
        <f t="shared" si="15"/>
        <v>项目建筑规模</v>
      </c>
      <c r="AA30" s="1810" t="e">
        <f t="shared" si="3"/>
        <v>#N/A</v>
      </c>
      <c r="AB30" s="1810" t="e">
        <f t="shared" si="4"/>
        <v>#N/A</v>
      </c>
      <c r="AC30" s="1810"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8"/>
      <c r="Q31" s="1809" t="str">
        <f t="shared" si="11"/>
        <v>建筑结构</v>
      </c>
      <c r="R31" s="774" t="s">
        <v>17</v>
      </c>
      <c r="S31" s="775">
        <f t="shared" si="12"/>
        <v>100</v>
      </c>
      <c r="T31" s="774" t="s">
        <v>17</v>
      </c>
      <c r="U31" s="775">
        <f t="shared" si="13"/>
        <v>100</v>
      </c>
      <c r="V31" s="774" t="s">
        <v>17</v>
      </c>
      <c r="W31" s="775">
        <f t="shared" si="14"/>
        <v>100</v>
      </c>
      <c r="X31" s="1812"/>
      <c r="Y31" s="3238"/>
      <c r="Z31" s="1813" t="str">
        <f t="shared" si="15"/>
        <v>建筑结构</v>
      </c>
      <c r="AA31" s="1810">
        <f t="shared" si="3"/>
        <v>1</v>
      </c>
      <c r="AB31" s="1810">
        <f t="shared" si="4"/>
        <v>1</v>
      </c>
      <c r="AC31" s="1810">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8"/>
      <c r="Q32" s="1809" t="str">
        <f t="shared" si="11"/>
        <v>公共部分装修</v>
      </c>
      <c r="R32" s="774" t="s">
        <v>17</v>
      </c>
      <c r="S32" s="775">
        <f t="shared" si="12"/>
        <v>100</v>
      </c>
      <c r="T32" s="774" t="s">
        <v>17</v>
      </c>
      <c r="U32" s="775">
        <f t="shared" si="13"/>
        <v>100</v>
      </c>
      <c r="V32" s="774" t="s">
        <v>17</v>
      </c>
      <c r="W32" s="775">
        <f t="shared" si="14"/>
        <v>100</v>
      </c>
      <c r="X32" s="1812"/>
      <c r="Y32" s="3238"/>
      <c r="Z32" s="1813" t="str">
        <f t="shared" si="15"/>
        <v>公共部分装修</v>
      </c>
      <c r="AA32" s="1810">
        <f t="shared" si="3"/>
        <v>1</v>
      </c>
      <c r="AB32" s="1810">
        <f t="shared" si="4"/>
        <v>1</v>
      </c>
      <c r="AC32" s="1810">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8"/>
      <c r="Q33" s="1809" t="str">
        <f t="shared" si="11"/>
        <v>成新度</v>
      </c>
      <c r="R33" s="774" t="s">
        <v>17</v>
      </c>
      <c r="S33" s="775" t="e">
        <f t="shared" si="12"/>
        <v>#N/A</v>
      </c>
      <c r="T33" s="774" t="s">
        <v>17</v>
      </c>
      <c r="U33" s="775" t="e">
        <f t="shared" si="13"/>
        <v>#N/A</v>
      </c>
      <c r="V33" s="774" t="s">
        <v>17</v>
      </c>
      <c r="W33" s="775" t="e">
        <f t="shared" si="14"/>
        <v>#N/A</v>
      </c>
      <c r="X33" s="1812"/>
      <c r="Y33" s="3238"/>
      <c r="Z33" s="1813" t="str">
        <f t="shared" si="15"/>
        <v>成新度</v>
      </c>
      <c r="AA33" s="1810" t="e">
        <f t="shared" si="3"/>
        <v>#N/A</v>
      </c>
      <c r="AB33" s="1810" t="e">
        <f t="shared" si="4"/>
        <v>#N/A</v>
      </c>
      <c r="AC33" s="1810"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8"/>
      <c r="Q34" s="1794" t="str">
        <f t="shared" si="11"/>
        <v>物业管理</v>
      </c>
      <c r="R34" s="770" t="s">
        <v>17</v>
      </c>
      <c r="S34" s="771">
        <f t="shared" si="12"/>
        <v>100</v>
      </c>
      <c r="T34" s="770" t="s">
        <v>17</v>
      </c>
      <c r="U34" s="771">
        <f t="shared" si="13"/>
        <v>100</v>
      </c>
      <c r="V34" s="770" t="s">
        <v>17</v>
      </c>
      <c r="W34" s="771">
        <f t="shared" si="14"/>
        <v>100</v>
      </c>
      <c r="X34" s="772"/>
      <c r="Y34" s="3238"/>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8" t="s">
        <v>2560</v>
      </c>
      <c r="Q35" s="1809" t="str">
        <f t="shared" si="11"/>
        <v>市政基础设施</v>
      </c>
      <c r="R35" s="774" t="s">
        <v>17</v>
      </c>
      <c r="S35" s="775">
        <f t="shared" si="12"/>
        <v>100</v>
      </c>
      <c r="T35" s="774" t="s">
        <v>17</v>
      </c>
      <c r="U35" s="775">
        <f t="shared" si="13"/>
        <v>100</v>
      </c>
      <c r="V35" s="774" t="s">
        <v>17</v>
      </c>
      <c r="W35" s="775">
        <f t="shared" si="14"/>
        <v>100</v>
      </c>
      <c r="X35" s="1812"/>
      <c r="Y35" s="3238" t="s">
        <v>2560</v>
      </c>
      <c r="Z35" s="1813" t="str">
        <f t="shared" si="15"/>
        <v>市政基础设施</v>
      </c>
      <c r="AA35" s="1810">
        <f t="shared" si="3"/>
        <v>1</v>
      </c>
      <c r="AB35" s="1810">
        <f t="shared" si="4"/>
        <v>1</v>
      </c>
      <c r="AC35" s="1810">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8"/>
      <c r="Q36" s="1809" t="str">
        <f t="shared" si="11"/>
        <v>内部装修</v>
      </c>
      <c r="R36" s="774" t="s">
        <v>17</v>
      </c>
      <c r="S36" s="775">
        <f t="shared" si="12"/>
        <v>100</v>
      </c>
      <c r="T36" s="774" t="s">
        <v>17</v>
      </c>
      <c r="U36" s="775">
        <f t="shared" si="13"/>
        <v>100</v>
      </c>
      <c r="V36" s="774" t="s">
        <v>17</v>
      </c>
      <c r="W36" s="775">
        <f t="shared" si="14"/>
        <v>100</v>
      </c>
      <c r="X36" s="1812"/>
      <c r="Y36" s="3238"/>
      <c r="Z36" s="1813" t="str">
        <f t="shared" si="15"/>
        <v>内部装修</v>
      </c>
      <c r="AA36" s="1810">
        <f t="shared" si="3"/>
        <v>1</v>
      </c>
      <c r="AB36" s="1810">
        <f t="shared" si="4"/>
        <v>1</v>
      </c>
      <c r="AC36" s="1810">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8"/>
      <c r="Q37" s="1809" t="str">
        <f t="shared" si="11"/>
        <v>内部装修状况</v>
      </c>
      <c r="R37" s="774" t="s">
        <v>17</v>
      </c>
      <c r="S37" s="775">
        <f t="shared" si="12"/>
        <v>100</v>
      </c>
      <c r="T37" s="774" t="s">
        <v>17</v>
      </c>
      <c r="U37" s="775">
        <f t="shared" si="13"/>
        <v>100</v>
      </c>
      <c r="V37" s="774" t="s">
        <v>17</v>
      </c>
      <c r="W37" s="775">
        <f t="shared" si="14"/>
        <v>100</v>
      </c>
      <c r="X37" s="1812"/>
      <c r="Y37" s="3238"/>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8"/>
      <c r="Q38" s="776">
        <f t="shared" si="11"/>
        <v>111</v>
      </c>
      <c r="R38" s="777" t="s">
        <v>17</v>
      </c>
      <c r="S38" s="778">
        <f t="shared" si="12"/>
        <v>100</v>
      </c>
      <c r="T38" s="777" t="s">
        <v>17</v>
      </c>
      <c r="U38" s="778">
        <f t="shared" si="13"/>
        <v>100</v>
      </c>
      <c r="V38" s="777" t="s">
        <v>17</v>
      </c>
      <c r="W38" s="778">
        <f t="shared" si="14"/>
        <v>100</v>
      </c>
      <c r="X38" s="779"/>
      <c r="Y38" s="3238"/>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8"/>
      <c r="Q39" s="1809">
        <f t="shared" si="11"/>
        <v>111</v>
      </c>
      <c r="R39" s="774" t="s">
        <v>17</v>
      </c>
      <c r="S39" s="775">
        <f t="shared" si="12"/>
        <v>100</v>
      </c>
      <c r="T39" s="774" t="s">
        <v>17</v>
      </c>
      <c r="U39" s="775">
        <f t="shared" si="13"/>
        <v>100</v>
      </c>
      <c r="V39" s="774" t="s">
        <v>17</v>
      </c>
      <c r="W39" s="775">
        <f t="shared" si="14"/>
        <v>100</v>
      </c>
      <c r="X39" s="1812"/>
      <c r="Y39" s="3238"/>
      <c r="Z39" s="1813">
        <f t="shared" si="15"/>
        <v>111</v>
      </c>
      <c r="AA39" s="1810">
        <f t="shared" si="3"/>
        <v>1</v>
      </c>
      <c r="AB39" s="1810">
        <f t="shared" si="4"/>
        <v>1</v>
      </c>
      <c r="AC39" s="1810">
        <f t="shared" si="5"/>
        <v>1</v>
      </c>
    </row>
    <row r="40" spans="1:29" ht="15.6"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9"/>
      <c r="Q40" s="1809">
        <f t="shared" si="11"/>
        <v>111</v>
      </c>
      <c r="R40" s="774" t="s">
        <v>17</v>
      </c>
      <c r="S40" s="775">
        <f t="shared" si="12"/>
        <v>100</v>
      </c>
      <c r="T40" s="774" t="s">
        <v>17</v>
      </c>
      <c r="U40" s="775">
        <f t="shared" si="13"/>
        <v>100</v>
      </c>
      <c r="V40" s="774" t="s">
        <v>17</v>
      </c>
      <c r="W40" s="775">
        <f t="shared" si="14"/>
        <v>100</v>
      </c>
      <c r="X40" s="1812"/>
      <c r="Y40" s="3239"/>
      <c r="Z40" s="1813">
        <f t="shared" si="15"/>
        <v>111</v>
      </c>
      <c r="AA40" s="1810">
        <f t="shared" si="3"/>
        <v>1</v>
      </c>
      <c r="AB40" s="1810">
        <f t="shared" si="4"/>
        <v>1</v>
      </c>
      <c r="AC40" s="1810">
        <f t="shared" si="5"/>
        <v>1</v>
      </c>
    </row>
    <row r="41" spans="1:29" ht="14.4">
      <c r="A41" s="479" t="s">
        <v>2572</v>
      </c>
      <c r="B41" s="480"/>
      <c r="C41" s="1406" t="s">
        <v>1</v>
      </c>
      <c r="D41" s="1407"/>
      <c r="E41" s="1408"/>
      <c r="F41" s="1409"/>
      <c r="G41" s="1410"/>
      <c r="H41" s="1411"/>
      <c r="I41" s="1408"/>
      <c r="J41" s="1411"/>
      <c r="K41" s="783"/>
      <c r="L41" s="1143"/>
      <c r="M41" s="1144"/>
      <c r="N41" s="1131"/>
      <c r="O41" s="1144"/>
      <c r="P41" s="3231" t="str">
        <f>A41</f>
        <v>成交单价（元/平方米）</v>
      </c>
      <c r="Q41" s="3231"/>
      <c r="R41" s="3232">
        <f>E41</f>
        <v>0</v>
      </c>
      <c r="S41" s="3232"/>
      <c r="T41" s="3232">
        <f>G41</f>
        <v>0</v>
      </c>
      <c r="U41" s="3232"/>
      <c r="V41" s="3232">
        <f>I41</f>
        <v>0</v>
      </c>
      <c r="W41" s="3232"/>
      <c r="X41" s="759"/>
      <c r="Y41" s="781"/>
      <c r="Z41" s="759"/>
      <c r="AA41" s="759"/>
      <c r="AB41" s="759"/>
      <c r="AC41" s="759"/>
    </row>
    <row r="42" spans="1:29" ht="15" thickBot="1">
      <c r="A42" s="486" t="s">
        <v>2664</v>
      </c>
      <c r="B42" s="487"/>
      <c r="C42" s="1412" t="e">
        <f>R43</f>
        <v>#DIV/0!</v>
      </c>
      <c r="D42" s="1413"/>
      <c r="E42" s="1414" t="e">
        <f>R42</f>
        <v>#DIV/0!</v>
      </c>
      <c r="F42" s="1414"/>
      <c r="G42" s="1412" t="e">
        <f>T42</f>
        <v>#DIV/0!</v>
      </c>
      <c r="H42" s="1413"/>
      <c r="I42" s="1414" t="e">
        <f>V42</f>
        <v>#DIV/0!</v>
      </c>
      <c r="J42" s="1413"/>
      <c r="K42" s="784"/>
      <c r="L42" s="1143"/>
      <c r="M42" s="1144"/>
      <c r="N42" s="1131"/>
      <c r="O42" s="1144"/>
      <c r="P42" s="3231" t="str">
        <f>A42</f>
        <v>比较价值（元/平方米）</v>
      </c>
      <c r="Q42" s="3231"/>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9"/>
      <c r="Y42" s="759"/>
      <c r="Z42" s="759"/>
      <c r="AA42" s="759"/>
      <c r="AB42" s="759"/>
      <c r="AC42" s="759"/>
    </row>
    <row r="43" spans="1:29" ht="15" thickBot="1">
      <c r="A43" s="492" t="s">
        <v>2665</v>
      </c>
      <c r="B43" s="493"/>
      <c r="C43" s="1416" t="e">
        <f>R43</f>
        <v>#DIV/0!</v>
      </c>
      <c r="D43" s="1416"/>
      <c r="E43" s="1416"/>
      <c r="F43" s="1416"/>
      <c r="G43" s="1416"/>
      <c r="H43" s="1416"/>
      <c r="I43" s="1416"/>
      <c r="J43" s="1416"/>
      <c r="K43" s="785"/>
      <c r="L43" s="1143"/>
      <c r="M43" s="1144"/>
      <c r="N43" s="1144"/>
      <c r="O43" s="1144"/>
      <c r="P43" s="3228" t="str">
        <f>A43</f>
        <v>估价对象XX用房的比较价值（楼面单价，元/平方米）</v>
      </c>
      <c r="Q43" s="3229"/>
      <c r="R43" s="3230" t="e">
        <f>IF(F1="售价",ROUND(AVERAGE(R42:V42),0),ROUND(AVERAGE(R42:V42),1))</f>
        <v>#DIV/0!</v>
      </c>
      <c r="S43" s="3230"/>
      <c r="T43" s="3230"/>
      <c r="U43" s="3230"/>
      <c r="V43" s="3230"/>
      <c r="W43" s="323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2669</v>
      </c>
      <c r="B51" s="759"/>
      <c r="C51" s="764"/>
      <c r="D51" s="764"/>
      <c r="E51" s="764"/>
      <c r="F51" s="765"/>
      <c r="G51" s="765"/>
      <c r="H51" s="764"/>
      <c r="I51" s="764"/>
      <c r="J51" s="764"/>
      <c r="K51" s="1160"/>
      <c r="L51" s="1161"/>
      <c r="M51" s="1159"/>
      <c r="N51" s="1159"/>
      <c r="O51" s="1159"/>
      <c r="P51" s="503"/>
      <c r="Q51" s="504"/>
    </row>
    <row r="52" spans="1:17" s="508" customFormat="1" ht="14.4">
      <c r="A52" s="505" t="s">
        <v>2543</v>
      </c>
      <c r="B52" s="506"/>
      <c r="C52" s="1573" t="str">
        <f>YEAR(C7)&amp;"-"&amp;MONTH(C7)</f>
        <v>2020-3</v>
      </c>
      <c r="D52" s="1574">
        <f>EDATE(C52,-1)</f>
        <v>43862</v>
      </c>
      <c r="E52" s="1574">
        <f t="shared" ref="E52:O52" si="16">EDATE(D52,-1)</f>
        <v>43831</v>
      </c>
      <c r="F52" s="1574">
        <f t="shared" si="16"/>
        <v>43800</v>
      </c>
      <c r="G52" s="1574">
        <f t="shared" si="16"/>
        <v>43770</v>
      </c>
      <c r="H52" s="1574">
        <f t="shared" si="16"/>
        <v>43739</v>
      </c>
      <c r="I52" s="1574">
        <f t="shared" si="16"/>
        <v>43709</v>
      </c>
      <c r="J52" s="1574">
        <f t="shared" si="16"/>
        <v>43678</v>
      </c>
      <c r="K52" s="1574">
        <f t="shared" si="16"/>
        <v>43647</v>
      </c>
      <c r="L52" s="1574">
        <f t="shared" si="16"/>
        <v>43617</v>
      </c>
      <c r="M52" s="1574">
        <f t="shared" si="16"/>
        <v>43586</v>
      </c>
      <c r="N52" s="1574">
        <f t="shared" si="16"/>
        <v>43556</v>
      </c>
      <c r="O52" s="1574">
        <f t="shared" si="16"/>
        <v>43525</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2580</v>
      </c>
      <c r="B54" s="516"/>
      <c r="C54" s="517"/>
      <c r="D54" s="518"/>
      <c r="E54" s="518"/>
      <c r="F54" s="518"/>
      <c r="G54" s="518"/>
      <c r="H54" s="518"/>
      <c r="I54" s="518"/>
      <c r="J54" s="518"/>
      <c r="K54" s="518"/>
      <c r="L54" s="518"/>
      <c r="M54" s="519"/>
      <c r="N54" s="518"/>
      <c r="O54" s="520"/>
      <c r="P54" s="504"/>
      <c r="Q54" s="504"/>
    </row>
    <row r="55" spans="1:17" s="117" customFormat="1" ht="14.4">
      <c r="A55" s="521" t="s">
        <v>2545</v>
      </c>
      <c r="B55" s="510"/>
      <c r="C55" s="522" t="s">
        <v>2647</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2583</v>
      </c>
      <c r="B57" s="528" t="s">
        <v>2549</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2684</v>
      </c>
      <c r="C76" s="660" t="s">
        <v>2670</v>
      </c>
      <c r="D76" s="660" t="s">
        <v>2671</v>
      </c>
      <c r="E76" s="660" t="s">
        <v>2672</v>
      </c>
      <c r="F76" s="660" t="s">
        <v>2673</v>
      </c>
      <c r="G76" s="660" t="s">
        <v>2674</v>
      </c>
      <c r="H76" s="539"/>
      <c r="I76" s="539"/>
      <c r="J76" s="539"/>
      <c r="K76" s="539"/>
      <c r="L76" s="539"/>
      <c r="M76" s="1381"/>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6"/>
      <c r="B87" s="569"/>
      <c r="C87" s="570"/>
      <c r="D87" s="570"/>
      <c r="E87" s="570"/>
      <c r="F87" s="570"/>
      <c r="G87" s="591"/>
      <c r="H87" s="591"/>
      <c r="I87" s="591"/>
      <c r="J87" s="591"/>
      <c r="K87" s="591"/>
      <c r="L87" s="591"/>
      <c r="M87" s="592"/>
      <c r="N87" s="1153"/>
      <c r="O87" s="1153"/>
      <c r="P87" s="45"/>
      <c r="Q87" s="504"/>
    </row>
    <row r="88" spans="1:17" ht="14.4">
      <c r="A88" s="527" t="s">
        <v>2558</v>
      </c>
      <c r="B88" s="528" t="s">
        <v>2607</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2702</v>
      </c>
      <c r="B1" s="1618"/>
      <c r="C1" s="1619" t="s">
        <v>2525</v>
      </c>
      <c r="D1" s="1620"/>
      <c r="E1" s="1621"/>
      <c r="F1" s="2585"/>
      <c r="G1" s="1622" t="s">
        <v>2638</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2322</v>
      </c>
      <c r="B2" s="1417" t="e">
        <f ca="1">IF(C2="——",IF(B37="元/平方米",ROUND(C39*D3/10000,0),ROUND(F3*C39/10000,0)),IF(B37="元/平方米",ROUND(C39*D3/10000,0),ROUND(F3*C39/10000,0))-D2)</f>
        <v>#DIV/0!</v>
      </c>
      <c r="C2" s="2587"/>
      <c r="D2" s="1124" t="e">
        <f ca="1">SUMIF(INDIRECT("'"&amp;F2&amp;"'"&amp;"!A:A"),"承租人权益价值",INDIRECT("'"&amp;F2&amp;"'"&amp;"!c:c"))</f>
        <v>#REF!</v>
      </c>
      <c r="E2" s="2588" t="s">
        <v>2323</v>
      </c>
      <c r="F2" s="2589"/>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4.4">
      <c r="A4" s="401" t="s">
        <v>2640</v>
      </c>
      <c r="B4" s="402"/>
      <c r="C4" s="3214" t="s">
        <v>2641</v>
      </c>
      <c r="D4" s="3215"/>
      <c r="E4" s="3216" t="s">
        <v>2642</v>
      </c>
      <c r="F4" s="3217"/>
      <c r="G4" s="3214" t="s">
        <v>2643</v>
      </c>
      <c r="H4" s="3215"/>
      <c r="I4" s="3214" t="s">
        <v>2644</v>
      </c>
      <c r="J4" s="3215"/>
      <c r="K4" s="610" t="s">
        <v>2645</v>
      </c>
      <c r="L4" s="1130"/>
      <c r="M4" s="1131"/>
      <c r="N4" s="1131"/>
      <c r="O4" s="1131"/>
      <c r="P4" s="3218" t="s">
        <v>2646</v>
      </c>
      <c r="Q4" s="3219"/>
      <c r="R4" s="3201" t="s">
        <v>2642</v>
      </c>
      <c r="S4" s="3202"/>
      <c r="T4" s="3201" t="s">
        <v>2643</v>
      </c>
      <c r="U4" s="3202"/>
      <c r="V4" s="3226" t="s">
        <v>2644</v>
      </c>
      <c r="W4" s="3226"/>
      <c r="X4" s="1812"/>
      <c r="Y4" s="3201" t="s">
        <v>2646</v>
      </c>
      <c r="Z4" s="3202"/>
      <c r="AA4" s="3196" t="s">
        <v>2642</v>
      </c>
      <c r="AB4" s="3197" t="s">
        <v>2643</v>
      </c>
      <c r="AC4" s="3196" t="s">
        <v>2644</v>
      </c>
    </row>
    <row r="5" spans="1:29">
      <c r="A5" s="404"/>
      <c r="B5" s="405"/>
      <c r="C5" s="3207" t="s">
        <v>2537</v>
      </c>
      <c r="D5" s="3208"/>
      <c r="E5" s="3205" t="s">
        <v>2538</v>
      </c>
      <c r="F5" s="3206"/>
      <c r="G5" s="3207" t="s">
        <v>2539</v>
      </c>
      <c r="H5" s="3208"/>
      <c r="I5" s="3207" t="s">
        <v>2540</v>
      </c>
      <c r="J5" s="3208"/>
      <c r="K5" s="610"/>
      <c r="L5" s="1130"/>
      <c r="M5" s="1131"/>
      <c r="N5" s="1131"/>
      <c r="O5" s="1131"/>
      <c r="P5" s="3220"/>
      <c r="Q5" s="3221"/>
      <c r="R5" s="3203"/>
      <c r="S5" s="3204"/>
      <c r="T5" s="3203"/>
      <c r="U5" s="3204"/>
      <c r="V5" s="3226"/>
      <c r="W5" s="3226"/>
      <c r="X5" s="1812"/>
      <c r="Y5" s="3203"/>
      <c r="Z5" s="3204"/>
      <c r="AA5" s="3197"/>
      <c r="AB5" s="3197"/>
      <c r="AC5" s="3197"/>
    </row>
    <row r="6" spans="1:29" ht="15" thickBot="1">
      <c r="A6" s="406"/>
      <c r="B6" s="407"/>
      <c r="C6" s="3209" t="s">
        <v>2541</v>
      </c>
      <c r="D6" s="3210"/>
      <c r="E6" s="3211" t="s">
        <v>2541</v>
      </c>
      <c r="F6" s="3212"/>
      <c r="G6" s="3209" t="s">
        <v>2541</v>
      </c>
      <c r="H6" s="3210"/>
      <c r="I6" s="3209" t="s">
        <v>2541</v>
      </c>
      <c r="J6" s="3210"/>
      <c r="K6" s="610" t="s">
        <v>2542</v>
      </c>
      <c r="L6" s="1130"/>
      <c r="M6" s="1131"/>
      <c r="N6" s="1131"/>
      <c r="O6" s="1131"/>
      <c r="P6" s="3222"/>
      <c r="Q6" s="3223"/>
      <c r="R6" s="3203"/>
      <c r="S6" s="3204"/>
      <c r="T6" s="3224"/>
      <c r="U6" s="3225"/>
      <c r="V6" s="3226"/>
      <c r="W6" s="3226"/>
      <c r="X6" s="1812"/>
      <c r="Y6" s="3224"/>
      <c r="Z6" s="3225"/>
      <c r="AA6" s="3198"/>
      <c r="AB6" s="3198"/>
      <c r="AC6" s="3198"/>
    </row>
    <row r="7" spans="1:29" s="117" customFormat="1" ht="15" thickBot="1">
      <c r="A7" s="408" t="s">
        <v>2543</v>
      </c>
      <c r="B7" s="409"/>
      <c r="C7" s="410">
        <f>'数据-取费表'!B2</f>
        <v>43915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9" t="s">
        <v>2544</v>
      </c>
      <c r="Q7" s="3227"/>
      <c r="R7" s="770" t="s">
        <v>17</v>
      </c>
      <c r="S7" s="771">
        <f t="shared" ref="S7:S14" si="0">F7</f>
        <v>0</v>
      </c>
      <c r="T7" s="770" t="s">
        <v>17</v>
      </c>
      <c r="U7" s="771">
        <f t="shared" ref="U7:U14" si="1">H7</f>
        <v>0</v>
      </c>
      <c r="V7" s="770" t="s">
        <v>17</v>
      </c>
      <c r="W7" s="771">
        <f t="shared" ref="W7:W14" si="2">J7</f>
        <v>0</v>
      </c>
      <c r="X7" s="772"/>
      <c r="Y7" s="3199" t="s">
        <v>2544</v>
      </c>
      <c r="Z7" s="3200"/>
      <c r="AA7" s="773" t="e">
        <f>D7/F7</f>
        <v>#DIV/0!</v>
      </c>
      <c r="AB7" s="773" t="e">
        <f>D7/H7</f>
        <v>#DIV/0!</v>
      </c>
      <c r="AC7" s="773" t="e">
        <f>D7/J7</f>
        <v>#DIV/0!</v>
      </c>
    </row>
    <row r="8" spans="1:29" s="117" customFormat="1" ht="1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9" t="s">
        <v>2547</v>
      </c>
      <c r="Q8" s="3200"/>
      <c r="R8" s="770" t="s">
        <v>17</v>
      </c>
      <c r="S8" s="771">
        <f t="shared" si="0"/>
        <v>0</v>
      </c>
      <c r="T8" s="770" t="s">
        <v>17</v>
      </c>
      <c r="U8" s="771">
        <f t="shared" si="1"/>
        <v>0</v>
      </c>
      <c r="V8" s="770" t="s">
        <v>17</v>
      </c>
      <c r="W8" s="771">
        <f t="shared" si="2"/>
        <v>0</v>
      </c>
      <c r="X8" s="772"/>
      <c r="Y8" s="3199" t="s">
        <v>2547</v>
      </c>
      <c r="Z8" s="3200"/>
      <c r="AA8" s="773" t="e">
        <f t="shared" ref="AA8:AA36" si="3">D8/F8</f>
        <v>#DIV/0!</v>
      </c>
      <c r="AB8" s="773" t="e">
        <f t="shared" ref="AB8:AB36" si="4">D8/H8</f>
        <v>#DIV/0!</v>
      </c>
      <c r="AC8" s="773" t="e">
        <f t="shared" ref="AC8:AC36" si="5">D8/J8</f>
        <v>#DIV/0!</v>
      </c>
    </row>
    <row r="9" spans="1:29" s="117" customFormat="1" ht="14.4">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1" t="s">
        <v>2550</v>
      </c>
      <c r="Q9" s="1794" t="str">
        <f t="shared" ref="Q9:Q14" si="6">B9</f>
        <v>用途</v>
      </c>
      <c r="R9" s="770" t="s">
        <v>17</v>
      </c>
      <c r="S9" s="771">
        <f t="shared" si="0"/>
        <v>100</v>
      </c>
      <c r="T9" s="770" t="s">
        <v>17</v>
      </c>
      <c r="U9" s="771">
        <f t="shared" si="1"/>
        <v>100</v>
      </c>
      <c r="V9" s="770" t="s">
        <v>17</v>
      </c>
      <c r="W9" s="771">
        <f t="shared" si="2"/>
        <v>100</v>
      </c>
      <c r="X9" s="772"/>
      <c r="Y9" s="3050" t="s">
        <v>2551</v>
      </c>
      <c r="Z9" s="55" t="str">
        <f t="shared" ref="Z9:Z14" si="7">Q9</f>
        <v>用途</v>
      </c>
      <c r="AA9" s="773">
        <f t="shared" si="3"/>
        <v>1</v>
      </c>
      <c r="AB9" s="773">
        <f t="shared" si="4"/>
        <v>1</v>
      </c>
      <c r="AC9" s="773">
        <f t="shared" si="5"/>
        <v>1</v>
      </c>
    </row>
    <row r="10" spans="1:29" s="427" customFormat="1" ht="28.8">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1"/>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1"/>
      <c r="Q11" s="1794">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1"/>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1"/>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96.6">
      <c r="A14" s="401" t="s">
        <v>2554</v>
      </c>
      <c r="B14" s="629" t="s">
        <v>2704</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3" t="s">
        <v>2555</v>
      </c>
      <c r="Q14" s="1809" t="str">
        <f t="shared" si="6"/>
        <v>交通便捷度</v>
      </c>
      <c r="R14" s="774" t="s">
        <v>17</v>
      </c>
      <c r="S14" s="775">
        <f t="shared" si="0"/>
        <v>100</v>
      </c>
      <c r="T14" s="774" t="s">
        <v>17</v>
      </c>
      <c r="U14" s="775">
        <f t="shared" si="1"/>
        <v>100</v>
      </c>
      <c r="V14" s="774" t="s">
        <v>17</v>
      </c>
      <c r="W14" s="775">
        <f t="shared" si="2"/>
        <v>100</v>
      </c>
      <c r="X14" s="1812"/>
      <c r="Y14" s="3233" t="s">
        <v>2555</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34"/>
      <c r="Q15" s="1809"/>
      <c r="R15" s="774"/>
      <c r="S15" s="775"/>
      <c r="T15" s="774"/>
      <c r="U15" s="775"/>
      <c r="V15" s="774"/>
      <c r="W15" s="775"/>
      <c r="X15" s="1812"/>
      <c r="Y15" s="3234"/>
      <c r="Z15" s="1813"/>
      <c r="AA15" s="1810">
        <v>1</v>
      </c>
      <c r="AB15" s="1810">
        <v>1</v>
      </c>
      <c r="AC15" s="1810">
        <v>1</v>
      </c>
    </row>
    <row r="16" spans="1:29" ht="41.4">
      <c r="A16" s="404"/>
      <c r="B16" s="631" t="s">
        <v>2683</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4"/>
      <c r="Q16" s="1809" t="str">
        <f>B16</f>
        <v>公共配套设施</v>
      </c>
      <c r="R16" s="774" t="s">
        <v>17</v>
      </c>
      <c r="S16" s="775">
        <f>F16</f>
        <v>100</v>
      </c>
      <c r="T16" s="774" t="s">
        <v>17</v>
      </c>
      <c r="U16" s="775">
        <f>H16</f>
        <v>100</v>
      </c>
      <c r="V16" s="774" t="s">
        <v>17</v>
      </c>
      <c r="W16" s="775">
        <f>J16</f>
        <v>100</v>
      </c>
      <c r="X16" s="1812"/>
      <c r="Y16" s="3234"/>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234"/>
      <c r="Q17" s="1809"/>
      <c r="R17" s="774"/>
      <c r="S17" s="775"/>
      <c r="T17" s="774"/>
      <c r="U17" s="775"/>
      <c r="V17" s="774"/>
      <c r="W17" s="775"/>
      <c r="X17" s="1812"/>
      <c r="Y17" s="3234"/>
      <c r="Z17" s="1813"/>
      <c r="AA17" s="1810">
        <v>1</v>
      </c>
      <c r="AB17" s="1810">
        <v>1</v>
      </c>
      <c r="AC17" s="1810">
        <v>1</v>
      </c>
    </row>
    <row r="18" spans="1:29" ht="41.4">
      <c r="A18" s="404"/>
      <c r="B18" s="633" t="s">
        <v>2684</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4"/>
      <c r="Q18" s="1809" t="str">
        <f>B18</f>
        <v>基础设施水平</v>
      </c>
      <c r="R18" s="774" t="s">
        <v>17</v>
      </c>
      <c r="S18" s="775">
        <f>F18</f>
        <v>100</v>
      </c>
      <c r="T18" s="774" t="s">
        <v>17</v>
      </c>
      <c r="U18" s="775">
        <f>H18</f>
        <v>100</v>
      </c>
      <c r="V18" s="774" t="s">
        <v>17</v>
      </c>
      <c r="W18" s="775">
        <f>J18</f>
        <v>100</v>
      </c>
      <c r="X18" s="1812"/>
      <c r="Y18" s="3234"/>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2"/>
      <c r="L19" s="1140"/>
      <c r="M19" s="1131"/>
      <c r="N19" s="1131"/>
      <c r="O19" s="1131"/>
      <c r="P19" s="3234"/>
      <c r="Q19" s="1809"/>
      <c r="R19" s="774"/>
      <c r="S19" s="775"/>
      <c r="T19" s="774"/>
      <c r="U19" s="775"/>
      <c r="V19" s="774"/>
      <c r="W19" s="775"/>
      <c r="X19" s="1812"/>
      <c r="Y19" s="3234"/>
      <c r="Z19" s="1813"/>
      <c r="AA19" s="1810">
        <v>1</v>
      </c>
      <c r="AB19" s="1810">
        <v>1</v>
      </c>
      <c r="AC19" s="1810">
        <v>1</v>
      </c>
    </row>
    <row r="20" spans="1:29" ht="55.2">
      <c r="A20" s="404"/>
      <c r="B20" s="631" t="s">
        <v>2705</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4"/>
      <c r="Q20" s="1809" t="str">
        <f>B20</f>
        <v>自然及人文环境</v>
      </c>
      <c r="R20" s="774" t="s">
        <v>17</v>
      </c>
      <c r="S20" s="775">
        <f>F20</f>
        <v>100</v>
      </c>
      <c r="T20" s="774" t="s">
        <v>17</v>
      </c>
      <c r="U20" s="775">
        <f>H20</f>
        <v>100</v>
      </c>
      <c r="V20" s="774" t="s">
        <v>17</v>
      </c>
      <c r="W20" s="775">
        <f>J20</f>
        <v>100</v>
      </c>
      <c r="X20" s="1812"/>
      <c r="Y20" s="3234"/>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34"/>
      <c r="Q21" s="1809"/>
      <c r="R21" s="774"/>
      <c r="S21" s="775"/>
      <c r="T21" s="774"/>
      <c r="U21" s="775"/>
      <c r="V21" s="774"/>
      <c r="W21" s="775"/>
      <c r="X21" s="1812"/>
      <c r="Y21" s="3234"/>
      <c r="Z21" s="1813"/>
      <c r="AA21" s="1810">
        <v>1</v>
      </c>
      <c r="AB21" s="1810">
        <v>1</v>
      </c>
      <c r="AC21" s="1810">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4"/>
      <c r="Q22" s="1809" t="str">
        <f>B22</f>
        <v>楼层</v>
      </c>
      <c r="R22" s="774" t="s">
        <v>17</v>
      </c>
      <c r="S22" s="775">
        <f>F22</f>
        <v>100</v>
      </c>
      <c r="T22" s="774" t="s">
        <v>17</v>
      </c>
      <c r="U22" s="775">
        <f>H22</f>
        <v>100</v>
      </c>
      <c r="V22" s="774" t="s">
        <v>17</v>
      </c>
      <c r="W22" s="775">
        <f>J22</f>
        <v>100</v>
      </c>
      <c r="X22" s="1812"/>
      <c r="Y22" s="3234"/>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4"/>
      <c r="Q23" s="1809">
        <f>B23</f>
        <v>111</v>
      </c>
      <c r="R23" s="774" t="s">
        <v>17</v>
      </c>
      <c r="S23" s="775">
        <f>F23</f>
        <v>100</v>
      </c>
      <c r="T23" s="774" t="s">
        <v>17</v>
      </c>
      <c r="U23" s="775">
        <f>H23</f>
        <v>100</v>
      </c>
      <c r="V23" s="774" t="s">
        <v>17</v>
      </c>
      <c r="W23" s="775">
        <f>J23</f>
        <v>100</v>
      </c>
      <c r="X23" s="1812"/>
      <c r="Y23" s="3234"/>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4"/>
      <c r="Q24" s="1809">
        <f t="shared" ref="Q24:Q36" si="11">B24</f>
        <v>111</v>
      </c>
      <c r="R24" s="774" t="s">
        <v>17</v>
      </c>
      <c r="S24" s="775">
        <f>F24</f>
        <v>100</v>
      </c>
      <c r="T24" s="774" t="s">
        <v>17</v>
      </c>
      <c r="U24" s="775">
        <f>H24</f>
        <v>100</v>
      </c>
      <c r="V24" s="774" t="s">
        <v>17</v>
      </c>
      <c r="W24" s="775">
        <f>J24</f>
        <v>100</v>
      </c>
      <c r="X24" s="1812"/>
      <c r="Y24" s="3234"/>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4"/>
      <c r="Q25" s="1794">
        <f t="shared" si="11"/>
        <v>111</v>
      </c>
      <c r="R25" s="770" t="s">
        <v>17</v>
      </c>
      <c r="S25" s="771">
        <f>F25</f>
        <v>100</v>
      </c>
      <c r="T25" s="770" t="s">
        <v>17</v>
      </c>
      <c r="U25" s="771">
        <f>H25</f>
        <v>100</v>
      </c>
      <c r="V25" s="770" t="s">
        <v>17</v>
      </c>
      <c r="W25" s="771">
        <f>J25</f>
        <v>100</v>
      </c>
      <c r="X25" s="772"/>
      <c r="Y25" s="3234"/>
      <c r="Z25" s="55">
        <f>Q25</f>
        <v>111</v>
      </c>
      <c r="AA25" s="1810">
        <f>D25/F25</f>
        <v>1</v>
      </c>
      <c r="AB25" s="1810">
        <f>D25/H25</f>
        <v>1</v>
      </c>
      <c r="AC25" s="1810">
        <f>D25/J25</f>
        <v>1</v>
      </c>
    </row>
    <row r="26" spans="1:29" ht="30">
      <c r="A26" s="652" t="s">
        <v>2558</v>
      </c>
      <c r="B26" s="70" t="s">
        <v>2707</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4" t="s">
        <v>2560</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38" t="s">
        <v>2560</v>
      </c>
      <c r="Z26" s="1813" t="str">
        <f t="shared" ref="Z26:Z36" si="15">Q26</f>
        <v>配套类型</v>
      </c>
      <c r="AA26" s="1810">
        <f t="shared" si="3"/>
        <v>1</v>
      </c>
      <c r="AB26" s="1810">
        <f t="shared" si="4"/>
        <v>1</v>
      </c>
      <c r="AC26" s="1810">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8"/>
      <c r="Q27" s="776" t="str">
        <f t="shared" si="11"/>
        <v>项目停车位配比</v>
      </c>
      <c r="R27" s="777" t="s">
        <v>17</v>
      </c>
      <c r="S27" s="778">
        <f t="shared" si="12"/>
        <v>100</v>
      </c>
      <c r="T27" s="777" t="s">
        <v>17</v>
      </c>
      <c r="U27" s="778">
        <f t="shared" si="13"/>
        <v>100</v>
      </c>
      <c r="V27" s="777" t="s">
        <v>17</v>
      </c>
      <c r="W27" s="778">
        <f t="shared" si="14"/>
        <v>100</v>
      </c>
      <c r="X27" s="779"/>
      <c r="Y27" s="3238"/>
      <c r="Z27" s="780" t="str">
        <f t="shared" si="15"/>
        <v>项目停车位配比</v>
      </c>
      <c r="AA27" s="1810">
        <f t="shared" si="3"/>
        <v>1</v>
      </c>
      <c r="AB27" s="1810">
        <f t="shared" si="4"/>
        <v>1</v>
      </c>
      <c r="AC27" s="1810">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8"/>
      <c r="Q28" s="1809" t="str">
        <f t="shared" si="11"/>
        <v>公共部分装修</v>
      </c>
      <c r="R28" s="774" t="s">
        <v>17</v>
      </c>
      <c r="S28" s="775">
        <f t="shared" si="12"/>
        <v>100</v>
      </c>
      <c r="T28" s="774" t="s">
        <v>17</v>
      </c>
      <c r="U28" s="775">
        <f t="shared" si="13"/>
        <v>100</v>
      </c>
      <c r="V28" s="774" t="s">
        <v>17</v>
      </c>
      <c r="W28" s="775">
        <f t="shared" si="14"/>
        <v>100</v>
      </c>
      <c r="X28" s="1812"/>
      <c r="Y28" s="3238"/>
      <c r="Z28" s="1813" t="str">
        <f t="shared" si="15"/>
        <v>公共部分装修</v>
      </c>
      <c r="AA28" s="1810">
        <f t="shared" si="3"/>
        <v>1</v>
      </c>
      <c r="AB28" s="1810">
        <f t="shared" si="4"/>
        <v>1</v>
      </c>
      <c r="AC28" s="1810">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8"/>
      <c r="Q29" s="1809" t="str">
        <f t="shared" si="11"/>
        <v>成新率</v>
      </c>
      <c r="R29" s="774" t="s">
        <v>17</v>
      </c>
      <c r="S29" s="775" t="e">
        <f t="shared" si="12"/>
        <v>#N/A</v>
      </c>
      <c r="T29" s="774" t="s">
        <v>17</v>
      </c>
      <c r="U29" s="775" t="e">
        <f t="shared" si="13"/>
        <v>#N/A</v>
      </c>
      <c r="V29" s="774" t="s">
        <v>17</v>
      </c>
      <c r="W29" s="775" t="e">
        <f t="shared" si="14"/>
        <v>#N/A</v>
      </c>
      <c r="X29" s="1812"/>
      <c r="Y29" s="3238"/>
      <c r="Z29" s="1813" t="str">
        <f t="shared" si="15"/>
        <v>成新率</v>
      </c>
      <c r="AA29" s="1810" t="e">
        <f t="shared" si="3"/>
        <v>#N/A</v>
      </c>
      <c r="AB29" s="1810" t="e">
        <f t="shared" si="4"/>
        <v>#N/A</v>
      </c>
      <c r="AC29" s="1810"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8"/>
      <c r="Q30" s="1809" t="str">
        <f t="shared" si="11"/>
        <v>物业等级</v>
      </c>
      <c r="R30" s="774" t="s">
        <v>17</v>
      </c>
      <c r="S30" s="775">
        <f t="shared" si="12"/>
        <v>100</v>
      </c>
      <c r="T30" s="774" t="s">
        <v>17</v>
      </c>
      <c r="U30" s="775">
        <f t="shared" si="13"/>
        <v>100</v>
      </c>
      <c r="V30" s="774" t="s">
        <v>17</v>
      </c>
      <c r="W30" s="775">
        <f t="shared" si="14"/>
        <v>100</v>
      </c>
      <c r="X30" s="1812"/>
      <c r="Y30" s="3238"/>
      <c r="Z30" s="1813" t="str">
        <f t="shared" si="15"/>
        <v>物业等级</v>
      </c>
      <c r="AA30" s="1810">
        <f t="shared" si="3"/>
        <v>1</v>
      </c>
      <c r="AB30" s="1810">
        <f t="shared" si="4"/>
        <v>1</v>
      </c>
      <c r="AC30" s="1810">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8"/>
      <c r="Q31" s="1794" t="str">
        <f t="shared" si="11"/>
        <v>停车位面积</v>
      </c>
      <c r="R31" s="770" t="s">
        <v>17</v>
      </c>
      <c r="S31" s="771" t="e">
        <f t="shared" si="12"/>
        <v>#N/A</v>
      </c>
      <c r="T31" s="770" t="s">
        <v>17</v>
      </c>
      <c r="U31" s="771" t="e">
        <f t="shared" si="13"/>
        <v>#N/A</v>
      </c>
      <c r="V31" s="770" t="s">
        <v>17</v>
      </c>
      <c r="W31" s="771" t="e">
        <f t="shared" si="14"/>
        <v>#N/A</v>
      </c>
      <c r="X31" s="772"/>
      <c r="Y31" s="3238"/>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8" t="s">
        <v>2560</v>
      </c>
      <c r="Q32" s="1809" t="str">
        <f t="shared" si="11"/>
        <v>车位类型</v>
      </c>
      <c r="R32" s="774" t="s">
        <v>17</v>
      </c>
      <c r="S32" s="775">
        <f t="shared" si="12"/>
        <v>100</v>
      </c>
      <c r="T32" s="774" t="s">
        <v>17</v>
      </c>
      <c r="U32" s="775">
        <f t="shared" si="13"/>
        <v>100</v>
      </c>
      <c r="V32" s="774" t="s">
        <v>17</v>
      </c>
      <c r="W32" s="775">
        <f t="shared" si="14"/>
        <v>100</v>
      </c>
      <c r="X32" s="1812"/>
      <c r="Y32" s="3238" t="s">
        <v>2560</v>
      </c>
      <c r="Z32" s="1813" t="str">
        <f t="shared" si="15"/>
        <v>车位类型</v>
      </c>
      <c r="AA32" s="1810">
        <f t="shared" si="3"/>
        <v>1</v>
      </c>
      <c r="AB32" s="1810">
        <f t="shared" si="4"/>
        <v>1</v>
      </c>
      <c r="AC32" s="1810">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8"/>
      <c r="Q33" s="1809" t="str">
        <f t="shared" si="11"/>
        <v>是否直接入户</v>
      </c>
      <c r="R33" s="774" t="s">
        <v>17</v>
      </c>
      <c r="S33" s="775">
        <f t="shared" si="12"/>
        <v>100</v>
      </c>
      <c r="T33" s="774" t="s">
        <v>17</v>
      </c>
      <c r="U33" s="775">
        <f t="shared" si="13"/>
        <v>100</v>
      </c>
      <c r="V33" s="774" t="s">
        <v>17</v>
      </c>
      <c r="W33" s="775">
        <f t="shared" si="14"/>
        <v>100</v>
      </c>
      <c r="X33" s="1812"/>
      <c r="Y33" s="3238"/>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8"/>
      <c r="Q34" s="1809">
        <f t="shared" si="11"/>
        <v>111</v>
      </c>
      <c r="R34" s="774" t="s">
        <v>17</v>
      </c>
      <c r="S34" s="775">
        <f t="shared" si="12"/>
        <v>100</v>
      </c>
      <c r="T34" s="774" t="s">
        <v>17</v>
      </c>
      <c r="U34" s="775">
        <f t="shared" si="13"/>
        <v>100</v>
      </c>
      <c r="V34" s="774" t="s">
        <v>17</v>
      </c>
      <c r="W34" s="775">
        <f t="shared" si="14"/>
        <v>100</v>
      </c>
      <c r="X34" s="1812"/>
      <c r="Y34" s="3238"/>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8"/>
      <c r="Q35" s="776">
        <f t="shared" si="11"/>
        <v>111</v>
      </c>
      <c r="R35" s="777" t="s">
        <v>17</v>
      </c>
      <c r="S35" s="778">
        <f t="shared" si="12"/>
        <v>100</v>
      </c>
      <c r="T35" s="777" t="s">
        <v>17</v>
      </c>
      <c r="U35" s="778">
        <f t="shared" si="13"/>
        <v>100</v>
      </c>
      <c r="V35" s="777" t="s">
        <v>17</v>
      </c>
      <c r="W35" s="778">
        <f t="shared" si="14"/>
        <v>100</v>
      </c>
      <c r="X35" s="779"/>
      <c r="Y35" s="3238"/>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8"/>
      <c r="Q36" s="1809">
        <f t="shared" si="11"/>
        <v>111</v>
      </c>
      <c r="R36" s="774" t="s">
        <v>17</v>
      </c>
      <c r="S36" s="775">
        <f t="shared" si="12"/>
        <v>100</v>
      </c>
      <c r="T36" s="774" t="s">
        <v>17</v>
      </c>
      <c r="U36" s="775">
        <f t="shared" si="13"/>
        <v>100</v>
      </c>
      <c r="V36" s="774" t="s">
        <v>17</v>
      </c>
      <c r="W36" s="775">
        <f t="shared" si="14"/>
        <v>100</v>
      </c>
      <c r="X36" s="1812"/>
      <c r="Y36" s="3238"/>
      <c r="Z36" s="1813">
        <f t="shared" si="15"/>
        <v>111</v>
      </c>
      <c r="AA36" s="1810">
        <f t="shared" si="3"/>
        <v>1</v>
      </c>
      <c r="AB36" s="1810">
        <f t="shared" si="4"/>
        <v>1</v>
      </c>
      <c r="AC36" s="1810">
        <f t="shared" si="5"/>
        <v>1</v>
      </c>
    </row>
    <row r="37" spans="1:29" ht="14.4">
      <c r="A37" s="479" t="s">
        <v>2715</v>
      </c>
      <c r="B37" s="2695" t="s">
        <v>2716</v>
      </c>
      <c r="C37" s="1406" t="s">
        <v>1</v>
      </c>
      <c r="D37" s="1407"/>
      <c r="E37" s="1408"/>
      <c r="F37" s="1409"/>
      <c r="G37" s="1410"/>
      <c r="H37" s="1411"/>
      <c r="I37" s="1408"/>
      <c r="J37" s="1411"/>
      <c r="K37" s="619"/>
      <c r="L37" s="1143"/>
      <c r="M37" s="1144"/>
      <c r="N37" s="1131"/>
      <c r="O37" s="1144"/>
      <c r="P37" s="3231" t="str">
        <f>A37</f>
        <v>成交单价</v>
      </c>
      <c r="Q37" s="3231"/>
      <c r="R37" s="3232">
        <f>E37</f>
        <v>0</v>
      </c>
      <c r="S37" s="3232"/>
      <c r="T37" s="3232">
        <f>G37</f>
        <v>0</v>
      </c>
      <c r="U37" s="3232"/>
      <c r="V37" s="3232">
        <f>I37</f>
        <v>0</v>
      </c>
      <c r="W37" s="3232"/>
      <c r="X37" s="759"/>
      <c r="Y37" s="781"/>
      <c r="Z37" s="759"/>
      <c r="AA37" s="759"/>
      <c r="AB37" s="759"/>
      <c r="AC37" s="759"/>
    </row>
    <row r="38" spans="1:29" ht="15" thickBot="1">
      <c r="A38" s="486" t="s">
        <v>2717</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31" t="str">
        <f>A38</f>
        <v>比较价值（元/平方米）</v>
      </c>
      <c r="Q38" s="3231"/>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9"/>
      <c r="Y38" s="759"/>
      <c r="Z38" s="759"/>
      <c r="AA38" s="759"/>
      <c r="AB38" s="759"/>
      <c r="AC38" s="759"/>
    </row>
    <row r="39" spans="1:29" ht="15" thickBot="1">
      <c r="A39" s="492" t="s">
        <v>2718</v>
      </c>
      <c r="B39" s="493"/>
      <c r="C39" s="1416" t="e">
        <f>R39</f>
        <v>#DIV/0!</v>
      </c>
      <c r="D39" s="1416"/>
      <c r="E39" s="1416"/>
      <c r="F39" s="1416"/>
      <c r="G39" s="1416"/>
      <c r="H39" s="1416"/>
      <c r="I39" s="1416"/>
      <c r="J39" s="1416"/>
      <c r="K39" s="621"/>
      <c r="L39" s="1143"/>
      <c r="M39" s="1144"/>
      <c r="N39" s="1144"/>
      <c r="O39" s="1144"/>
      <c r="P39" s="3228" t="str">
        <f>A39</f>
        <v>估价对象XX用房的比较价值（楼面单价，元/平方米）</v>
      </c>
      <c r="Q39" s="3229"/>
      <c r="R39" s="3230" t="e">
        <f>IF(F1="售价",ROUND(AVERAGE(R38:V38),0),ROUND(AVERAGE(R38:V38),1))</f>
        <v>#DIV/0!</v>
      </c>
      <c r="S39" s="3230"/>
      <c r="T39" s="3230"/>
      <c r="U39" s="3230"/>
      <c r="V39" s="3230"/>
      <c r="W39" s="323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2.2" thickBot="1">
      <c r="A47" s="1423" t="s">
        <v>2722</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4.4">
      <c r="A48" s="505" t="s">
        <v>2723</v>
      </c>
      <c r="B48" s="506"/>
      <c r="C48" s="1573" t="str">
        <f>YEAR(C7)&amp;"-"&amp;MONTH(C7)</f>
        <v>2020-3</v>
      </c>
      <c r="D48" s="1574">
        <f>EDATE(C48,-1)</f>
        <v>43862</v>
      </c>
      <c r="E48" s="1574">
        <f t="shared" ref="E48:O48" si="16">EDATE(D48,-1)</f>
        <v>43831</v>
      </c>
      <c r="F48" s="1574">
        <f t="shared" si="16"/>
        <v>43800</v>
      </c>
      <c r="G48" s="1574">
        <f t="shared" si="16"/>
        <v>43770</v>
      </c>
      <c r="H48" s="1574">
        <f t="shared" si="16"/>
        <v>43739</v>
      </c>
      <c r="I48" s="1574">
        <f t="shared" si="16"/>
        <v>43709</v>
      </c>
      <c r="J48" s="1574">
        <f t="shared" si="16"/>
        <v>43678</v>
      </c>
      <c r="K48" s="1574">
        <f t="shared" si="16"/>
        <v>43647</v>
      </c>
      <c r="L48" s="1574">
        <f t="shared" si="16"/>
        <v>43617</v>
      </c>
      <c r="M48" s="1574">
        <f t="shared" si="16"/>
        <v>43586</v>
      </c>
      <c r="N48" s="1574">
        <f t="shared" si="16"/>
        <v>43556</v>
      </c>
      <c r="O48" s="1574">
        <f t="shared" si="16"/>
        <v>43525</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2580</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2545</v>
      </c>
      <c r="B51" s="510"/>
      <c r="C51" s="522" t="s">
        <v>2647</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ht="14.4">
      <c r="A53" s="527" t="s">
        <v>2583</v>
      </c>
      <c r="B53" s="528" t="s">
        <v>2549</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9.4"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 thickTop="1">
      <c r="A65" s="534"/>
      <c r="B65" s="538" t="s">
        <v>2598</v>
      </c>
      <c r="C65" s="578" t="s">
        <v>2592</v>
      </c>
      <c r="D65" s="578" t="s">
        <v>2593</v>
      </c>
      <c r="E65" s="578" t="s">
        <v>2594</v>
      </c>
      <c r="F65" s="578" t="s">
        <v>2595</v>
      </c>
      <c r="G65" s="578" t="s">
        <v>2596</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 thickTop="1">
      <c r="A67" s="534"/>
      <c r="B67" s="546" t="s">
        <v>2684</v>
      </c>
      <c r="C67" s="660" t="s">
        <v>2670</v>
      </c>
      <c r="D67" s="660" t="s">
        <v>2671</v>
      </c>
      <c r="E67" s="660" t="s">
        <v>2672</v>
      </c>
      <c r="F67" s="660" t="s">
        <v>2673</v>
      </c>
      <c r="G67" s="660" t="s">
        <v>2674</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 thickTop="1">
      <c r="A69" s="534"/>
      <c r="B69" s="538" t="s">
        <v>2604</v>
      </c>
      <c r="C69" s="578" t="s">
        <v>2592</v>
      </c>
      <c r="D69" s="578" t="s">
        <v>2593</v>
      </c>
      <c r="E69" s="578" t="s">
        <v>2594</v>
      </c>
      <c r="F69" s="578" t="s">
        <v>2595</v>
      </c>
      <c r="G69" s="578" t="s">
        <v>2596</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 thickTop="1">
      <c r="A71" s="534"/>
      <c r="B71" s="538" t="s">
        <v>2724</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9.4" thickTop="1">
      <c r="A79" s="527" t="s">
        <v>2558</v>
      </c>
      <c r="B79" s="528" t="s">
        <v>2725</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 thickTop="1">
      <c r="A81" s="534"/>
      <c r="B81" s="538" t="s">
        <v>2726</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2611</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2730</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2702</v>
      </c>
      <c r="B1" s="1618"/>
      <c r="C1" s="1619" t="s">
        <v>2525</v>
      </c>
      <c r="D1" s="1620"/>
      <c r="E1" s="1629"/>
      <c r="F1" s="2585"/>
      <c r="G1" s="1630" t="s">
        <v>2638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2322</v>
      </c>
      <c r="B2" s="1417" t="e">
        <f ca="1">IF(C2="——",ROUND(C37*D3/10000,0),ROUND(C37*D3/10000,0)-D2)</f>
        <v>#DIV/0!</v>
      </c>
      <c r="C2" s="2587"/>
      <c r="D2" s="1124" t="e">
        <f ca="1">SUMIF(INDIRECT("'"&amp;F2&amp;"'"&amp;"!A:A"),"承租人权益价值",INDIRECT("'"&amp;F2&amp;"'"&amp;"!c:c"))</f>
        <v>#REF!</v>
      </c>
      <c r="E2" s="2588" t="s">
        <v>2323</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2640</v>
      </c>
      <c r="B4" s="402"/>
      <c r="C4" s="3214" t="s">
        <v>2641</v>
      </c>
      <c r="D4" s="3215"/>
      <c r="E4" s="3216" t="s">
        <v>2642</v>
      </c>
      <c r="F4" s="3217"/>
      <c r="G4" s="3214" t="s">
        <v>2643</v>
      </c>
      <c r="H4" s="3215"/>
      <c r="I4" s="3214" t="s">
        <v>2644</v>
      </c>
      <c r="J4" s="3215"/>
      <c r="K4" s="610" t="s">
        <v>2645</v>
      </c>
      <c r="L4" s="1130"/>
      <c r="M4" s="1131"/>
      <c r="N4" s="1131"/>
      <c r="O4" s="1131"/>
      <c r="P4" s="3218" t="s">
        <v>2646</v>
      </c>
      <c r="Q4" s="3219"/>
      <c r="R4" s="3201" t="s">
        <v>2642</v>
      </c>
      <c r="S4" s="3202"/>
      <c r="T4" s="3201" t="s">
        <v>2643</v>
      </c>
      <c r="U4" s="3202"/>
      <c r="V4" s="3226" t="s">
        <v>2644</v>
      </c>
      <c r="W4" s="3226"/>
      <c r="X4" s="1812"/>
      <c r="Y4" s="3201" t="s">
        <v>2646</v>
      </c>
      <c r="Z4" s="3202"/>
      <c r="AA4" s="3196" t="s">
        <v>2642</v>
      </c>
      <c r="AB4" s="3197" t="s">
        <v>2643</v>
      </c>
      <c r="AC4" s="3196" t="s">
        <v>2644</v>
      </c>
    </row>
    <row r="5" spans="1:29">
      <c r="A5" s="404"/>
      <c r="B5" s="405"/>
      <c r="C5" s="3207" t="s">
        <v>2537</v>
      </c>
      <c r="D5" s="3208"/>
      <c r="E5" s="3205" t="s">
        <v>2538</v>
      </c>
      <c r="F5" s="3206"/>
      <c r="G5" s="3207" t="s">
        <v>2539</v>
      </c>
      <c r="H5" s="3208"/>
      <c r="I5" s="3207" t="s">
        <v>2540</v>
      </c>
      <c r="J5" s="3208"/>
      <c r="K5" s="610"/>
      <c r="L5" s="1130"/>
      <c r="M5" s="1131"/>
      <c r="N5" s="1131"/>
      <c r="O5" s="1131"/>
      <c r="P5" s="3220"/>
      <c r="Q5" s="3221"/>
      <c r="R5" s="3203"/>
      <c r="S5" s="3204"/>
      <c r="T5" s="3203"/>
      <c r="U5" s="3204"/>
      <c r="V5" s="3226"/>
      <c r="W5" s="3226"/>
      <c r="X5" s="1812"/>
      <c r="Y5" s="3203"/>
      <c r="Z5" s="3204"/>
      <c r="AA5" s="3197"/>
      <c r="AB5" s="3197"/>
      <c r="AC5" s="3197"/>
    </row>
    <row r="6" spans="1:29" ht="15" thickBot="1">
      <c r="A6" s="406"/>
      <c r="B6" s="407"/>
      <c r="C6" s="3209" t="s">
        <v>2541</v>
      </c>
      <c r="D6" s="3210"/>
      <c r="E6" s="3211" t="s">
        <v>2541</v>
      </c>
      <c r="F6" s="3212"/>
      <c r="G6" s="3209" t="s">
        <v>2541</v>
      </c>
      <c r="H6" s="3210"/>
      <c r="I6" s="3209" t="s">
        <v>2541</v>
      </c>
      <c r="J6" s="3210"/>
      <c r="K6" s="610" t="s">
        <v>2542</v>
      </c>
      <c r="L6" s="1130"/>
      <c r="M6" s="1131"/>
      <c r="N6" s="1131"/>
      <c r="O6" s="1131"/>
      <c r="P6" s="3222"/>
      <c r="Q6" s="3223"/>
      <c r="R6" s="3203"/>
      <c r="S6" s="3204"/>
      <c r="T6" s="3224"/>
      <c r="U6" s="3225"/>
      <c r="V6" s="3226"/>
      <c r="W6" s="3226"/>
      <c r="X6" s="1812"/>
      <c r="Y6" s="3224"/>
      <c r="Z6" s="3225"/>
      <c r="AA6" s="3198"/>
      <c r="AB6" s="3198"/>
      <c r="AC6" s="3198"/>
    </row>
    <row r="7" spans="1:29" s="117" customFormat="1" ht="15" thickBot="1">
      <c r="A7" s="408" t="s">
        <v>2543</v>
      </c>
      <c r="B7" s="409"/>
      <c r="C7" s="410">
        <f>'数据-取费表'!B2</f>
        <v>43915</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99" t="s">
        <v>2544</v>
      </c>
      <c r="Q7" s="3227"/>
      <c r="R7" s="770" t="s">
        <v>17</v>
      </c>
      <c r="S7" s="771">
        <f t="shared" ref="S7:S14" si="0">F7</f>
        <v>0</v>
      </c>
      <c r="T7" s="770" t="s">
        <v>17</v>
      </c>
      <c r="U7" s="771">
        <f t="shared" ref="U7:U14" si="1">H7</f>
        <v>0</v>
      </c>
      <c r="V7" s="770" t="s">
        <v>17</v>
      </c>
      <c r="W7" s="771">
        <f t="shared" ref="W7:W14" si="2">J7</f>
        <v>0</v>
      </c>
      <c r="X7" s="772"/>
      <c r="Y7" s="3199" t="s">
        <v>2544</v>
      </c>
      <c r="Z7" s="3200"/>
      <c r="AA7" s="773" t="e">
        <f>D7/F7</f>
        <v>#DIV/0!</v>
      </c>
      <c r="AB7" s="773" t="e">
        <f>D7/H7</f>
        <v>#DIV/0!</v>
      </c>
      <c r="AC7" s="773" t="e">
        <f>D7/J7</f>
        <v>#DIV/0!</v>
      </c>
    </row>
    <row r="8" spans="1:29" s="117" customFormat="1" ht="1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9" t="s">
        <v>2547</v>
      </c>
      <c r="Q8" s="3200"/>
      <c r="R8" s="770" t="s">
        <v>17</v>
      </c>
      <c r="S8" s="771">
        <f t="shared" si="0"/>
        <v>0</v>
      </c>
      <c r="T8" s="770" t="s">
        <v>17</v>
      </c>
      <c r="U8" s="771">
        <f t="shared" si="1"/>
        <v>0</v>
      </c>
      <c r="V8" s="770" t="s">
        <v>17</v>
      </c>
      <c r="W8" s="771">
        <f t="shared" si="2"/>
        <v>0</v>
      </c>
      <c r="X8" s="772"/>
      <c r="Y8" s="3199" t="s">
        <v>2547</v>
      </c>
      <c r="Z8" s="3200"/>
      <c r="AA8" s="773" t="e">
        <f t="shared" ref="AA8:AA34" si="3">D8/F8</f>
        <v>#DIV/0!</v>
      </c>
      <c r="AB8" s="773" t="e">
        <f t="shared" ref="AB8:AB34" si="4">D8/H8</f>
        <v>#DIV/0!</v>
      </c>
      <c r="AC8" s="773" t="e">
        <f t="shared" ref="AC8:AC34" si="5">D8/J8</f>
        <v>#DIV/0!</v>
      </c>
    </row>
    <row r="9" spans="1:29" s="117" customFormat="1" ht="14.4">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1" t="s">
        <v>2550</v>
      </c>
      <c r="Q9" s="1794" t="str">
        <f t="shared" ref="Q9:Q14" si="6">B9</f>
        <v>用途</v>
      </c>
      <c r="R9" s="770" t="s">
        <v>17</v>
      </c>
      <c r="S9" s="771">
        <f t="shared" si="0"/>
        <v>100</v>
      </c>
      <c r="T9" s="770" t="s">
        <v>17</v>
      </c>
      <c r="U9" s="771">
        <f t="shared" si="1"/>
        <v>100</v>
      </c>
      <c r="V9" s="770" t="s">
        <v>17</v>
      </c>
      <c r="W9" s="771">
        <f t="shared" si="2"/>
        <v>100</v>
      </c>
      <c r="X9" s="772"/>
      <c r="Y9" s="3050" t="s">
        <v>2551</v>
      </c>
      <c r="Z9" s="55" t="str">
        <f t="shared" ref="Z9:Z14" si="7">Q9</f>
        <v>用途</v>
      </c>
      <c r="AA9" s="773">
        <f t="shared" si="3"/>
        <v>1</v>
      </c>
      <c r="AB9" s="773">
        <f t="shared" si="4"/>
        <v>1</v>
      </c>
      <c r="AC9" s="773">
        <f t="shared" si="5"/>
        <v>1</v>
      </c>
    </row>
    <row r="10" spans="1:29" s="427" customFormat="1" ht="28.8">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1"/>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1"/>
      <c r="Q11" s="1794">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1"/>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6"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31"/>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96.6">
      <c r="A14" s="440" t="s">
        <v>2554</v>
      </c>
      <c r="B14" s="69" t="s">
        <v>2704</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3" t="s">
        <v>2555</v>
      </c>
      <c r="Q14" s="1809" t="str">
        <f t="shared" si="6"/>
        <v>交通便捷度</v>
      </c>
      <c r="R14" s="774" t="s">
        <v>17</v>
      </c>
      <c r="S14" s="775">
        <f t="shared" si="0"/>
        <v>100</v>
      </c>
      <c r="T14" s="774" t="s">
        <v>17</v>
      </c>
      <c r="U14" s="775">
        <f t="shared" si="1"/>
        <v>100</v>
      </c>
      <c r="V14" s="774" t="s">
        <v>17</v>
      </c>
      <c r="W14" s="775">
        <f t="shared" si="2"/>
        <v>100</v>
      </c>
      <c r="X14" s="1812"/>
      <c r="Y14" s="3233" t="s">
        <v>2555</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34"/>
      <c r="Q15" s="1809"/>
      <c r="R15" s="774"/>
      <c r="S15" s="775"/>
      <c r="T15" s="774"/>
      <c r="U15" s="775"/>
      <c r="V15" s="774"/>
      <c r="W15" s="775"/>
      <c r="X15" s="1812"/>
      <c r="Y15" s="3234"/>
      <c r="Z15" s="1813"/>
      <c r="AA15" s="1810">
        <v>1</v>
      </c>
      <c r="AB15" s="1810">
        <v>1</v>
      </c>
      <c r="AC15" s="1810">
        <v>1</v>
      </c>
    </row>
    <row r="16" spans="1:29" ht="41.4">
      <c r="A16" s="428"/>
      <c r="B16" s="451" t="s">
        <v>2683</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4"/>
      <c r="Q16" s="1809" t="str">
        <f>B16</f>
        <v>公共配套设施</v>
      </c>
      <c r="R16" s="774" t="s">
        <v>17</v>
      </c>
      <c r="S16" s="775">
        <f>F16</f>
        <v>100</v>
      </c>
      <c r="T16" s="774" t="s">
        <v>17</v>
      </c>
      <c r="U16" s="775">
        <f>H16</f>
        <v>100</v>
      </c>
      <c r="V16" s="774" t="s">
        <v>17</v>
      </c>
      <c r="W16" s="775">
        <f>J16</f>
        <v>100</v>
      </c>
      <c r="X16" s="1812"/>
      <c r="Y16" s="3234"/>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234"/>
      <c r="Q17" s="1809"/>
      <c r="R17" s="774"/>
      <c r="S17" s="775"/>
      <c r="T17" s="774"/>
      <c r="U17" s="775"/>
      <c r="V17" s="774"/>
      <c r="W17" s="775"/>
      <c r="X17" s="1812"/>
      <c r="Y17" s="3234"/>
      <c r="Z17" s="1813"/>
      <c r="AA17" s="1810">
        <v>1</v>
      </c>
      <c r="AB17" s="1810">
        <v>1</v>
      </c>
      <c r="AC17" s="1810">
        <v>1</v>
      </c>
    </row>
    <row r="18" spans="1:29" ht="41.4">
      <c r="A18" s="428"/>
      <c r="B18" s="1383" t="s">
        <v>2684</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4"/>
      <c r="Q18" s="1809" t="str">
        <f>B18</f>
        <v>基础设施水平</v>
      </c>
      <c r="R18" s="774" t="s">
        <v>17</v>
      </c>
      <c r="S18" s="775">
        <f>F18</f>
        <v>100</v>
      </c>
      <c r="T18" s="774" t="s">
        <v>17</v>
      </c>
      <c r="U18" s="775">
        <f>H18</f>
        <v>100</v>
      </c>
      <c r="V18" s="774" t="s">
        <v>17</v>
      </c>
      <c r="W18" s="775">
        <f>J18</f>
        <v>100</v>
      </c>
      <c r="X18" s="1812"/>
      <c r="Y18" s="3234"/>
      <c r="Z18" s="1813" t="str">
        <f>Q18</f>
        <v>基础设施水平</v>
      </c>
      <c r="AA18" s="1810">
        <f t="shared" ref="AA18" si="8">D18/F18</f>
        <v>1</v>
      </c>
      <c r="AB18" s="1810">
        <f t="shared" ref="AB18" si="9">D18/H18</f>
        <v>1</v>
      </c>
      <c r="AC18" s="1810">
        <f t="shared" ref="AC18" si="10">D18/J18</f>
        <v>1</v>
      </c>
    </row>
    <row r="19" spans="1:29" ht="15">
      <c r="A19" s="428"/>
      <c r="B19" s="1383"/>
      <c r="C19" s="2608"/>
      <c r="D19" s="450"/>
      <c r="E19" s="2608"/>
      <c r="F19" s="453"/>
      <c r="G19" s="2608"/>
      <c r="H19" s="448"/>
      <c r="I19" s="447"/>
      <c r="J19" s="448"/>
      <c r="K19" s="1382"/>
      <c r="L19" s="1140"/>
      <c r="M19" s="1131"/>
      <c r="N19" s="1131"/>
      <c r="O19" s="1139"/>
      <c r="P19" s="3234"/>
      <c r="Q19" s="1809"/>
      <c r="R19" s="774"/>
      <c r="S19" s="775"/>
      <c r="T19" s="774"/>
      <c r="U19" s="775"/>
      <c r="V19" s="774"/>
      <c r="W19" s="775"/>
      <c r="X19" s="1812"/>
      <c r="Y19" s="3234"/>
      <c r="Z19" s="1813"/>
      <c r="AA19" s="1810">
        <v>1</v>
      </c>
      <c r="AB19" s="1810">
        <v>1</v>
      </c>
      <c r="AC19" s="1810">
        <v>1</v>
      </c>
    </row>
    <row r="20" spans="1:29" ht="55.2">
      <c r="A20" s="428"/>
      <c r="B20" s="451" t="s">
        <v>2705</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4"/>
      <c r="Q20" s="1809" t="str">
        <f>B20</f>
        <v>自然及人文环境</v>
      </c>
      <c r="R20" s="774" t="s">
        <v>17</v>
      </c>
      <c r="S20" s="775">
        <f>F20</f>
        <v>100</v>
      </c>
      <c r="T20" s="774" t="s">
        <v>17</v>
      </c>
      <c r="U20" s="775">
        <f>H20</f>
        <v>100</v>
      </c>
      <c r="V20" s="774" t="s">
        <v>17</v>
      </c>
      <c r="W20" s="775">
        <f>J20</f>
        <v>100</v>
      </c>
      <c r="X20" s="1812"/>
      <c r="Y20" s="3234"/>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34"/>
      <c r="Q21" s="1809"/>
      <c r="R21" s="774"/>
      <c r="S21" s="775"/>
      <c r="T21" s="774"/>
      <c r="U21" s="775"/>
      <c r="V21" s="774"/>
      <c r="W21" s="775"/>
      <c r="X21" s="1812"/>
      <c r="Y21" s="3234"/>
      <c r="Z21" s="1813"/>
      <c r="AA21" s="1810">
        <v>1</v>
      </c>
      <c r="AB21" s="1810">
        <v>1</v>
      </c>
      <c r="AC21" s="1810">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4"/>
      <c r="Q22" s="1809" t="str">
        <f>B22</f>
        <v>楼层</v>
      </c>
      <c r="R22" s="774" t="s">
        <v>17</v>
      </c>
      <c r="S22" s="775">
        <f>F22</f>
        <v>100</v>
      </c>
      <c r="T22" s="774" t="s">
        <v>17</v>
      </c>
      <c r="U22" s="775">
        <f>H22</f>
        <v>100</v>
      </c>
      <c r="V22" s="774" t="s">
        <v>17</v>
      </c>
      <c r="W22" s="775">
        <f>J22</f>
        <v>100</v>
      </c>
      <c r="X22" s="1812"/>
      <c r="Y22" s="3234"/>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4"/>
      <c r="Q23" s="1809">
        <f>B23</f>
        <v>111</v>
      </c>
      <c r="R23" s="774" t="s">
        <v>17</v>
      </c>
      <c r="S23" s="775">
        <f>F23</f>
        <v>100</v>
      </c>
      <c r="T23" s="774" t="s">
        <v>17</v>
      </c>
      <c r="U23" s="775">
        <f>H23</f>
        <v>100</v>
      </c>
      <c r="V23" s="774" t="s">
        <v>17</v>
      </c>
      <c r="W23" s="775">
        <f>J23</f>
        <v>100</v>
      </c>
      <c r="X23" s="1812"/>
      <c r="Y23" s="3234"/>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4"/>
      <c r="Q24" s="1809">
        <f t="shared" ref="Q24:Q34" si="11">B24</f>
        <v>111</v>
      </c>
      <c r="R24" s="774" t="s">
        <v>17</v>
      </c>
      <c r="S24" s="775">
        <f>F24</f>
        <v>100</v>
      </c>
      <c r="T24" s="774" t="s">
        <v>17</v>
      </c>
      <c r="U24" s="775">
        <f>H24</f>
        <v>100</v>
      </c>
      <c r="V24" s="774" t="s">
        <v>17</v>
      </c>
      <c r="W24" s="775">
        <f>J24</f>
        <v>100</v>
      </c>
      <c r="X24" s="1812"/>
      <c r="Y24" s="3234"/>
      <c r="Z24" s="1813">
        <f>Q24</f>
        <v>111</v>
      </c>
      <c r="AA24" s="1810">
        <f t="shared" si="3"/>
        <v>1</v>
      </c>
      <c r="AB24" s="1810">
        <f t="shared" si="4"/>
        <v>1</v>
      </c>
      <c r="AC24" s="1810">
        <f t="shared" si="5"/>
        <v>1</v>
      </c>
    </row>
    <row r="25" spans="1:29" s="117" customFormat="1" ht="15.6"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34"/>
      <c r="Q25" s="1794">
        <f t="shared" si="11"/>
        <v>111</v>
      </c>
      <c r="R25" s="770" t="s">
        <v>17</v>
      </c>
      <c r="S25" s="771">
        <f>F25</f>
        <v>100</v>
      </c>
      <c r="T25" s="770" t="s">
        <v>17</v>
      </c>
      <c r="U25" s="771">
        <f>H25</f>
        <v>100</v>
      </c>
      <c r="V25" s="770" t="s">
        <v>17</v>
      </c>
      <c r="W25" s="771">
        <f>J25</f>
        <v>100</v>
      </c>
      <c r="X25" s="772"/>
      <c r="Y25" s="3234"/>
      <c r="Z25" s="55">
        <f>Q25</f>
        <v>111</v>
      </c>
      <c r="AA25" s="1810">
        <f>D25/F25</f>
        <v>1</v>
      </c>
      <c r="AB25" s="1810">
        <f>D25/H25</f>
        <v>1</v>
      </c>
      <c r="AC25" s="1810">
        <f>D25/J25</f>
        <v>1</v>
      </c>
    </row>
    <row r="26" spans="1:29" ht="30">
      <c r="A26" s="466" t="s">
        <v>2558</v>
      </c>
      <c r="B26" s="71" t="s">
        <v>2709</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84" t="s">
        <v>2560</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38" t="s">
        <v>2560</v>
      </c>
      <c r="Z26" s="1813" t="str">
        <f t="shared" ref="Z26:Z34" si="15">Q26</f>
        <v>公共部分装修</v>
      </c>
      <c r="AA26" s="1810">
        <f t="shared" si="3"/>
        <v>1</v>
      </c>
      <c r="AB26" s="1810">
        <f t="shared" si="4"/>
        <v>1</v>
      </c>
      <c r="AC26" s="1810">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8"/>
      <c r="Q27" s="776" t="str">
        <f t="shared" si="11"/>
        <v>成新率</v>
      </c>
      <c r="R27" s="777" t="s">
        <v>17</v>
      </c>
      <c r="S27" s="778" t="e">
        <f t="shared" si="12"/>
        <v>#N/A</v>
      </c>
      <c r="T27" s="777" t="s">
        <v>17</v>
      </c>
      <c r="U27" s="778" t="e">
        <f t="shared" si="13"/>
        <v>#N/A</v>
      </c>
      <c r="V27" s="777" t="s">
        <v>17</v>
      </c>
      <c r="W27" s="778" t="e">
        <f t="shared" si="14"/>
        <v>#N/A</v>
      </c>
      <c r="X27" s="779"/>
      <c r="Y27" s="3238"/>
      <c r="Z27" s="780" t="str">
        <f t="shared" si="15"/>
        <v>成新率</v>
      </c>
      <c r="AA27" s="1810" t="e">
        <f t="shared" si="3"/>
        <v>#N/A</v>
      </c>
      <c r="AB27" s="1810" t="e">
        <f t="shared" si="4"/>
        <v>#N/A</v>
      </c>
      <c r="AC27" s="1810"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8"/>
      <c r="Q28" s="1809" t="str">
        <f t="shared" si="11"/>
        <v>物业等级</v>
      </c>
      <c r="R28" s="774" t="s">
        <v>17</v>
      </c>
      <c r="S28" s="775">
        <f t="shared" si="12"/>
        <v>100</v>
      </c>
      <c r="T28" s="774" t="s">
        <v>17</v>
      </c>
      <c r="U28" s="775">
        <f t="shared" si="13"/>
        <v>100</v>
      </c>
      <c r="V28" s="774" t="s">
        <v>17</v>
      </c>
      <c r="W28" s="775">
        <f t="shared" si="14"/>
        <v>100</v>
      </c>
      <c r="X28" s="1812"/>
      <c r="Y28" s="3238"/>
      <c r="Z28" s="1813" t="str">
        <f t="shared" si="15"/>
        <v>物业等级</v>
      </c>
      <c r="AA28" s="1810">
        <f t="shared" si="3"/>
        <v>1</v>
      </c>
      <c r="AB28" s="1810">
        <f t="shared" si="4"/>
        <v>1</v>
      </c>
      <c r="AC28" s="1810">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8"/>
      <c r="Q29" s="1809" t="str">
        <f t="shared" si="11"/>
        <v>有无电梯</v>
      </c>
      <c r="R29" s="774" t="s">
        <v>17</v>
      </c>
      <c r="S29" s="775">
        <f t="shared" si="12"/>
        <v>100</v>
      </c>
      <c r="T29" s="774" t="s">
        <v>17</v>
      </c>
      <c r="U29" s="775">
        <f t="shared" si="13"/>
        <v>100</v>
      </c>
      <c r="V29" s="774" t="s">
        <v>17</v>
      </c>
      <c r="W29" s="775">
        <f t="shared" si="14"/>
        <v>100</v>
      </c>
      <c r="X29" s="1812"/>
      <c r="Y29" s="3238"/>
      <c r="Z29" s="1813" t="str">
        <f t="shared" si="15"/>
        <v>有无电梯</v>
      </c>
      <c r="AA29" s="1810">
        <f t="shared" si="3"/>
        <v>1</v>
      </c>
      <c r="AB29" s="1810">
        <f t="shared" si="4"/>
        <v>1</v>
      </c>
      <c r="AC29" s="1810">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8"/>
      <c r="Q30" s="1809" t="str">
        <f t="shared" si="11"/>
        <v>建筑面积</v>
      </c>
      <c r="R30" s="774" t="s">
        <v>17</v>
      </c>
      <c r="S30" s="775" t="e">
        <f t="shared" si="12"/>
        <v>#N/A</v>
      </c>
      <c r="T30" s="774" t="s">
        <v>17</v>
      </c>
      <c r="U30" s="775" t="e">
        <f t="shared" si="13"/>
        <v>#N/A</v>
      </c>
      <c r="V30" s="774" t="s">
        <v>17</v>
      </c>
      <c r="W30" s="775" t="e">
        <f t="shared" si="14"/>
        <v>#N/A</v>
      </c>
      <c r="X30" s="1812"/>
      <c r="Y30" s="3238"/>
      <c r="Z30" s="1813" t="str">
        <f t="shared" si="15"/>
        <v>建筑面积</v>
      </c>
      <c r="AA30" s="1810" t="e">
        <f t="shared" si="3"/>
        <v>#N/A</v>
      </c>
      <c r="AB30" s="1810" t="e">
        <f t="shared" si="4"/>
        <v>#N/A</v>
      </c>
      <c r="AC30" s="1810"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8"/>
      <c r="Q31" s="1794" t="str">
        <f t="shared" si="11"/>
        <v>是否封闭</v>
      </c>
      <c r="R31" s="770" t="s">
        <v>17</v>
      </c>
      <c r="S31" s="771">
        <f t="shared" si="12"/>
        <v>100</v>
      </c>
      <c r="T31" s="770" t="s">
        <v>17</v>
      </c>
      <c r="U31" s="771">
        <f t="shared" si="13"/>
        <v>100</v>
      </c>
      <c r="V31" s="770" t="s">
        <v>17</v>
      </c>
      <c r="W31" s="771">
        <f t="shared" si="14"/>
        <v>100</v>
      </c>
      <c r="X31" s="772"/>
      <c r="Y31" s="323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8" t="s">
        <v>2560</v>
      </c>
      <c r="Q32" s="1809">
        <f t="shared" si="11"/>
        <v>111</v>
      </c>
      <c r="R32" s="774" t="s">
        <v>17</v>
      </c>
      <c r="S32" s="775">
        <f t="shared" si="12"/>
        <v>100</v>
      </c>
      <c r="T32" s="774" t="s">
        <v>17</v>
      </c>
      <c r="U32" s="775">
        <f t="shared" si="13"/>
        <v>100</v>
      </c>
      <c r="V32" s="774" t="s">
        <v>17</v>
      </c>
      <c r="W32" s="775">
        <f t="shared" si="14"/>
        <v>100</v>
      </c>
      <c r="X32" s="1812"/>
      <c r="Y32" s="3238" t="s">
        <v>2560</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8"/>
      <c r="Q33" s="1809">
        <f t="shared" si="11"/>
        <v>111</v>
      </c>
      <c r="R33" s="774" t="s">
        <v>17</v>
      </c>
      <c r="S33" s="775">
        <f t="shared" si="12"/>
        <v>100</v>
      </c>
      <c r="T33" s="774" t="s">
        <v>17</v>
      </c>
      <c r="U33" s="775">
        <f t="shared" si="13"/>
        <v>100</v>
      </c>
      <c r="V33" s="774" t="s">
        <v>17</v>
      </c>
      <c r="W33" s="775">
        <f t="shared" si="14"/>
        <v>100</v>
      </c>
      <c r="X33" s="1812"/>
      <c r="Y33" s="3238"/>
      <c r="Z33" s="1813">
        <f t="shared" si="15"/>
        <v>111</v>
      </c>
      <c r="AA33" s="1810">
        <f t="shared" si="3"/>
        <v>1</v>
      </c>
      <c r="AB33" s="1810">
        <f t="shared" si="4"/>
        <v>1</v>
      </c>
      <c r="AC33" s="1810">
        <f t="shared" si="5"/>
        <v>1</v>
      </c>
    </row>
    <row r="34" spans="1:29" ht="15.6"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38"/>
      <c r="Q34" s="1809">
        <f t="shared" si="11"/>
        <v>111</v>
      </c>
      <c r="R34" s="774" t="s">
        <v>17</v>
      </c>
      <c r="S34" s="775">
        <f t="shared" si="12"/>
        <v>100</v>
      </c>
      <c r="T34" s="774" t="s">
        <v>17</v>
      </c>
      <c r="U34" s="775">
        <f t="shared" si="13"/>
        <v>100</v>
      </c>
      <c r="V34" s="774" t="s">
        <v>17</v>
      </c>
      <c r="W34" s="775">
        <f t="shared" si="14"/>
        <v>100</v>
      </c>
      <c r="X34" s="1812"/>
      <c r="Y34" s="3238"/>
      <c r="Z34" s="1813">
        <f t="shared" si="15"/>
        <v>111</v>
      </c>
      <c r="AA34" s="1810">
        <f t="shared" si="3"/>
        <v>1</v>
      </c>
      <c r="AB34" s="1810">
        <f t="shared" si="4"/>
        <v>1</v>
      </c>
      <c r="AC34" s="1810">
        <f t="shared" si="5"/>
        <v>1</v>
      </c>
    </row>
    <row r="35" spans="1:29" ht="14.4">
      <c r="A35" s="479" t="s">
        <v>2572</v>
      </c>
      <c r="B35" s="480"/>
      <c r="C35" s="1406" t="s">
        <v>1</v>
      </c>
      <c r="D35" s="1407"/>
      <c r="E35" s="1408"/>
      <c r="F35" s="1409"/>
      <c r="G35" s="1410"/>
      <c r="H35" s="1411"/>
      <c r="I35" s="1408"/>
      <c r="J35" s="1411"/>
      <c r="K35" s="783"/>
      <c r="L35" s="1143"/>
      <c r="M35" s="1144"/>
      <c r="N35" s="1131"/>
      <c r="O35" s="1144"/>
      <c r="P35" s="3231" t="str">
        <f>A35</f>
        <v>成交单价（元/平方米）</v>
      </c>
      <c r="Q35" s="3231"/>
      <c r="R35" s="3232">
        <f>E35</f>
        <v>0</v>
      </c>
      <c r="S35" s="3232"/>
      <c r="T35" s="3232">
        <f>G35</f>
        <v>0</v>
      </c>
      <c r="U35" s="3232"/>
      <c r="V35" s="3232">
        <f>I35</f>
        <v>0</v>
      </c>
      <c r="W35" s="3232"/>
      <c r="X35" s="759"/>
      <c r="Y35" s="781"/>
      <c r="Z35" s="759"/>
      <c r="AA35" s="759"/>
      <c r="AB35" s="759"/>
      <c r="AC35" s="759"/>
    </row>
    <row r="36" spans="1:29" ht="15" thickBot="1">
      <c r="A36" s="486" t="s">
        <v>2664</v>
      </c>
      <c r="B36" s="487"/>
      <c r="C36" s="1412" t="e">
        <f>R37</f>
        <v>#DIV/0!</v>
      </c>
      <c r="D36" s="1413"/>
      <c r="E36" s="1414" t="e">
        <f>R36</f>
        <v>#DIV/0!</v>
      </c>
      <c r="F36" s="1414"/>
      <c r="G36" s="1412" t="e">
        <f>T36</f>
        <v>#DIV/0!</v>
      </c>
      <c r="H36" s="1413"/>
      <c r="I36" s="1414" t="e">
        <f>V36</f>
        <v>#DIV/0!</v>
      </c>
      <c r="J36" s="1413"/>
      <c r="K36" s="784"/>
      <c r="L36" s="1143"/>
      <c r="M36" s="1144"/>
      <c r="N36" s="1131"/>
      <c r="O36" s="1144"/>
      <c r="P36" s="3231" t="str">
        <f>A36</f>
        <v>比较价值（元/平方米）</v>
      </c>
      <c r="Q36" s="3231"/>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9"/>
      <c r="Y36" s="759"/>
      <c r="Z36" s="759"/>
      <c r="AA36" s="759"/>
      <c r="AB36" s="759"/>
      <c r="AC36" s="759"/>
    </row>
    <row r="37" spans="1:29" ht="15" thickBot="1">
      <c r="A37" s="492" t="s">
        <v>2665</v>
      </c>
      <c r="B37" s="493"/>
      <c r="C37" s="1416" t="e">
        <f>R37</f>
        <v>#DIV/0!</v>
      </c>
      <c r="D37" s="1416"/>
      <c r="E37" s="1416"/>
      <c r="F37" s="1416"/>
      <c r="G37" s="1416"/>
      <c r="H37" s="1416"/>
      <c r="I37" s="1416"/>
      <c r="J37" s="1416"/>
      <c r="K37" s="785"/>
      <c r="L37" s="1143"/>
      <c r="M37" s="1144"/>
      <c r="N37" s="1144"/>
      <c r="O37" s="1144"/>
      <c r="P37" s="3228" t="str">
        <f>A37</f>
        <v>估价对象XX用房的比较价值（楼面单价，元/平方米）</v>
      </c>
      <c r="Q37" s="3229"/>
      <c r="R37" s="3230" t="e">
        <f>IF(F1="售价",ROUND(AVERAGE(R36:V36),0),ROUND(AVERAGE(R36:V36),1))</f>
        <v>#DIV/0!</v>
      </c>
      <c r="S37" s="3230"/>
      <c r="T37" s="3230"/>
      <c r="U37" s="3230"/>
      <c r="V37" s="3230"/>
      <c r="W37" s="323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2669</v>
      </c>
      <c r="B45" s="759"/>
      <c r="C45" s="764"/>
      <c r="D45" s="764"/>
      <c r="E45" s="764"/>
      <c r="F45" s="765"/>
      <c r="G45" s="765"/>
      <c r="H45" s="764"/>
      <c r="I45" s="764"/>
      <c r="J45" s="764"/>
      <c r="K45" s="766"/>
      <c r="L45" s="767"/>
      <c r="M45" s="764"/>
      <c r="N45" s="764"/>
      <c r="O45" s="764"/>
      <c r="P45" s="503"/>
      <c r="Q45" s="504"/>
    </row>
    <row r="46" spans="1:29" s="508" customFormat="1" ht="14.4">
      <c r="A46" s="505" t="s">
        <v>2543</v>
      </c>
      <c r="B46" s="506"/>
      <c r="C46" s="1573" t="str">
        <f>YEAR(C7)&amp;"-"&amp;MONTH(C7)</f>
        <v>2020-3</v>
      </c>
      <c r="D46" s="1574">
        <f>EDATE(C46,-1)</f>
        <v>43862</v>
      </c>
      <c r="E46" s="1574">
        <f t="shared" ref="E46:O46" si="16">EDATE(D46,-1)</f>
        <v>43831</v>
      </c>
      <c r="F46" s="1574">
        <f t="shared" si="16"/>
        <v>43800</v>
      </c>
      <c r="G46" s="1574">
        <f t="shared" si="16"/>
        <v>43770</v>
      </c>
      <c r="H46" s="1574">
        <f t="shared" si="16"/>
        <v>43739</v>
      </c>
      <c r="I46" s="1574">
        <f t="shared" si="16"/>
        <v>43709</v>
      </c>
      <c r="J46" s="1574">
        <f t="shared" si="16"/>
        <v>43678</v>
      </c>
      <c r="K46" s="1574">
        <f t="shared" si="16"/>
        <v>43647</v>
      </c>
      <c r="L46" s="1574">
        <f t="shared" si="16"/>
        <v>43617</v>
      </c>
      <c r="M46" s="1574">
        <f t="shared" si="16"/>
        <v>43586</v>
      </c>
      <c r="N46" s="1574">
        <f t="shared" si="16"/>
        <v>43556</v>
      </c>
      <c r="O46" s="1574">
        <f t="shared" si="16"/>
        <v>43525</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2580</v>
      </c>
      <c r="B48" s="516"/>
      <c r="C48" s="517"/>
      <c r="D48" s="518"/>
      <c r="E48" s="518"/>
      <c r="F48" s="518"/>
      <c r="G48" s="518"/>
      <c r="H48" s="518"/>
      <c r="I48" s="518"/>
      <c r="J48" s="518"/>
      <c r="K48" s="518"/>
      <c r="L48" s="518"/>
      <c r="M48" s="519"/>
      <c r="N48" s="518"/>
      <c r="O48" s="520"/>
      <c r="P48" s="504"/>
      <c r="Q48" s="504"/>
    </row>
    <row r="49" spans="1:17" s="117" customFormat="1" ht="14.4">
      <c r="A49" s="521" t="s">
        <v>2545</v>
      </c>
      <c r="B49" s="510"/>
      <c r="C49" s="522" t="s">
        <v>2647</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2583</v>
      </c>
      <c r="B51" s="528" t="s">
        <v>2549</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2684</v>
      </c>
      <c r="C65" s="660" t="s">
        <v>2670</v>
      </c>
      <c r="D65" s="660" t="s">
        <v>2671</v>
      </c>
      <c r="E65" s="660" t="s">
        <v>2672</v>
      </c>
      <c r="F65" s="660" t="s">
        <v>2673</v>
      </c>
      <c r="G65" s="660" t="s">
        <v>2674</v>
      </c>
      <c r="H65" s="539"/>
      <c r="I65" s="539"/>
      <c r="J65" s="539"/>
      <c r="K65" s="539"/>
      <c r="L65" s="539"/>
      <c r="M65" s="1381"/>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2724</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2640</v>
      </c>
      <c r="B4" s="402"/>
      <c r="C4" s="3214" t="s">
        <v>2641</v>
      </c>
      <c r="D4" s="3215"/>
      <c r="E4" s="3216" t="s">
        <v>2642</v>
      </c>
      <c r="F4" s="3217"/>
      <c r="G4" s="3214" t="s">
        <v>2643</v>
      </c>
      <c r="H4" s="3215"/>
      <c r="I4" s="3214" t="s">
        <v>2644</v>
      </c>
      <c r="J4" s="3215"/>
      <c r="K4" s="610" t="s">
        <v>2645</v>
      </c>
      <c r="L4" s="1130"/>
      <c r="M4" s="1131"/>
      <c r="N4" s="1131"/>
      <c r="O4" s="1131"/>
      <c r="P4" s="3218" t="s">
        <v>2646</v>
      </c>
      <c r="Q4" s="3219"/>
      <c r="R4" s="3201" t="s">
        <v>2642</v>
      </c>
      <c r="S4" s="3202"/>
      <c r="T4" s="3201" t="s">
        <v>2643</v>
      </c>
      <c r="U4" s="3202"/>
      <c r="V4" s="3226" t="s">
        <v>2644</v>
      </c>
      <c r="W4" s="3226"/>
      <c r="X4" s="1812"/>
      <c r="Y4" s="3201" t="s">
        <v>2646</v>
      </c>
      <c r="Z4" s="3202"/>
      <c r="AA4" s="3196" t="s">
        <v>2642</v>
      </c>
      <c r="AB4" s="3197" t="s">
        <v>2643</v>
      </c>
      <c r="AC4" s="3196" t="s">
        <v>2644</v>
      </c>
    </row>
    <row r="5" spans="1:30">
      <c r="A5" s="404"/>
      <c r="B5" s="405"/>
      <c r="C5" s="3207" t="s">
        <v>2537</v>
      </c>
      <c r="D5" s="3208"/>
      <c r="E5" s="3205" t="s">
        <v>2538</v>
      </c>
      <c r="F5" s="3206"/>
      <c r="G5" s="3207" t="s">
        <v>2539</v>
      </c>
      <c r="H5" s="3208"/>
      <c r="I5" s="3207" t="s">
        <v>2540</v>
      </c>
      <c r="J5" s="3208"/>
      <c r="K5" s="610"/>
      <c r="L5" s="1130"/>
      <c r="M5" s="1131"/>
      <c r="N5" s="1131"/>
      <c r="O5" s="1131"/>
      <c r="P5" s="3220"/>
      <c r="Q5" s="3221"/>
      <c r="R5" s="3203"/>
      <c r="S5" s="3204"/>
      <c r="T5" s="3203"/>
      <c r="U5" s="3204"/>
      <c r="V5" s="3226"/>
      <c r="W5" s="3226"/>
      <c r="X5" s="1812"/>
      <c r="Y5" s="3203"/>
      <c r="Z5" s="3204"/>
      <c r="AA5" s="3197"/>
      <c r="AB5" s="3197"/>
      <c r="AC5" s="3197"/>
    </row>
    <row r="6" spans="1:30" ht="15" thickBot="1">
      <c r="A6" s="406"/>
      <c r="B6" s="407"/>
      <c r="C6" s="3209" t="s">
        <v>2541</v>
      </c>
      <c r="D6" s="3210"/>
      <c r="E6" s="3211" t="s">
        <v>2541</v>
      </c>
      <c r="F6" s="3212"/>
      <c r="G6" s="3209" t="s">
        <v>2541</v>
      </c>
      <c r="H6" s="3210"/>
      <c r="I6" s="3209" t="s">
        <v>2541</v>
      </c>
      <c r="J6" s="3210"/>
      <c r="K6" s="610" t="s">
        <v>2542</v>
      </c>
      <c r="L6" s="1130"/>
      <c r="M6" s="1131"/>
      <c r="N6" s="1131"/>
      <c r="O6" s="1131"/>
      <c r="P6" s="3222"/>
      <c r="Q6" s="3223"/>
      <c r="R6" s="3203"/>
      <c r="S6" s="3204"/>
      <c r="T6" s="3224"/>
      <c r="U6" s="3225"/>
      <c r="V6" s="3226"/>
      <c r="W6" s="3226"/>
      <c r="X6" s="1812"/>
      <c r="Y6" s="3224"/>
      <c r="Z6" s="3225"/>
      <c r="AA6" s="3198"/>
      <c r="AB6" s="3198"/>
      <c r="AC6" s="3198"/>
    </row>
    <row r="7" spans="1:30" s="117" customFormat="1" ht="15" thickBot="1">
      <c r="A7" s="408" t="s">
        <v>2543</v>
      </c>
      <c r="B7" s="409"/>
      <c r="C7" s="410">
        <f>'数据-取费表'!B2</f>
        <v>43915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199" t="s">
        <v>2544</v>
      </c>
      <c r="Q7" s="3227"/>
      <c r="R7" s="770" t="s">
        <v>17</v>
      </c>
      <c r="S7" s="771">
        <f t="shared" ref="S7:S15" si="0">F7</f>
        <v>0</v>
      </c>
      <c r="T7" s="770" t="s">
        <v>17</v>
      </c>
      <c r="U7" s="771">
        <f t="shared" ref="U7:U15" si="1">H7</f>
        <v>0</v>
      </c>
      <c r="V7" s="770" t="s">
        <v>17</v>
      </c>
      <c r="W7" s="771">
        <f t="shared" ref="W7:W15" si="2">J7</f>
        <v>0</v>
      </c>
      <c r="X7" s="772"/>
      <c r="Y7" s="3199" t="s">
        <v>2544</v>
      </c>
      <c r="Z7" s="3200"/>
      <c r="AA7" s="773" t="e">
        <f>D7/F7</f>
        <v>#DIV/0!</v>
      </c>
      <c r="AB7" s="773" t="e">
        <f>D7/H7</f>
        <v>#DIV/0!</v>
      </c>
      <c r="AC7" s="773" t="e">
        <f>D7/J7</f>
        <v>#DIV/0!</v>
      </c>
    </row>
    <row r="8" spans="1:30" s="117" customFormat="1" ht="1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9" t="s">
        <v>2547</v>
      </c>
      <c r="Q8" s="3200"/>
      <c r="R8" s="770" t="s">
        <v>17</v>
      </c>
      <c r="S8" s="771">
        <f t="shared" si="0"/>
        <v>0</v>
      </c>
      <c r="T8" s="770" t="s">
        <v>17</v>
      </c>
      <c r="U8" s="771">
        <f t="shared" si="1"/>
        <v>0</v>
      </c>
      <c r="V8" s="770" t="s">
        <v>17</v>
      </c>
      <c r="W8" s="771">
        <f t="shared" si="2"/>
        <v>0</v>
      </c>
      <c r="X8" s="772"/>
      <c r="Y8" s="3199" t="s">
        <v>2547</v>
      </c>
      <c r="Z8" s="3200"/>
      <c r="AA8" s="773" t="e">
        <f t="shared" ref="AA8:AA45" si="3">D8/F8</f>
        <v>#DIV/0!</v>
      </c>
      <c r="AB8" s="773" t="e">
        <f t="shared" ref="AB8:AB45" si="4">D8/H8</f>
        <v>#DIV/0!</v>
      </c>
      <c r="AC8" s="773" t="e">
        <f t="shared" ref="AC8:AC45" si="5">D8/J8</f>
        <v>#DIV/0!</v>
      </c>
    </row>
    <row r="9" spans="1:30" s="117" customFormat="1" ht="14.4">
      <c r="A9" s="415" t="s">
        <v>2548</v>
      </c>
      <c r="B9" s="71" t="s">
        <v>2549</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31" t="s">
        <v>2550</v>
      </c>
      <c r="Q9" s="1794" t="str">
        <f t="shared" ref="Q9:Q15" si="6">B9</f>
        <v>用途</v>
      </c>
      <c r="R9" s="770" t="s">
        <v>17</v>
      </c>
      <c r="S9" s="771">
        <f t="shared" si="0"/>
        <v>100</v>
      </c>
      <c r="T9" s="770" t="s">
        <v>17</v>
      </c>
      <c r="U9" s="771">
        <f t="shared" si="1"/>
        <v>100</v>
      </c>
      <c r="V9" s="770" t="s">
        <v>17</v>
      </c>
      <c r="W9" s="771">
        <f t="shared" si="2"/>
        <v>100</v>
      </c>
      <c r="X9" s="772"/>
      <c r="Y9" s="3050" t="s">
        <v>2551</v>
      </c>
      <c r="Z9" s="55" t="str">
        <f t="shared" ref="Z9:Z15" si="7">Q9</f>
        <v>用途</v>
      </c>
      <c r="AA9" s="773">
        <f t="shared" si="3"/>
        <v>1</v>
      </c>
      <c r="AB9" s="773">
        <f t="shared" si="4"/>
        <v>1</v>
      </c>
      <c r="AC9" s="773">
        <f t="shared" si="5"/>
        <v>1</v>
      </c>
    </row>
    <row r="10" spans="1:30" s="427" customFormat="1" ht="28.8">
      <c r="A10" s="421"/>
      <c r="B10" s="422" t="s">
        <v>2552</v>
      </c>
      <c r="C10" s="432"/>
      <c r="D10" s="136">
        <v>100</v>
      </c>
      <c r="E10" s="465"/>
      <c r="F10" s="136">
        <f>ROUND(100/'数据-取费表'!G16,0)</f>
        <v>108</v>
      </c>
      <c r="G10" s="463"/>
      <c r="H10" s="136">
        <f>ROUND(100/'数据-取费表'!G16,0)</f>
        <v>108</v>
      </c>
      <c r="I10" s="463"/>
      <c r="J10" s="136">
        <f>ROUND(100/'数据-取费表'!G16,0)</f>
        <v>108</v>
      </c>
      <c r="K10" s="672"/>
      <c r="L10" s="1135"/>
      <c r="M10" s="1136"/>
      <c r="N10" s="1136"/>
      <c r="O10" s="1137"/>
      <c r="P10" s="3231"/>
      <c r="Q10" s="1794" t="str">
        <f t="shared" si="6"/>
        <v>土地使用年限（年）</v>
      </c>
      <c r="R10" s="770" t="s">
        <v>17</v>
      </c>
      <c r="S10" s="771">
        <f t="shared" si="0"/>
        <v>108</v>
      </c>
      <c r="T10" s="770" t="s">
        <v>17</v>
      </c>
      <c r="U10" s="771">
        <f t="shared" si="1"/>
        <v>108</v>
      </c>
      <c r="V10" s="770" t="s">
        <v>17</v>
      </c>
      <c r="W10" s="771">
        <f t="shared" si="2"/>
        <v>108</v>
      </c>
      <c r="X10" s="772"/>
      <c r="Y10" s="3050"/>
      <c r="Z10" s="55" t="str">
        <f t="shared" si="7"/>
        <v>土地使用年限（年）</v>
      </c>
      <c r="AA10" s="773">
        <f t="shared" si="3"/>
        <v>0.92592592592592593</v>
      </c>
      <c r="AB10" s="773">
        <f t="shared" si="4"/>
        <v>0.92592592592592593</v>
      </c>
      <c r="AC10" s="773">
        <f t="shared" si="5"/>
        <v>0.92592592592592593</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1"/>
      <c r="Q11" s="1794"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30" s="117" customFormat="1" ht="15">
      <c r="A12" s="431"/>
      <c r="B12" s="2600"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1"/>
      <c r="Q12" s="1794" t="str">
        <f t="shared" si="6"/>
        <v>配建</v>
      </c>
      <c r="R12" s="770" t="s">
        <v>17</v>
      </c>
      <c r="S12" s="771">
        <f t="shared" si="0"/>
        <v>100</v>
      </c>
      <c r="T12" s="770" t="s">
        <v>17</v>
      </c>
      <c r="U12" s="771">
        <f t="shared" si="1"/>
        <v>100</v>
      </c>
      <c r="V12" s="770" t="s">
        <v>17</v>
      </c>
      <c r="W12" s="771">
        <f t="shared" si="2"/>
        <v>100</v>
      </c>
      <c r="X12" s="772"/>
      <c r="Y12" s="3050"/>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1"/>
      <c r="Q13" s="1794">
        <f t="shared" si="6"/>
        <v>111</v>
      </c>
      <c r="R13" s="770" t="s">
        <v>17</v>
      </c>
      <c r="S13" s="771">
        <f t="shared" si="0"/>
        <v>100</v>
      </c>
      <c r="T13" s="770" t="s">
        <v>17</v>
      </c>
      <c r="U13" s="771">
        <f t="shared" si="1"/>
        <v>100</v>
      </c>
      <c r="V13" s="770" t="s">
        <v>17</v>
      </c>
      <c r="W13" s="771">
        <f t="shared" si="2"/>
        <v>100</v>
      </c>
      <c r="X13" s="772"/>
      <c r="Y13" s="3050"/>
      <c r="Z13" s="55">
        <f t="shared" si="7"/>
        <v>111</v>
      </c>
      <c r="AA13" s="773">
        <f>D13/F13</f>
        <v>1</v>
      </c>
      <c r="AB13" s="773">
        <f>D13/H13</f>
        <v>1</v>
      </c>
      <c r="AC13" s="773">
        <f>D13/J13</f>
        <v>1</v>
      </c>
    </row>
    <row r="14" spans="1:30" ht="15.6"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1"/>
      <c r="Q14" s="1794">
        <f t="shared" si="6"/>
        <v>111</v>
      </c>
      <c r="R14" s="770" t="s">
        <v>17</v>
      </c>
      <c r="S14" s="771">
        <f t="shared" si="0"/>
        <v>100</v>
      </c>
      <c r="T14" s="770" t="s">
        <v>17</v>
      </c>
      <c r="U14" s="771">
        <f t="shared" si="1"/>
        <v>100</v>
      </c>
      <c r="V14" s="770" t="s">
        <v>17</v>
      </c>
      <c r="W14" s="771">
        <f t="shared" si="2"/>
        <v>100</v>
      </c>
      <c r="X14" s="772"/>
      <c r="Y14" s="3050"/>
      <c r="Z14" s="55">
        <f t="shared" si="7"/>
        <v>111</v>
      </c>
      <c r="AA14" s="773">
        <f>D14/F14</f>
        <v>1</v>
      </c>
      <c r="AB14" s="773">
        <f>D14/H14</f>
        <v>1</v>
      </c>
      <c r="AC14" s="773">
        <f>D14/J14</f>
        <v>1</v>
      </c>
    </row>
    <row r="15" spans="1:30" ht="96.6">
      <c r="A15" s="440" t="s">
        <v>2554</v>
      </c>
      <c r="B15" s="69" t="s">
        <v>2083</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3" t="s">
        <v>2555</v>
      </c>
      <c r="Q15" s="1809" t="str">
        <f t="shared" si="6"/>
        <v>居住社区成熟度</v>
      </c>
      <c r="R15" s="774" t="s">
        <v>17</v>
      </c>
      <c r="S15" s="775">
        <f t="shared" si="0"/>
        <v>100</v>
      </c>
      <c r="T15" s="774" t="s">
        <v>17</v>
      </c>
      <c r="U15" s="775">
        <f t="shared" si="1"/>
        <v>100</v>
      </c>
      <c r="V15" s="774" t="s">
        <v>17</v>
      </c>
      <c r="W15" s="775">
        <f t="shared" si="2"/>
        <v>100</v>
      </c>
      <c r="X15" s="1812"/>
      <c r="Y15" s="3233" t="s">
        <v>2555</v>
      </c>
      <c r="Z15" s="1813" t="str">
        <f t="shared" si="7"/>
        <v>居住社区成熟度</v>
      </c>
      <c r="AA15" s="1810">
        <f t="shared" si="3"/>
        <v>1</v>
      </c>
      <c r="AB15" s="1810">
        <f t="shared" si="4"/>
        <v>1</v>
      </c>
      <c r="AC15" s="1810">
        <f t="shared" si="5"/>
        <v>1</v>
      </c>
    </row>
    <row r="16" spans="1:30" ht="15">
      <c r="A16" s="428"/>
      <c r="B16" s="446"/>
      <c r="C16" s="447"/>
      <c r="D16" s="448"/>
      <c r="E16" s="2605"/>
      <c r="F16" s="448"/>
      <c r="G16" s="2605"/>
      <c r="H16" s="450"/>
      <c r="I16" s="2604"/>
      <c r="J16" s="448"/>
      <c r="K16" s="672"/>
      <c r="L16" s="1140"/>
      <c r="M16" s="1131"/>
      <c r="N16" s="1131"/>
      <c r="O16" s="1139"/>
      <c r="P16" s="3234"/>
      <c r="Q16" s="1809"/>
      <c r="R16" s="774"/>
      <c r="S16" s="775"/>
      <c r="T16" s="774"/>
      <c r="U16" s="775"/>
      <c r="V16" s="774"/>
      <c r="W16" s="775"/>
      <c r="X16" s="1812"/>
      <c r="Y16" s="3234"/>
      <c r="Z16" s="1813"/>
      <c r="AA16" s="1810">
        <v>1</v>
      </c>
      <c r="AB16" s="1810">
        <v>1</v>
      </c>
      <c r="AC16" s="1810">
        <v>1</v>
      </c>
    </row>
    <row r="17" spans="1:29" ht="82.8">
      <c r="A17" s="428"/>
      <c r="B17" s="451" t="s">
        <v>2648</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4"/>
      <c r="Q17" s="1809" t="str">
        <f>B17</f>
        <v>商业繁华度</v>
      </c>
      <c r="R17" s="774" t="s">
        <v>17</v>
      </c>
      <c r="S17" s="775">
        <f>F17</f>
        <v>100</v>
      </c>
      <c r="T17" s="774" t="s">
        <v>17</v>
      </c>
      <c r="U17" s="775">
        <f>H17</f>
        <v>100</v>
      </c>
      <c r="V17" s="774" t="s">
        <v>17</v>
      </c>
      <c r="W17" s="775">
        <f>J17</f>
        <v>100</v>
      </c>
      <c r="X17" s="1812"/>
      <c r="Y17" s="3234"/>
      <c r="Z17" s="1813" t="str">
        <f>Q17</f>
        <v>商业繁华度</v>
      </c>
      <c r="AA17" s="1810">
        <f t="shared" si="3"/>
        <v>1</v>
      </c>
      <c r="AB17" s="1810">
        <f t="shared" si="4"/>
        <v>1</v>
      </c>
      <c r="AC17" s="1810">
        <f t="shared" si="5"/>
        <v>1</v>
      </c>
    </row>
    <row r="18" spans="1:29" ht="15">
      <c r="A18" s="428"/>
      <c r="B18" s="456"/>
      <c r="C18" s="2608"/>
      <c r="D18" s="450"/>
      <c r="E18" s="2610"/>
      <c r="F18" s="450"/>
      <c r="G18" s="2610"/>
      <c r="H18" s="448"/>
      <c r="I18" s="2609"/>
      <c r="J18" s="448"/>
      <c r="K18" s="672"/>
      <c r="L18" s="1140"/>
      <c r="M18" s="1131"/>
      <c r="N18" s="1131"/>
      <c r="O18" s="1139"/>
      <c r="P18" s="3234"/>
      <c r="Q18" s="1809"/>
      <c r="R18" s="774"/>
      <c r="S18" s="775"/>
      <c r="T18" s="774"/>
      <c r="U18" s="775"/>
      <c r="V18" s="774"/>
      <c r="W18" s="775"/>
      <c r="X18" s="1812"/>
      <c r="Y18" s="3234"/>
      <c r="Z18" s="1813"/>
      <c r="AA18" s="1810">
        <v>1</v>
      </c>
      <c r="AB18" s="1810">
        <v>1</v>
      </c>
      <c r="AC18" s="1810">
        <v>1</v>
      </c>
    </row>
    <row r="19" spans="1:29" ht="82.8">
      <c r="A19" s="428"/>
      <c r="B19" s="451" t="s">
        <v>2682</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4"/>
      <c r="Q19" s="1809" t="str">
        <f>B19</f>
        <v>办公集聚程度</v>
      </c>
      <c r="R19" s="774" t="s">
        <v>17</v>
      </c>
      <c r="S19" s="775">
        <f>F19</f>
        <v>100</v>
      </c>
      <c r="T19" s="774" t="s">
        <v>17</v>
      </c>
      <c r="U19" s="775">
        <f>H19</f>
        <v>100</v>
      </c>
      <c r="V19" s="774" t="s">
        <v>17</v>
      </c>
      <c r="W19" s="775">
        <f>J19</f>
        <v>100</v>
      </c>
      <c r="X19" s="1812"/>
      <c r="Y19" s="3234"/>
      <c r="Z19" s="1813" t="str">
        <f>Q19</f>
        <v>办公集聚程度</v>
      </c>
      <c r="AA19" s="1810">
        <f t="shared" si="3"/>
        <v>1</v>
      </c>
      <c r="AB19" s="1810">
        <f t="shared" si="4"/>
        <v>1</v>
      </c>
      <c r="AC19" s="1810">
        <f t="shared" si="5"/>
        <v>1</v>
      </c>
    </row>
    <row r="20" spans="1:29" ht="15">
      <c r="A20" s="428"/>
      <c r="B20" s="456"/>
      <c r="C20" s="447"/>
      <c r="D20" s="448"/>
      <c r="E20" s="2605"/>
      <c r="F20" s="448"/>
      <c r="G20" s="2605"/>
      <c r="H20" s="448"/>
      <c r="I20" s="2604"/>
      <c r="J20" s="448"/>
      <c r="K20" s="672"/>
      <c r="L20" s="1140"/>
      <c r="M20" s="1131"/>
      <c r="N20" s="1131"/>
      <c r="O20" s="1139"/>
      <c r="P20" s="3234"/>
      <c r="Q20" s="1809"/>
      <c r="R20" s="774"/>
      <c r="S20" s="775"/>
      <c r="T20" s="774"/>
      <c r="U20" s="775"/>
      <c r="V20" s="774"/>
      <c r="W20" s="775"/>
      <c r="X20" s="1812"/>
      <c r="Y20" s="3234"/>
      <c r="Z20" s="1813"/>
      <c r="AA20" s="1810">
        <v>1</v>
      </c>
      <c r="AB20" s="1810">
        <v>1</v>
      </c>
      <c r="AC20" s="1810">
        <v>1</v>
      </c>
    </row>
    <row r="21" spans="1:29" ht="96.6">
      <c r="A21" s="428"/>
      <c r="B21" s="451" t="s">
        <v>2704</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4"/>
      <c r="Q21" s="1809" t="str">
        <f>B21</f>
        <v>交通便捷度</v>
      </c>
      <c r="R21" s="774" t="s">
        <v>17</v>
      </c>
      <c r="S21" s="775">
        <f>F21</f>
        <v>100</v>
      </c>
      <c r="T21" s="774" t="s">
        <v>17</v>
      </c>
      <c r="U21" s="775">
        <f>H21</f>
        <v>100</v>
      </c>
      <c r="V21" s="774" t="s">
        <v>17</v>
      </c>
      <c r="W21" s="775">
        <f>J21</f>
        <v>100</v>
      </c>
      <c r="X21" s="1812"/>
      <c r="Y21" s="3234"/>
      <c r="Z21" s="1813" t="str">
        <f>Q21</f>
        <v>交通便捷度</v>
      </c>
      <c r="AA21" s="1810">
        <f t="shared" si="3"/>
        <v>1</v>
      </c>
      <c r="AB21" s="1810">
        <f t="shared" si="4"/>
        <v>1</v>
      </c>
      <c r="AC21" s="1810">
        <f t="shared" si="5"/>
        <v>1</v>
      </c>
    </row>
    <row r="22" spans="1:29" ht="15">
      <c r="A22" s="428"/>
      <c r="B22" s="1383"/>
      <c r="C22" s="447"/>
      <c r="D22" s="450"/>
      <c r="E22" s="2605"/>
      <c r="F22" s="448"/>
      <c r="G22" s="2605"/>
      <c r="H22" s="448"/>
      <c r="I22" s="2604"/>
      <c r="J22" s="448"/>
      <c r="K22" s="672"/>
      <c r="L22" s="1140"/>
      <c r="M22" s="1131"/>
      <c r="N22" s="1131"/>
      <c r="O22" s="1139"/>
      <c r="P22" s="3234"/>
      <c r="Q22" s="1809"/>
      <c r="R22" s="774"/>
      <c r="S22" s="775"/>
      <c r="T22" s="774"/>
      <c r="U22" s="775"/>
      <c r="V22" s="774"/>
      <c r="W22" s="775"/>
      <c r="X22" s="1812"/>
      <c r="Y22" s="3234"/>
      <c r="Z22" s="1813"/>
      <c r="AA22" s="1810">
        <v>1</v>
      </c>
      <c r="AB22" s="1810">
        <v>1</v>
      </c>
      <c r="AC22" s="1810">
        <v>1</v>
      </c>
    </row>
    <row r="23" spans="1:29" ht="28.8">
      <c r="A23" s="404"/>
      <c r="B23" s="451" t="s">
        <v>2743</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4"/>
      <c r="Q23" s="1809" t="str">
        <f t="shared" ref="Q23:Q37" si="8">B23</f>
        <v>区域土地利用方向</v>
      </c>
      <c r="R23" s="774" t="s">
        <v>17</v>
      </c>
      <c r="S23" s="775">
        <f>F23</f>
        <v>100</v>
      </c>
      <c r="T23" s="774" t="s">
        <v>17</v>
      </c>
      <c r="U23" s="775">
        <f>H23</f>
        <v>100</v>
      </c>
      <c r="V23" s="774" t="s">
        <v>17</v>
      </c>
      <c r="W23" s="775">
        <f>J23</f>
        <v>100</v>
      </c>
      <c r="X23" s="1812"/>
      <c r="Y23" s="3234"/>
      <c r="Z23" s="1813" t="str">
        <f>Q23</f>
        <v>区域土地利用方向</v>
      </c>
      <c r="AA23" s="1810">
        <f t="shared" si="3"/>
        <v>1</v>
      </c>
      <c r="AB23" s="1810">
        <f t="shared" si="4"/>
        <v>1</v>
      </c>
      <c r="AC23" s="1810">
        <f t="shared" si="5"/>
        <v>1</v>
      </c>
    </row>
    <row r="24" spans="1:29" ht="15">
      <c r="A24" s="404"/>
      <c r="B24" s="456"/>
      <c r="C24" s="616"/>
      <c r="D24" s="448"/>
      <c r="E24" s="2605"/>
      <c r="F24" s="448"/>
      <c r="G24" s="2604"/>
      <c r="H24" s="448"/>
      <c r="I24" s="2604"/>
      <c r="J24" s="448"/>
      <c r="K24" s="812"/>
      <c r="L24" s="1140"/>
      <c r="M24" s="1131"/>
      <c r="N24" s="1131"/>
      <c r="O24" s="1139"/>
      <c r="P24" s="3234"/>
      <c r="Q24" s="1809"/>
      <c r="R24" s="774"/>
      <c r="S24" s="775"/>
      <c r="T24" s="774"/>
      <c r="U24" s="775"/>
      <c r="V24" s="774"/>
      <c r="W24" s="775"/>
      <c r="X24" s="1812"/>
      <c r="Y24" s="3234"/>
      <c r="Z24" s="1813"/>
      <c r="AA24" s="1810"/>
      <c r="AB24" s="1810"/>
      <c r="AC24" s="1810"/>
    </row>
    <row r="25" spans="1:29" ht="55.2">
      <c r="A25" s="404"/>
      <c r="B25" s="1383" t="s">
        <v>2744</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4"/>
      <c r="Q25" s="1809" t="str">
        <f t="shared" si="8"/>
        <v>自然及人文环境状况</v>
      </c>
      <c r="R25" s="774" t="s">
        <v>17</v>
      </c>
      <c r="S25" s="775">
        <f>F25</f>
        <v>100</v>
      </c>
      <c r="T25" s="774" t="s">
        <v>17</v>
      </c>
      <c r="U25" s="775">
        <f>H25</f>
        <v>100</v>
      </c>
      <c r="V25" s="774" t="s">
        <v>17</v>
      </c>
      <c r="W25" s="775">
        <f>J25</f>
        <v>100</v>
      </c>
      <c r="X25" s="1812"/>
      <c r="Y25" s="3234"/>
      <c r="Z25" s="1813" t="str">
        <f>Q25</f>
        <v>自然及人文环境状况</v>
      </c>
      <c r="AA25" s="1810">
        <f t="shared" si="3"/>
        <v>1</v>
      </c>
      <c r="AB25" s="1810">
        <f t="shared" si="4"/>
        <v>1</v>
      </c>
      <c r="AC25" s="1810">
        <f t="shared" si="5"/>
        <v>1</v>
      </c>
    </row>
    <row r="26" spans="1:29" ht="15">
      <c r="A26" s="404"/>
      <c r="B26" s="456"/>
      <c r="C26" s="447"/>
      <c r="D26" s="448"/>
      <c r="E26" s="2611"/>
      <c r="F26" s="448"/>
      <c r="G26" s="2611"/>
      <c r="H26" s="448"/>
      <c r="I26" s="447"/>
      <c r="J26" s="448"/>
      <c r="K26" s="672"/>
      <c r="L26" s="1140"/>
      <c r="M26" s="1131"/>
      <c r="N26" s="1131"/>
      <c r="O26" s="1139"/>
      <c r="P26" s="3234"/>
      <c r="Q26" s="1809"/>
      <c r="R26" s="774"/>
      <c r="S26" s="775"/>
      <c r="T26" s="774"/>
      <c r="U26" s="775"/>
      <c r="V26" s="774"/>
      <c r="W26" s="775"/>
      <c r="X26" s="1812"/>
      <c r="Y26" s="3234"/>
      <c r="Z26" s="1813"/>
      <c r="AA26" s="1810">
        <v>1</v>
      </c>
      <c r="AB26" s="1810">
        <v>1</v>
      </c>
      <c r="AC26" s="1810">
        <v>1</v>
      </c>
    </row>
    <row r="27" spans="1:29" s="117" customFormat="1" ht="41.4">
      <c r="A27" s="649"/>
      <c r="B27" s="1383" t="s">
        <v>2649</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4"/>
      <c r="Q27" s="1794" t="str">
        <f t="shared" si="8"/>
        <v>公共配套设施</v>
      </c>
      <c r="R27" s="770" t="s">
        <v>17</v>
      </c>
      <c r="S27" s="771">
        <f>F27</f>
        <v>100</v>
      </c>
      <c r="T27" s="770" t="s">
        <v>17</v>
      </c>
      <c r="U27" s="771">
        <f>H27</f>
        <v>100</v>
      </c>
      <c r="V27" s="770" t="s">
        <v>17</v>
      </c>
      <c r="W27" s="771">
        <f>J27</f>
        <v>100</v>
      </c>
      <c r="X27" s="772"/>
      <c r="Y27" s="3234"/>
      <c r="Z27" s="55" t="str">
        <f>Q27</f>
        <v>公共配套设施</v>
      </c>
      <c r="AA27" s="1810">
        <f>D27/F27</f>
        <v>1</v>
      </c>
      <c r="AB27" s="1810">
        <f>D27/H27</f>
        <v>1</v>
      </c>
      <c r="AC27" s="1810">
        <f>D27/J27</f>
        <v>1</v>
      </c>
    </row>
    <row r="28" spans="1:29" s="117" customFormat="1" ht="15">
      <c r="A28" s="649"/>
      <c r="B28" s="456"/>
      <c r="C28" s="2700"/>
      <c r="D28" s="448"/>
      <c r="E28" s="2611"/>
      <c r="F28" s="448"/>
      <c r="G28" s="2611"/>
      <c r="H28" s="448"/>
      <c r="I28" s="447"/>
      <c r="J28" s="448"/>
      <c r="K28" s="672"/>
      <c r="L28" s="1132"/>
      <c r="M28" s="1133"/>
      <c r="N28" s="1133"/>
      <c r="O28" s="1134"/>
      <c r="P28" s="3234"/>
      <c r="Q28" s="1794"/>
      <c r="R28" s="770"/>
      <c r="S28" s="771"/>
      <c r="T28" s="770"/>
      <c r="U28" s="771"/>
      <c r="V28" s="770"/>
      <c r="W28" s="771"/>
      <c r="X28" s="772"/>
      <c r="Y28" s="3234"/>
      <c r="Z28" s="55"/>
      <c r="AA28" s="1810">
        <v>1</v>
      </c>
      <c r="AB28" s="1810">
        <v>1</v>
      </c>
      <c r="AC28" s="1810">
        <v>1</v>
      </c>
    </row>
    <row r="29" spans="1:29" s="117" customFormat="1" ht="41.4">
      <c r="A29" s="649"/>
      <c r="B29" s="1383" t="s">
        <v>2650</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4"/>
      <c r="Q29" s="1794" t="str">
        <f t="shared" ref="Q29" si="9">B29</f>
        <v>基础设施水平</v>
      </c>
      <c r="R29" s="770" t="s">
        <v>17</v>
      </c>
      <c r="S29" s="771">
        <f>F29</f>
        <v>100</v>
      </c>
      <c r="T29" s="770" t="s">
        <v>17</v>
      </c>
      <c r="U29" s="771">
        <f>H29</f>
        <v>100</v>
      </c>
      <c r="V29" s="770" t="s">
        <v>17</v>
      </c>
      <c r="W29" s="771">
        <f>J29</f>
        <v>100</v>
      </c>
      <c r="X29" s="772"/>
      <c r="Y29" s="3234"/>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2"/>
      <c r="M30" s="1133"/>
      <c r="N30" s="1133"/>
      <c r="O30" s="1134"/>
      <c r="P30" s="3234"/>
      <c r="Q30" s="1794"/>
      <c r="R30" s="770"/>
      <c r="S30" s="771"/>
      <c r="T30" s="770"/>
      <c r="U30" s="771"/>
      <c r="V30" s="770"/>
      <c r="W30" s="771"/>
      <c r="X30" s="772"/>
      <c r="Y30" s="3234"/>
      <c r="Z30" s="55"/>
      <c r="AA30" s="1810">
        <v>1</v>
      </c>
      <c r="AB30" s="1810">
        <v>1</v>
      </c>
      <c r="AC30" s="1810">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4"/>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34"/>
      <c r="Z31" s="1813" t="str">
        <f t="shared" ref="Z31:Z45" si="13">Q31</f>
        <v>临街状况</v>
      </c>
      <c r="AA31" s="1810">
        <f t="shared" si="3"/>
        <v>1</v>
      </c>
      <c r="AB31" s="1810">
        <f t="shared" si="4"/>
        <v>1</v>
      </c>
      <c r="AC31" s="1810">
        <f t="shared" si="5"/>
        <v>1</v>
      </c>
    </row>
    <row r="32" spans="1:29" ht="28.8">
      <c r="A32" s="428"/>
      <c r="B32" s="1383"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4"/>
      <c r="Q32" s="1809" t="str">
        <f t="shared" si="8"/>
        <v>毗邻道路的类型与等级</v>
      </c>
      <c r="R32" s="774" t="s">
        <v>17</v>
      </c>
      <c r="S32" s="775">
        <f t="shared" si="10"/>
        <v>100</v>
      </c>
      <c r="T32" s="774" t="s">
        <v>17</v>
      </c>
      <c r="U32" s="775">
        <f t="shared" si="11"/>
        <v>100</v>
      </c>
      <c r="V32" s="774" t="s">
        <v>17</v>
      </c>
      <c r="W32" s="775">
        <f t="shared" si="12"/>
        <v>100</v>
      </c>
      <c r="X32" s="1812"/>
      <c r="Y32" s="3234"/>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40"/>
      <c r="M33" s="1131"/>
      <c r="N33" s="1131"/>
      <c r="O33" s="1139"/>
      <c r="P33" s="3234"/>
      <c r="Q33" s="1809"/>
      <c r="R33" s="774"/>
      <c r="S33" s="775"/>
      <c r="T33" s="774"/>
      <c r="U33" s="775"/>
      <c r="V33" s="774"/>
      <c r="W33" s="775"/>
      <c r="X33" s="1812"/>
      <c r="Y33" s="3234"/>
      <c r="Z33" s="1813"/>
      <c r="AA33" s="1810">
        <v>1</v>
      </c>
      <c r="AB33" s="1810">
        <v>1</v>
      </c>
      <c r="AC33" s="1810">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4"/>
      <c r="Q34" s="1809" t="str">
        <f t="shared" si="8"/>
        <v>土地级别</v>
      </c>
      <c r="R34" s="774" t="s">
        <v>17</v>
      </c>
      <c r="S34" s="775">
        <f t="shared" si="10"/>
        <v>100</v>
      </c>
      <c r="T34" s="774" t="s">
        <v>17</v>
      </c>
      <c r="U34" s="775">
        <f t="shared" si="11"/>
        <v>100</v>
      </c>
      <c r="V34" s="774" t="s">
        <v>17</v>
      </c>
      <c r="W34" s="775">
        <f t="shared" si="12"/>
        <v>100</v>
      </c>
      <c r="X34" s="1812"/>
      <c r="Y34" s="3234"/>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4"/>
      <c r="Q35" s="1809">
        <f t="shared" si="8"/>
        <v>111</v>
      </c>
      <c r="R35" s="774" t="s">
        <v>17</v>
      </c>
      <c r="S35" s="775">
        <f t="shared" si="10"/>
        <v>100</v>
      </c>
      <c r="T35" s="774" t="s">
        <v>17</v>
      </c>
      <c r="U35" s="775">
        <f t="shared" si="11"/>
        <v>100</v>
      </c>
      <c r="V35" s="774" t="s">
        <v>17</v>
      </c>
      <c r="W35" s="775">
        <f t="shared" si="12"/>
        <v>100</v>
      </c>
      <c r="X35" s="1812"/>
      <c r="Y35" s="3234"/>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4" t="s">
        <v>2560</v>
      </c>
      <c r="Q36" s="1809">
        <f t="shared" si="8"/>
        <v>111</v>
      </c>
      <c r="R36" s="774" t="s">
        <v>17</v>
      </c>
      <c r="S36" s="775">
        <f t="shared" si="10"/>
        <v>100</v>
      </c>
      <c r="T36" s="774" t="s">
        <v>17</v>
      </c>
      <c r="U36" s="775">
        <f t="shared" si="11"/>
        <v>100</v>
      </c>
      <c r="V36" s="774" t="s">
        <v>17</v>
      </c>
      <c r="W36" s="775">
        <f t="shared" si="12"/>
        <v>100</v>
      </c>
      <c r="X36" s="1812"/>
      <c r="Y36" s="3238" t="s">
        <v>2560</v>
      </c>
      <c r="Z36" s="1813">
        <f t="shared" si="13"/>
        <v>111</v>
      </c>
      <c r="AA36" s="1810">
        <f t="shared" si="3"/>
        <v>1</v>
      </c>
      <c r="AB36" s="1810">
        <f t="shared" si="4"/>
        <v>1</v>
      </c>
      <c r="AC36" s="1810">
        <f t="shared" si="5"/>
        <v>1</v>
      </c>
    </row>
    <row r="37" spans="1:29" s="471" customFormat="1" ht="15.6"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8"/>
      <c r="Q37" s="1809">
        <f t="shared" si="8"/>
        <v>111</v>
      </c>
      <c r="R37" s="777" t="s">
        <v>17</v>
      </c>
      <c r="S37" s="778">
        <f t="shared" si="10"/>
        <v>100</v>
      </c>
      <c r="T37" s="777" t="s">
        <v>17</v>
      </c>
      <c r="U37" s="778">
        <f t="shared" si="11"/>
        <v>100</v>
      </c>
      <c r="V37" s="777" t="s">
        <v>17</v>
      </c>
      <c r="W37" s="778">
        <f t="shared" si="12"/>
        <v>100</v>
      </c>
      <c r="X37" s="779"/>
      <c r="Y37" s="3238"/>
      <c r="Z37" s="780">
        <f t="shared" si="13"/>
        <v>111</v>
      </c>
      <c r="AA37" s="1810">
        <f t="shared" si="3"/>
        <v>1</v>
      </c>
      <c r="AB37" s="1810">
        <f t="shared" si="4"/>
        <v>1</v>
      </c>
      <c r="AC37" s="1810">
        <f t="shared" si="5"/>
        <v>1</v>
      </c>
    </row>
    <row r="38" spans="1:29" ht="15.6">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8"/>
      <c r="Q38" s="1809" t="str">
        <f>B38</f>
        <v>宗地面积</v>
      </c>
      <c r="R38" s="774" t="s">
        <v>17</v>
      </c>
      <c r="S38" s="775" t="e">
        <f t="shared" si="10"/>
        <v>#N/A</v>
      </c>
      <c r="T38" s="774" t="s">
        <v>17</v>
      </c>
      <c r="U38" s="775" t="e">
        <f t="shared" si="11"/>
        <v>#N/A</v>
      </c>
      <c r="V38" s="774" t="s">
        <v>17</v>
      </c>
      <c r="W38" s="775" t="e">
        <f t="shared" si="12"/>
        <v>#N/A</v>
      </c>
      <c r="X38" s="1812"/>
      <c r="Y38" s="3238"/>
      <c r="Z38" s="1813" t="str">
        <f t="shared" si="13"/>
        <v>宗地面积</v>
      </c>
      <c r="AA38" s="1810" t="e">
        <f t="shared" si="3"/>
        <v>#N/A</v>
      </c>
      <c r="AB38" s="1810" t="e">
        <f t="shared" si="4"/>
        <v>#N/A</v>
      </c>
      <c r="AC38" s="1810" t="e">
        <f t="shared" si="5"/>
        <v>#N/A</v>
      </c>
    </row>
    <row r="39" spans="1:29" ht="15">
      <c r="A39" s="472"/>
      <c r="B39" s="422" t="s">
        <v>2747</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38"/>
      <c r="Q39" s="1809" t="str">
        <f t="shared" ref="Q39:Q45" si="14">B39</f>
        <v>宗地形状</v>
      </c>
      <c r="R39" s="774" t="s">
        <v>17</v>
      </c>
      <c r="S39" s="775">
        <f t="shared" si="10"/>
        <v>100</v>
      </c>
      <c r="T39" s="774" t="s">
        <v>17</v>
      </c>
      <c r="U39" s="775">
        <f t="shared" si="11"/>
        <v>100</v>
      </c>
      <c r="V39" s="774" t="s">
        <v>17</v>
      </c>
      <c r="W39" s="775">
        <f t="shared" si="12"/>
        <v>100</v>
      </c>
      <c r="X39" s="1812"/>
      <c r="Y39" s="3238"/>
      <c r="Z39" s="1813" t="str">
        <f t="shared" si="13"/>
        <v>宗地形状</v>
      </c>
      <c r="AA39" s="1810">
        <f t="shared" si="3"/>
        <v>1</v>
      </c>
      <c r="AB39" s="1810">
        <f t="shared" si="4"/>
        <v>1</v>
      </c>
      <c r="AC39" s="1810">
        <f t="shared" si="5"/>
        <v>1</v>
      </c>
    </row>
    <row r="40" spans="1:29" ht="15">
      <c r="A40" s="472"/>
      <c r="B40" s="422" t="s">
        <v>2748</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38"/>
      <c r="Q40" s="1809" t="str">
        <f t="shared" si="14"/>
        <v>临街宽度及深度</v>
      </c>
      <c r="R40" s="774" t="s">
        <v>17</v>
      </c>
      <c r="S40" s="775">
        <f t="shared" si="10"/>
        <v>100</v>
      </c>
      <c r="T40" s="774" t="s">
        <v>17</v>
      </c>
      <c r="U40" s="775">
        <f t="shared" si="11"/>
        <v>100</v>
      </c>
      <c r="V40" s="774" t="s">
        <v>17</v>
      </c>
      <c r="W40" s="775">
        <f t="shared" si="12"/>
        <v>100</v>
      </c>
      <c r="X40" s="1812"/>
      <c r="Y40" s="3238"/>
      <c r="Z40" s="1813" t="str">
        <f t="shared" si="13"/>
        <v>临街宽度及深度</v>
      </c>
      <c r="AA40" s="1810">
        <f t="shared" si="3"/>
        <v>1</v>
      </c>
      <c r="AB40" s="1810">
        <f t="shared" si="4"/>
        <v>1</v>
      </c>
      <c r="AC40" s="1810">
        <f t="shared" si="5"/>
        <v>1</v>
      </c>
    </row>
    <row r="41" spans="1:29" s="117" customFormat="1" ht="15">
      <c r="A41" s="473"/>
      <c r="B41" s="422" t="s">
        <v>2749</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38"/>
      <c r="Q41" s="1809" t="str">
        <f t="shared" si="14"/>
        <v>宗地开发程度</v>
      </c>
      <c r="R41" s="770" t="s">
        <v>17</v>
      </c>
      <c r="S41" s="771">
        <f t="shared" si="10"/>
        <v>100</v>
      </c>
      <c r="T41" s="770" t="s">
        <v>17</v>
      </c>
      <c r="U41" s="771">
        <f t="shared" si="11"/>
        <v>100</v>
      </c>
      <c r="V41" s="770" t="s">
        <v>17</v>
      </c>
      <c r="W41" s="771">
        <f t="shared" si="12"/>
        <v>100</v>
      </c>
      <c r="X41" s="772"/>
      <c r="Y41" s="3238"/>
      <c r="Z41" s="55" t="str">
        <f t="shared" si="13"/>
        <v>宗地开发程度</v>
      </c>
      <c r="AA41" s="773">
        <f t="shared" si="3"/>
        <v>1</v>
      </c>
      <c r="AB41" s="773">
        <f t="shared" si="4"/>
        <v>1</v>
      </c>
      <c r="AC41" s="773">
        <f t="shared" si="5"/>
        <v>1</v>
      </c>
    </row>
    <row r="42" spans="1:29" ht="15">
      <c r="A42" s="472"/>
      <c r="B42" s="422" t="s">
        <v>2750</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38" t="s">
        <v>2560</v>
      </c>
      <c r="Q42" s="1809" t="str">
        <f t="shared" si="14"/>
        <v>工程地质条件</v>
      </c>
      <c r="R42" s="774" t="s">
        <v>17</v>
      </c>
      <c r="S42" s="775">
        <f t="shared" si="10"/>
        <v>100</v>
      </c>
      <c r="T42" s="774" t="s">
        <v>17</v>
      </c>
      <c r="U42" s="775">
        <f t="shared" si="11"/>
        <v>100</v>
      </c>
      <c r="V42" s="774" t="s">
        <v>17</v>
      </c>
      <c r="W42" s="775">
        <f t="shared" si="12"/>
        <v>100</v>
      </c>
      <c r="X42" s="1812"/>
      <c r="Y42" s="3238" t="s">
        <v>2560</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8"/>
      <c r="Q43" s="1809">
        <f t="shared" si="14"/>
        <v>111</v>
      </c>
      <c r="R43" s="774" t="s">
        <v>17</v>
      </c>
      <c r="S43" s="775">
        <f t="shared" si="10"/>
        <v>100</v>
      </c>
      <c r="T43" s="774" t="s">
        <v>17</v>
      </c>
      <c r="U43" s="775">
        <f t="shared" si="11"/>
        <v>100</v>
      </c>
      <c r="V43" s="774" t="s">
        <v>17</v>
      </c>
      <c r="W43" s="775">
        <f t="shared" si="12"/>
        <v>100</v>
      </c>
      <c r="X43" s="1812"/>
      <c r="Y43" s="3238"/>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8"/>
      <c r="Q44" s="1809">
        <f t="shared" si="14"/>
        <v>111</v>
      </c>
      <c r="R44" s="774" t="s">
        <v>17</v>
      </c>
      <c r="S44" s="775">
        <f t="shared" si="10"/>
        <v>100</v>
      </c>
      <c r="T44" s="774" t="s">
        <v>17</v>
      </c>
      <c r="U44" s="775">
        <f t="shared" si="11"/>
        <v>100</v>
      </c>
      <c r="V44" s="774" t="s">
        <v>17</v>
      </c>
      <c r="W44" s="775">
        <f t="shared" si="12"/>
        <v>100</v>
      </c>
      <c r="X44" s="1812"/>
      <c r="Y44" s="3238"/>
      <c r="Z44" s="1813">
        <f t="shared" si="13"/>
        <v>111</v>
      </c>
      <c r="AA44" s="1810">
        <f t="shared" si="3"/>
        <v>1</v>
      </c>
      <c r="AB44" s="1810">
        <f t="shared" si="4"/>
        <v>1</v>
      </c>
      <c r="AC44" s="1810">
        <f t="shared" si="5"/>
        <v>1</v>
      </c>
    </row>
    <row r="45" spans="1:29" s="471" customFormat="1" ht="15.6"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8"/>
      <c r="Q45" s="1809">
        <f t="shared" si="14"/>
        <v>111</v>
      </c>
      <c r="R45" s="777" t="s">
        <v>17</v>
      </c>
      <c r="S45" s="778">
        <f t="shared" si="10"/>
        <v>100</v>
      </c>
      <c r="T45" s="777" t="s">
        <v>17</v>
      </c>
      <c r="U45" s="778">
        <f t="shared" si="11"/>
        <v>100</v>
      </c>
      <c r="V45" s="777" t="s">
        <v>17</v>
      </c>
      <c r="W45" s="778">
        <f t="shared" si="12"/>
        <v>100</v>
      </c>
      <c r="X45" s="779"/>
      <c r="Y45" s="3238"/>
      <c r="Z45" s="780">
        <f t="shared" si="13"/>
        <v>111</v>
      </c>
      <c r="AA45" s="1810">
        <f t="shared" si="3"/>
        <v>1</v>
      </c>
      <c r="AB45" s="1810">
        <f t="shared" si="4"/>
        <v>1</v>
      </c>
      <c r="AC45" s="1810">
        <f t="shared" si="5"/>
        <v>1</v>
      </c>
    </row>
    <row r="46" spans="1:29" ht="14.4">
      <c r="A46" s="479" t="s">
        <v>2715</v>
      </c>
      <c r="B46" s="2704" t="s">
        <v>2751</v>
      </c>
      <c r="C46" s="682" t="s">
        <v>1</v>
      </c>
      <c r="D46" s="481"/>
      <c r="E46" s="482"/>
      <c r="F46" s="483"/>
      <c r="G46" s="484"/>
      <c r="H46" s="485"/>
      <c r="I46" s="482"/>
      <c r="J46" s="485"/>
      <c r="K46" s="783"/>
      <c r="L46" s="1143"/>
      <c r="M46" s="1144"/>
      <c r="N46" s="1131"/>
      <c r="O46" s="1144"/>
      <c r="P46" s="3231" t="str">
        <f>A46</f>
        <v>成交单价</v>
      </c>
      <c r="Q46" s="3231"/>
      <c r="R46" s="3226">
        <f>E46</f>
        <v>0</v>
      </c>
      <c r="S46" s="3226"/>
      <c r="T46" s="3226">
        <f>G46</f>
        <v>0</v>
      </c>
      <c r="U46" s="3226"/>
      <c r="V46" s="3226">
        <f>I46</f>
        <v>0</v>
      </c>
      <c r="W46" s="3226"/>
      <c r="X46" s="759"/>
      <c r="Y46" s="781"/>
      <c r="Z46" s="759"/>
      <c r="AA46" s="759"/>
      <c r="AB46" s="759"/>
      <c r="AC46" s="759"/>
    </row>
    <row r="47" spans="1:29" ht="15" thickBot="1">
      <c r="A47" s="486" t="s">
        <v>2664</v>
      </c>
      <c r="B47" s="683"/>
      <c r="C47" s="490" t="e">
        <f>R48</f>
        <v>#DIV/0!</v>
      </c>
      <c r="D47" s="489"/>
      <c r="E47" s="490" t="e">
        <f>R47</f>
        <v>#DIV/0!</v>
      </c>
      <c r="F47" s="491"/>
      <c r="G47" s="488" t="e">
        <f>T47</f>
        <v>#DIV/0!</v>
      </c>
      <c r="H47" s="489"/>
      <c r="I47" s="490" t="e">
        <f>V47</f>
        <v>#DIV/0!</v>
      </c>
      <c r="J47" s="489"/>
      <c r="K47" s="784"/>
      <c r="L47" s="1143"/>
      <c r="M47" s="1144"/>
      <c r="N47" s="1144"/>
      <c r="O47" s="1144"/>
      <c r="P47" s="3231" t="str">
        <f>A47</f>
        <v>比较价值（元/平方米）</v>
      </c>
      <c r="Q47" s="3231"/>
      <c r="R47" s="3285" t="e">
        <f>ROUND(PRODUCT(R46,AA7:AA45),0)</f>
        <v>#DIV/0!</v>
      </c>
      <c r="S47" s="3285"/>
      <c r="T47" s="3285" t="e">
        <f>ROUND(PRODUCT(T46,AB7:AB45),0)</f>
        <v>#DIV/0!</v>
      </c>
      <c r="U47" s="3285"/>
      <c r="V47" s="3285" t="e">
        <f>ROUND(PRODUCT(V46,AC7:AC45),0)</f>
        <v>#DIV/0!</v>
      </c>
      <c r="W47" s="3285"/>
      <c r="X47" s="759"/>
      <c r="Y47" s="759"/>
      <c r="Z47" s="759"/>
      <c r="AA47" s="759"/>
      <c r="AB47" s="759"/>
      <c r="AC47" s="759"/>
    </row>
    <row r="48" spans="1:29" ht="15" thickBot="1">
      <c r="A48" s="492" t="s">
        <v>2752</v>
      </c>
      <c r="B48" s="493"/>
      <c r="C48" s="494" t="e">
        <f>R48</f>
        <v>#DIV/0!</v>
      </c>
      <c r="D48" s="494"/>
      <c r="E48" s="494"/>
      <c r="F48" s="494"/>
      <c r="G48" s="494"/>
      <c r="H48" s="494"/>
      <c r="I48" s="494"/>
      <c r="J48" s="494"/>
      <c r="K48" s="785"/>
      <c r="L48" s="1143"/>
      <c r="M48" s="1144"/>
      <c r="N48" s="1144"/>
      <c r="O48" s="1144"/>
      <c r="P48" s="3228" t="str">
        <f>A48</f>
        <v>估价对象XX用房的比较价值（楼面单价，元/平方米）</v>
      </c>
      <c r="Q48" s="3229"/>
      <c r="R48" s="3286" t="e">
        <f>ROUND(AVERAGE(R47:V47),0)</f>
        <v>#DIV/0!</v>
      </c>
      <c r="S48" s="3286"/>
      <c r="T48" s="3286"/>
      <c r="U48" s="3286"/>
      <c r="V48" s="3286"/>
      <c r="W48" s="328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705" t="s">
        <v>2755</v>
      </c>
      <c r="D55" s="2706" t="s">
        <v>2756</v>
      </c>
      <c r="E55" s="686" t="s">
        <v>2757</v>
      </c>
      <c r="F55" s="1107" t="s">
        <v>2758</v>
      </c>
      <c r="G55" s="3214" t="s">
        <v>2759</v>
      </c>
      <c r="H55" s="3287"/>
      <c r="I55" s="144" t="s">
        <v>2760</v>
      </c>
      <c r="J55" s="2707">
        <f>项目基本情况!F35</f>
        <v>0</v>
      </c>
      <c r="K55" s="2708" t="s">
        <v>2761</v>
      </c>
      <c r="L55" s="1106"/>
      <c r="M55" s="1144"/>
      <c r="N55" s="1144"/>
      <c r="O55" s="1144"/>
    </row>
    <row r="56" spans="1:15" s="692" customFormat="1">
      <c r="A56" s="688" t="s">
        <v>2762</v>
      </c>
      <c r="B56" s="689" t="e">
        <f>C48</f>
        <v>#DIV/0!</v>
      </c>
      <c r="C56" s="690">
        <v>1</v>
      </c>
      <c r="D56" s="1163">
        <v>1</v>
      </c>
      <c r="E56" s="690">
        <f>'数据-汇总表'!E8+'数据-汇总表'!E9</f>
        <v>4457.2</v>
      </c>
      <c r="F56" s="1103" t="e">
        <f t="shared" ref="F56:F65" si="15">ROUND(B56*E56/10000,0)</f>
        <v>#DIV/0!</v>
      </c>
      <c r="G56" s="3213"/>
      <c r="H56" s="3231"/>
      <c r="I56" s="1108">
        <v>1</v>
      </c>
      <c r="J56" s="1111">
        <v>1</v>
      </c>
      <c r="K56" s="1145"/>
      <c r="L56" s="941"/>
      <c r="M56" s="941"/>
      <c r="N56" s="941"/>
      <c r="O56" s="941"/>
    </row>
    <row r="57" spans="1:15" s="692" customFormat="1">
      <c r="A57" s="693" t="s">
        <v>2763</v>
      </c>
      <c r="B57" s="262" t="e">
        <f>ROUND($C$48*C57*D57,0)</f>
        <v>#DIV/0!</v>
      </c>
      <c r="C57" s="200">
        <f t="shared" ref="C57:C65" si="16">IF($C$55="北京市系数",I57,J57)</f>
        <v>0</v>
      </c>
      <c r="D57" s="1164">
        <v>0.25</v>
      </c>
      <c r="E57" s="694"/>
      <c r="F57" s="1103" t="e">
        <f t="shared" si="15"/>
        <v>#DIV/0!</v>
      </c>
      <c r="G57" s="3288" t="s">
        <v>2764</v>
      </c>
      <c r="H57" s="1104">
        <f>项目基本情况!B37</f>
        <v>0</v>
      </c>
      <c r="I57" s="1108">
        <f>SUMIF(修正!A45:A56,H57,修正!B45:B56)</f>
        <v>0</v>
      </c>
      <c r="J57" s="1112"/>
      <c r="K57" s="1144"/>
      <c r="L57" s="941"/>
      <c r="M57" s="941"/>
      <c r="N57" s="941"/>
      <c r="O57" s="941"/>
    </row>
    <row r="58" spans="1:15" s="692" customFormat="1">
      <c r="A58" s="693" t="s">
        <v>2765</v>
      </c>
      <c r="B58" s="262" t="e">
        <f t="shared" ref="B58:B65" si="17">ROUND($C$48*C58*D58,0)</f>
        <v>#DIV/0!</v>
      </c>
      <c r="C58" s="200">
        <f t="shared" si="16"/>
        <v>0</v>
      </c>
      <c r="D58" s="1164">
        <v>0.25</v>
      </c>
      <c r="E58" s="694"/>
      <c r="F58" s="1103" t="e">
        <f t="shared" si="15"/>
        <v>#DIV/0!</v>
      </c>
      <c r="G58" s="3288"/>
      <c r="H58" s="1104">
        <f>项目基本情况!B37</f>
        <v>0</v>
      </c>
      <c r="I58" s="1108">
        <f>SUMIF(修正!A45:A56,H58,修正!C45:C56)</f>
        <v>0</v>
      </c>
      <c r="J58" s="1112"/>
      <c r="K58" s="1145"/>
      <c r="L58" s="941"/>
      <c r="M58" s="941"/>
      <c r="N58" s="941"/>
      <c r="O58" s="941"/>
    </row>
    <row r="59" spans="1:15" s="692" customFormat="1">
      <c r="A59" s="693" t="s">
        <v>2766</v>
      </c>
      <c r="B59" s="262" t="e">
        <f t="shared" si="17"/>
        <v>#DIV/0!</v>
      </c>
      <c r="C59" s="200">
        <f t="shared" si="16"/>
        <v>0</v>
      </c>
      <c r="D59" s="1164">
        <v>0.25</v>
      </c>
      <c r="E59" s="694"/>
      <c r="F59" s="1103" t="e">
        <f t="shared" si="15"/>
        <v>#DIV/0!</v>
      </c>
      <c r="G59" s="3288"/>
      <c r="H59" s="1104">
        <f>项目基本情况!B37</f>
        <v>0</v>
      </c>
      <c r="I59" s="1108">
        <f>SUMIF(修正!A45:A56,H59,修正!D45:D56)</f>
        <v>0</v>
      </c>
      <c r="J59" s="1112"/>
      <c r="K59" s="1144"/>
      <c r="L59" s="941"/>
      <c r="M59" s="941"/>
      <c r="N59" s="941"/>
      <c r="O59" s="941"/>
    </row>
    <row r="60" spans="1:15" s="692" customFormat="1">
      <c r="A60" s="693" t="s">
        <v>2767</v>
      </c>
      <c r="B60" s="262" t="e">
        <f t="shared" si="17"/>
        <v>#DIV/0!</v>
      </c>
      <c r="C60" s="200">
        <f t="shared" si="16"/>
        <v>0</v>
      </c>
      <c r="D60" s="1164">
        <v>0.25</v>
      </c>
      <c r="E60" s="694"/>
      <c r="F60" s="1103" t="e">
        <f t="shared" si="15"/>
        <v>#DIV/0!</v>
      </c>
      <c r="G60" s="3288"/>
      <c r="H60" s="1104">
        <f>项目基本情况!B37</f>
        <v>0</v>
      </c>
      <c r="I60" s="1108">
        <f>SUMIF(修正!A45:A56,H60,修正!E45:E56)</f>
        <v>0</v>
      </c>
      <c r="J60" s="1112"/>
      <c r="K60" s="1145"/>
      <c r="L60" s="941"/>
      <c r="M60" s="941"/>
      <c r="N60" s="941"/>
      <c r="O60" s="941"/>
    </row>
    <row r="61" spans="1:15" s="692" customFormat="1">
      <c r="A61" s="693" t="s">
        <v>2768</v>
      </c>
      <c r="B61" s="262" t="e">
        <f t="shared" si="17"/>
        <v>#DIV/0!</v>
      </c>
      <c r="C61" s="200">
        <f t="shared" si="16"/>
        <v>0</v>
      </c>
      <c r="D61" s="1164">
        <v>0.25</v>
      </c>
      <c r="E61" s="261">
        <f>'数据-汇总表'!E11</f>
        <v>0</v>
      </c>
      <c r="F61" s="1103" t="e">
        <f t="shared" si="15"/>
        <v>#DIV/0!</v>
      </c>
      <c r="G61" s="2709" t="s">
        <v>2769</v>
      </c>
      <c r="H61" s="1104">
        <f>项目基本情况!C37</f>
        <v>0</v>
      </c>
      <c r="I61" s="1108">
        <f>SUMIF(修正!A45:A56,H61,修正!F45:F56)</f>
        <v>0</v>
      </c>
      <c r="J61" s="1112"/>
      <c r="K61" s="1144"/>
      <c r="L61" s="941"/>
      <c r="M61" s="941"/>
      <c r="N61" s="941"/>
      <c r="O61" s="941"/>
    </row>
    <row r="62" spans="1:15" s="692" customFormat="1">
      <c r="A62" s="693" t="s">
        <v>2770</v>
      </c>
      <c r="B62" s="262" t="e">
        <f t="shared" si="17"/>
        <v>#DIV/0!</v>
      </c>
      <c r="C62" s="200">
        <f t="shared" si="16"/>
        <v>0</v>
      </c>
      <c r="D62" s="1164">
        <v>0.25</v>
      </c>
      <c r="E62" s="261">
        <f>'数据-汇总表'!E12</f>
        <v>0</v>
      </c>
      <c r="F62" s="1103" t="e">
        <f t="shared" si="15"/>
        <v>#DIV/0!</v>
      </c>
      <c r="G62" s="1109" t="s">
        <v>2771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2772</v>
      </c>
      <c r="B63" s="262" t="e">
        <f t="shared" si="17"/>
        <v>#DIV/0!</v>
      </c>
      <c r="C63" s="200">
        <f t="shared" si="16"/>
        <v>0.2</v>
      </c>
      <c r="D63" s="1164">
        <v>0.25</v>
      </c>
      <c r="E63" s="261">
        <f>'数据-汇总表'!E13</f>
        <v>0</v>
      </c>
      <c r="F63" s="1103" t="e">
        <f t="shared" si="15"/>
        <v>#DIV/0!</v>
      </c>
      <c r="G63" s="1109" t="s">
        <v>2773</v>
      </c>
      <c r="H63" s="1104" t="str">
        <f>IF(G63="商业",项目基本情况!B37,IF(G63="办公",项目基本情况!C37,IF(G63="住宅",项目基本情况!D37,项目基本情况!E37)))</f>
        <v>五级</v>
      </c>
      <c r="I63" s="1108">
        <f>SUMIF(修正!A45:A56,H63,修正!H45:H56)</f>
        <v>0.2</v>
      </c>
      <c r="J63" s="1112"/>
      <c r="K63" s="1144"/>
      <c r="L63" s="941"/>
      <c r="M63" s="941"/>
      <c r="N63" s="941"/>
      <c r="O63" s="941"/>
    </row>
    <row r="64" spans="1:15" s="692" customFormat="1">
      <c r="A64" s="693" t="s">
        <v>2774</v>
      </c>
      <c r="B64" s="262" t="e">
        <f t="shared" si="17"/>
        <v>#DIV/0!</v>
      </c>
      <c r="C64" s="200">
        <f t="shared" si="16"/>
        <v>0</v>
      </c>
      <c r="D64" s="1164">
        <v>0.25</v>
      </c>
      <c r="E64" s="261">
        <f>'数据-汇总表'!E14</f>
        <v>0</v>
      </c>
      <c r="F64" s="1103" t="e">
        <f t="shared" si="15"/>
        <v>#DIV/0!</v>
      </c>
      <c r="G64" s="2709" t="s">
        <v>2764</v>
      </c>
      <c r="H64" s="1104">
        <f>项目基本情况!B37</f>
        <v>0</v>
      </c>
      <c r="I64" s="1108">
        <f>SUMIF(修正!A45:A56,H64,修正!H45:H56)</f>
        <v>0</v>
      </c>
      <c r="J64" s="1112"/>
      <c r="K64" s="1145"/>
      <c r="L64" s="941"/>
      <c r="M64" s="941"/>
      <c r="N64" s="941"/>
      <c r="O64" s="941"/>
    </row>
    <row r="65" spans="1:17" s="692" customFormat="1" ht="14.4" thickBot="1">
      <c r="A65" s="693" t="s">
        <v>2775</v>
      </c>
      <c r="B65" s="262" t="e">
        <f t="shared" si="17"/>
        <v>#DIV/0!</v>
      </c>
      <c r="C65" s="200">
        <f t="shared" si="16"/>
        <v>0</v>
      </c>
      <c r="D65" s="1164">
        <v>0.25</v>
      </c>
      <c r="E65" s="261">
        <f>'数据-汇总表'!E15</f>
        <v>0</v>
      </c>
      <c r="F65" s="1103" t="e">
        <f t="shared" si="15"/>
        <v>#DIV/0!</v>
      </c>
      <c r="G65" s="2710" t="s">
        <v>2769</v>
      </c>
      <c r="H65" s="1114">
        <f>项目基本情况!C37</f>
        <v>0</v>
      </c>
      <c r="I65" s="1110">
        <f>SUMIF(修正!A45:A56,H65,修正!H45:H56)</f>
        <v>0</v>
      </c>
      <c r="J65" s="1113"/>
      <c r="K65" s="1144"/>
      <c r="L65" s="941"/>
      <c r="M65" s="941"/>
      <c r="N65" s="941"/>
      <c r="O65" s="941"/>
    </row>
    <row r="66" spans="1:17" s="692" customFormat="1" thickBot="1">
      <c r="A66" s="695" t="s">
        <v>2776</v>
      </c>
      <c r="B66" s="696" t="s">
        <v>28</v>
      </c>
      <c r="C66" s="696" t="s">
        <v>29</v>
      </c>
      <c r="D66" s="696" t="s">
        <v>1025</v>
      </c>
      <c r="E66" s="696">
        <f>IF(B46="楼面地价",SUM(E56:E65),'数据-汇总表'!D3)</f>
        <v>4457.2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2.2" thickBot="1">
      <c r="A69" s="763" t="s">
        <v>2669</v>
      </c>
      <c r="B69" s="759"/>
      <c r="C69" s="764"/>
      <c r="D69" s="764"/>
      <c r="E69" s="764"/>
      <c r="F69" s="765"/>
      <c r="G69" s="765"/>
      <c r="H69" s="764"/>
      <c r="I69" s="764"/>
      <c r="J69" s="1159"/>
      <c r="K69" s="1160"/>
      <c r="L69" s="1161"/>
      <c r="M69" s="1159"/>
      <c r="N69" s="1159"/>
      <c r="O69" s="1159"/>
      <c r="P69" s="503"/>
      <c r="Q69" s="504"/>
    </row>
    <row r="70" spans="1:17" s="508" customFormat="1" ht="14.4">
      <c r="A70" s="2711" t="s">
        <v>2777</v>
      </c>
      <c r="B70" s="1358"/>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7"/>
    </row>
    <row r="71" spans="1:17" s="117" customFormat="1" ht="30" customHeight="1">
      <c r="A71" s="2712" t="s">
        <v>2778</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6"/>
      <c r="N71" s="595"/>
      <c r="O71" s="1567"/>
      <c r="P71" s="504"/>
    </row>
    <row r="72" spans="1:17" s="117" customFormat="1" ht="15" thickBot="1">
      <c r="A72" s="515" t="s">
        <v>2580</v>
      </c>
      <c r="B72" s="516"/>
      <c r="C72" s="517"/>
      <c r="D72" s="518"/>
      <c r="E72" s="518"/>
      <c r="F72" s="518"/>
      <c r="G72" s="518"/>
      <c r="H72" s="518"/>
      <c r="I72" s="518"/>
      <c r="J72" s="518"/>
      <c r="K72" s="518"/>
      <c r="L72" s="518"/>
      <c r="M72" s="519"/>
      <c r="N72" s="518"/>
      <c r="O72" s="1162"/>
      <c r="P72" s="504"/>
      <c r="Q72" s="504"/>
    </row>
    <row r="73" spans="1:17" s="117" customFormat="1" ht="14.4">
      <c r="A73" s="521" t="s">
        <v>2545</v>
      </c>
      <c r="B73" s="510"/>
      <c r="C73" s="522" t="s">
        <v>2647</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2583</v>
      </c>
      <c r="B75" s="528" t="s">
        <v>2549</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2552</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2650</v>
      </c>
      <c r="C102" s="660" t="s">
        <v>2670</v>
      </c>
      <c r="D102" s="660" t="s">
        <v>2671</v>
      </c>
      <c r="E102" s="660" t="s">
        <v>2672</v>
      </c>
      <c r="F102" s="660" t="s">
        <v>2673</v>
      </c>
      <c r="G102" s="660" t="s">
        <v>2674</v>
      </c>
      <c r="H102" s="600"/>
      <c r="I102" s="600"/>
      <c r="J102" s="600"/>
      <c r="K102" s="600"/>
      <c r="L102" s="600"/>
      <c r="M102" s="1384"/>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2686</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2745</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2640</v>
      </c>
      <c r="B4" s="402"/>
      <c r="C4" s="3214" t="s">
        <v>2641</v>
      </c>
      <c r="D4" s="3215"/>
      <c r="E4" s="3216" t="s">
        <v>2642</v>
      </c>
      <c r="F4" s="3217"/>
      <c r="G4" s="3214" t="s">
        <v>2643</v>
      </c>
      <c r="H4" s="3215"/>
      <c r="I4" s="3214" t="s">
        <v>2644</v>
      </c>
      <c r="J4" s="3215"/>
      <c r="K4" s="610" t="s">
        <v>2645</v>
      </c>
      <c r="L4" s="1130"/>
      <c r="M4" s="1131"/>
      <c r="N4" s="1131"/>
      <c r="O4" s="1131"/>
      <c r="P4" s="3218" t="s">
        <v>2646</v>
      </c>
      <c r="Q4" s="3219"/>
      <c r="R4" s="3201" t="s">
        <v>2642</v>
      </c>
      <c r="S4" s="3202"/>
      <c r="T4" s="3201" t="s">
        <v>2643</v>
      </c>
      <c r="U4" s="3202"/>
      <c r="V4" s="3226" t="s">
        <v>2644</v>
      </c>
      <c r="W4" s="3226"/>
      <c r="X4" s="1812"/>
      <c r="Y4" s="3201" t="s">
        <v>2646</v>
      </c>
      <c r="Z4" s="3202"/>
      <c r="AA4" s="3196" t="s">
        <v>2642</v>
      </c>
      <c r="AB4" s="3197" t="s">
        <v>2643</v>
      </c>
      <c r="AC4" s="3196" t="s">
        <v>2644</v>
      </c>
    </row>
    <row r="5" spans="1:29">
      <c r="A5" s="404"/>
      <c r="B5" s="405"/>
      <c r="C5" s="3207" t="s">
        <v>2537</v>
      </c>
      <c r="D5" s="3208"/>
      <c r="E5" s="3205" t="s">
        <v>2538</v>
      </c>
      <c r="F5" s="3206"/>
      <c r="G5" s="3207" t="s">
        <v>2539</v>
      </c>
      <c r="H5" s="3208"/>
      <c r="I5" s="3207" t="s">
        <v>2540</v>
      </c>
      <c r="J5" s="3208"/>
      <c r="K5" s="610"/>
      <c r="L5" s="1130"/>
      <c r="M5" s="1131"/>
      <c r="N5" s="1131"/>
      <c r="O5" s="1131"/>
      <c r="P5" s="3220"/>
      <c r="Q5" s="3221"/>
      <c r="R5" s="3203"/>
      <c r="S5" s="3204"/>
      <c r="T5" s="3203"/>
      <c r="U5" s="3204"/>
      <c r="V5" s="3226"/>
      <c r="W5" s="3226"/>
      <c r="X5" s="1812"/>
      <c r="Y5" s="3203"/>
      <c r="Z5" s="3204"/>
      <c r="AA5" s="3197"/>
      <c r="AB5" s="3197"/>
      <c r="AC5" s="3197"/>
    </row>
    <row r="6" spans="1:29" ht="15" thickBot="1">
      <c r="A6" s="406"/>
      <c r="B6" s="407"/>
      <c r="C6" s="3289" t="s">
        <v>2792</v>
      </c>
      <c r="D6" s="3290"/>
      <c r="E6" s="3291" t="s">
        <v>2792</v>
      </c>
      <c r="F6" s="3292"/>
      <c r="G6" s="3289" t="s">
        <v>2792</v>
      </c>
      <c r="H6" s="3290"/>
      <c r="I6" s="3289" t="s">
        <v>2792</v>
      </c>
      <c r="J6" s="3290"/>
      <c r="K6" s="610" t="s">
        <v>2542</v>
      </c>
      <c r="L6" s="1130"/>
      <c r="M6" s="1131"/>
      <c r="N6" s="1131"/>
      <c r="O6" s="1131"/>
      <c r="P6" s="3222"/>
      <c r="Q6" s="3223"/>
      <c r="R6" s="3203"/>
      <c r="S6" s="3204"/>
      <c r="T6" s="3224"/>
      <c r="U6" s="3225"/>
      <c r="V6" s="3226"/>
      <c r="W6" s="3226"/>
      <c r="X6" s="1812"/>
      <c r="Y6" s="3224"/>
      <c r="Z6" s="3225"/>
      <c r="AA6" s="3198"/>
      <c r="AB6" s="3198"/>
      <c r="AC6" s="3198"/>
    </row>
    <row r="7" spans="1:29" s="117" customFormat="1" ht="15" thickBot="1">
      <c r="A7" s="408" t="s">
        <v>2543</v>
      </c>
      <c r="B7" s="409"/>
      <c r="C7" s="410">
        <f>'数据-取费表'!B2</f>
        <v>43915</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199" t="s">
        <v>2544</v>
      </c>
      <c r="Q7" s="3227"/>
      <c r="R7" s="770" t="s">
        <v>17</v>
      </c>
      <c r="S7" s="771">
        <f t="shared" ref="S7:S15" si="0">F7</f>
        <v>0</v>
      </c>
      <c r="T7" s="770" t="s">
        <v>17</v>
      </c>
      <c r="U7" s="771">
        <f t="shared" ref="U7:U15" si="1">H7</f>
        <v>0</v>
      </c>
      <c r="V7" s="770" t="s">
        <v>17</v>
      </c>
      <c r="W7" s="771">
        <f t="shared" ref="W7:W15" si="2">J7</f>
        <v>0</v>
      </c>
      <c r="X7" s="772"/>
      <c r="Y7" s="3199" t="s">
        <v>2544</v>
      </c>
      <c r="Z7" s="3200"/>
      <c r="AA7" s="773" t="e">
        <f>D7/F7</f>
        <v>#DIV/0!</v>
      </c>
      <c r="AB7" s="773" t="e">
        <f>D7/H7</f>
        <v>#DIV/0!</v>
      </c>
      <c r="AC7" s="773" t="e">
        <f>D7/J7</f>
        <v>#DIV/0!</v>
      </c>
    </row>
    <row r="8" spans="1:29" s="117" customFormat="1" ht="1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9" t="s">
        <v>2547</v>
      </c>
      <c r="Q8" s="3200"/>
      <c r="R8" s="770" t="s">
        <v>17</v>
      </c>
      <c r="S8" s="771">
        <f t="shared" si="0"/>
        <v>0</v>
      </c>
      <c r="T8" s="770" t="s">
        <v>17</v>
      </c>
      <c r="U8" s="771">
        <f t="shared" si="1"/>
        <v>0</v>
      </c>
      <c r="V8" s="770" t="s">
        <v>17</v>
      </c>
      <c r="W8" s="771">
        <f t="shared" si="2"/>
        <v>0</v>
      </c>
      <c r="X8" s="772"/>
      <c r="Y8" s="3199" t="s">
        <v>2547</v>
      </c>
      <c r="Z8" s="3200"/>
      <c r="AA8" s="773" t="e">
        <f t="shared" ref="AA8:AA40" si="3">D8/F8</f>
        <v>#DIV/0!</v>
      </c>
      <c r="AB8" s="773" t="e">
        <f t="shared" ref="AB8:AB40" si="4">D8/H8</f>
        <v>#DIV/0!</v>
      </c>
      <c r="AC8" s="773" t="e">
        <f t="shared" ref="AC8:AC40" si="5">D8/J8</f>
        <v>#DIV/0!</v>
      </c>
    </row>
    <row r="9" spans="1:29" s="117" customFormat="1" ht="14.4">
      <c r="A9" s="415" t="s">
        <v>2548</v>
      </c>
      <c r="B9" s="71" t="s">
        <v>2549</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31" t="s">
        <v>2550</v>
      </c>
      <c r="Q9" s="1794" t="str">
        <f t="shared" ref="Q9:Q15" si="6">B9</f>
        <v>用途</v>
      </c>
      <c r="R9" s="770" t="s">
        <v>17</v>
      </c>
      <c r="S9" s="771">
        <f t="shared" si="0"/>
        <v>100</v>
      </c>
      <c r="T9" s="770" t="s">
        <v>17</v>
      </c>
      <c r="U9" s="771">
        <f t="shared" si="1"/>
        <v>100</v>
      </c>
      <c r="V9" s="770" t="s">
        <v>17</v>
      </c>
      <c r="W9" s="771">
        <f t="shared" si="2"/>
        <v>100</v>
      </c>
      <c r="X9" s="772"/>
      <c r="Y9" s="3050" t="s">
        <v>2551</v>
      </c>
      <c r="Z9" s="55" t="str">
        <f t="shared" ref="Z9:Z15" si="7">Q9</f>
        <v>用途</v>
      </c>
      <c r="AA9" s="773">
        <f t="shared" si="3"/>
        <v>1</v>
      </c>
      <c r="AB9" s="773">
        <f t="shared" si="4"/>
        <v>1</v>
      </c>
      <c r="AC9" s="773">
        <f t="shared" si="5"/>
        <v>1</v>
      </c>
    </row>
    <row r="10" spans="1:29" s="427" customFormat="1" ht="28.8">
      <c r="A10" s="421"/>
      <c r="B10" s="422" t="s">
        <v>2552</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231"/>
      <c r="Q10" s="1794" t="str">
        <f t="shared" si="6"/>
        <v>土地使用年限（年）</v>
      </c>
      <c r="R10" s="770" t="s">
        <v>17</v>
      </c>
      <c r="S10" s="771">
        <f t="shared" si="0"/>
        <v>108</v>
      </c>
      <c r="T10" s="770" t="s">
        <v>17</v>
      </c>
      <c r="U10" s="771">
        <f t="shared" si="1"/>
        <v>108</v>
      </c>
      <c r="V10" s="770" t="s">
        <v>17</v>
      </c>
      <c r="W10" s="771">
        <f t="shared" si="2"/>
        <v>108</v>
      </c>
      <c r="X10" s="772"/>
      <c r="Y10" s="3050"/>
      <c r="Z10" s="55" t="str">
        <f t="shared" si="7"/>
        <v>土地使用年限（年）</v>
      </c>
      <c r="AA10" s="773">
        <f t="shared" si="3"/>
        <v>0.92592592592592593</v>
      </c>
      <c r="AB10" s="773">
        <f t="shared" si="4"/>
        <v>0.92592592592592593</v>
      </c>
      <c r="AC10" s="773">
        <f t="shared" si="5"/>
        <v>0.92592592592592593</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1"/>
      <c r="Q11" s="1794"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1"/>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1"/>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6"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1"/>
      <c r="Q14" s="1794">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69">
      <c r="A15" s="440" t="s">
        <v>2554</v>
      </c>
      <c r="B15" s="629" t="s">
        <v>2793</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3" t="s">
        <v>2555</v>
      </c>
      <c r="Q15" s="1809" t="str">
        <f t="shared" si="6"/>
        <v>产业集聚程度</v>
      </c>
      <c r="R15" s="774" t="s">
        <v>17</v>
      </c>
      <c r="S15" s="775">
        <f t="shared" si="0"/>
        <v>100</v>
      </c>
      <c r="T15" s="774" t="s">
        <v>17</v>
      </c>
      <c r="U15" s="775">
        <f t="shared" si="1"/>
        <v>100</v>
      </c>
      <c r="V15" s="774" t="s">
        <v>17</v>
      </c>
      <c r="W15" s="775">
        <f t="shared" si="2"/>
        <v>100</v>
      </c>
      <c r="X15" s="1812"/>
      <c r="Y15" s="3233" t="s">
        <v>2555</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234"/>
      <c r="Q16" s="1809"/>
      <c r="R16" s="774"/>
      <c r="S16" s="775"/>
      <c r="T16" s="774"/>
      <c r="U16" s="775"/>
      <c r="V16" s="774"/>
      <c r="W16" s="775"/>
      <c r="X16" s="1812"/>
      <c r="Y16" s="3234"/>
      <c r="Z16" s="1813"/>
      <c r="AA16" s="1810">
        <v>1</v>
      </c>
      <c r="AB16" s="1810">
        <v>1</v>
      </c>
      <c r="AC16" s="1810">
        <v>1</v>
      </c>
    </row>
    <row r="17" spans="1:29" ht="96.6">
      <c r="A17" s="428"/>
      <c r="B17" s="631" t="s">
        <v>2704</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4"/>
      <c r="Q17" s="1809" t="str">
        <f>B17</f>
        <v>交通便捷度</v>
      </c>
      <c r="R17" s="774" t="s">
        <v>17</v>
      </c>
      <c r="S17" s="775">
        <f>F17</f>
        <v>100</v>
      </c>
      <c r="T17" s="774" t="s">
        <v>17</v>
      </c>
      <c r="U17" s="775">
        <f>H17</f>
        <v>100</v>
      </c>
      <c r="V17" s="774" t="s">
        <v>17</v>
      </c>
      <c r="W17" s="775">
        <f>J17</f>
        <v>100</v>
      </c>
      <c r="X17" s="1812"/>
      <c r="Y17" s="3234"/>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234"/>
      <c r="Q18" s="1809"/>
      <c r="R18" s="774"/>
      <c r="S18" s="775"/>
      <c r="T18" s="774"/>
      <c r="U18" s="775"/>
      <c r="V18" s="774"/>
      <c r="W18" s="775"/>
      <c r="X18" s="1812"/>
      <c r="Y18" s="3234"/>
      <c r="Z18" s="1813"/>
      <c r="AA18" s="1810">
        <v>1</v>
      </c>
      <c r="AB18" s="1810">
        <v>1</v>
      </c>
      <c r="AC18" s="1810">
        <v>1</v>
      </c>
    </row>
    <row r="19" spans="1:29" ht="28.8">
      <c r="A19" s="428"/>
      <c r="B19" s="631" t="s">
        <v>2743</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4"/>
      <c r="Q19" s="1809" t="str">
        <f t="shared" ref="Q19:Q33" si="8">B19</f>
        <v>区域土地利用方向</v>
      </c>
      <c r="R19" s="774" t="s">
        <v>17</v>
      </c>
      <c r="S19" s="775">
        <f>F19</f>
        <v>100</v>
      </c>
      <c r="T19" s="774" t="s">
        <v>17</v>
      </c>
      <c r="U19" s="775">
        <f>H19</f>
        <v>100</v>
      </c>
      <c r="V19" s="774" t="s">
        <v>17</v>
      </c>
      <c r="W19" s="775">
        <f>J19</f>
        <v>100</v>
      </c>
      <c r="X19" s="1812"/>
      <c r="Y19" s="3234"/>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234"/>
      <c r="Q20" s="1809"/>
      <c r="R20" s="774"/>
      <c r="S20" s="775"/>
      <c r="T20" s="774"/>
      <c r="U20" s="775"/>
      <c r="V20" s="774"/>
      <c r="W20" s="775"/>
      <c r="X20" s="1812"/>
      <c r="Y20" s="3234"/>
      <c r="Z20" s="1813"/>
      <c r="AA20" s="1810"/>
      <c r="AB20" s="1810"/>
      <c r="AC20" s="1810"/>
    </row>
    <row r="21" spans="1:29" ht="82.8">
      <c r="A21" s="404"/>
      <c r="B21" s="631" t="s">
        <v>2794</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4"/>
      <c r="Q21" s="1809" t="str">
        <f t="shared" si="8"/>
        <v>环境状况</v>
      </c>
      <c r="R21" s="774" t="s">
        <v>17</v>
      </c>
      <c r="S21" s="775">
        <f>F21</f>
        <v>100</v>
      </c>
      <c r="T21" s="774" t="s">
        <v>17</v>
      </c>
      <c r="U21" s="775">
        <f>H21</f>
        <v>100</v>
      </c>
      <c r="V21" s="774" t="s">
        <v>17</v>
      </c>
      <c r="W21" s="775">
        <f>J21</f>
        <v>100</v>
      </c>
      <c r="X21" s="1812"/>
      <c r="Y21" s="3234"/>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234"/>
      <c r="Q22" s="1809"/>
      <c r="R22" s="774"/>
      <c r="S22" s="775"/>
      <c r="T22" s="774"/>
      <c r="U22" s="775"/>
      <c r="V22" s="774"/>
      <c r="W22" s="775"/>
      <c r="X22" s="1812"/>
      <c r="Y22" s="3234"/>
      <c r="Z22" s="1813"/>
      <c r="AA22" s="1810">
        <v>1</v>
      </c>
      <c r="AB22" s="1810">
        <v>1</v>
      </c>
      <c r="AC22" s="1810">
        <v>1</v>
      </c>
    </row>
    <row r="23" spans="1:29" s="117" customFormat="1" ht="41.4">
      <c r="A23" s="649"/>
      <c r="B23" s="633" t="s">
        <v>2649</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4"/>
      <c r="Q23" s="1794" t="str">
        <f t="shared" si="8"/>
        <v>公共配套设施</v>
      </c>
      <c r="R23" s="770" t="s">
        <v>17</v>
      </c>
      <c r="S23" s="771">
        <f>F23</f>
        <v>100</v>
      </c>
      <c r="T23" s="770" t="s">
        <v>17</v>
      </c>
      <c r="U23" s="771">
        <f>H23</f>
        <v>100</v>
      </c>
      <c r="V23" s="770" t="s">
        <v>17</v>
      </c>
      <c r="W23" s="771">
        <f>J23</f>
        <v>100</v>
      </c>
      <c r="X23" s="772"/>
      <c r="Y23" s="3234"/>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2"/>
      <c r="M24" s="1133"/>
      <c r="N24" s="1133"/>
      <c r="O24" s="1134"/>
      <c r="P24" s="3234"/>
      <c r="Q24" s="1794"/>
      <c r="R24" s="770"/>
      <c r="S24" s="771"/>
      <c r="T24" s="770"/>
      <c r="U24" s="771"/>
      <c r="V24" s="770"/>
      <c r="W24" s="771"/>
      <c r="X24" s="772"/>
      <c r="Y24" s="3234"/>
      <c r="Z24" s="55"/>
      <c r="AA24" s="773">
        <v>1</v>
      </c>
      <c r="AB24" s="773">
        <v>1</v>
      </c>
      <c r="AC24" s="773">
        <v>1</v>
      </c>
    </row>
    <row r="25" spans="1:29" s="117" customFormat="1" ht="41.4">
      <c r="A25" s="649"/>
      <c r="B25" s="633" t="s">
        <v>2650</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4"/>
      <c r="Q25" s="1794" t="str">
        <f t="shared" ref="Q25" si="9">B25</f>
        <v>基础设施水平</v>
      </c>
      <c r="R25" s="770" t="s">
        <v>17</v>
      </c>
      <c r="S25" s="771">
        <f>F25</f>
        <v>100</v>
      </c>
      <c r="T25" s="770" t="s">
        <v>17</v>
      </c>
      <c r="U25" s="771">
        <f>H25</f>
        <v>100</v>
      </c>
      <c r="V25" s="770" t="s">
        <v>17</v>
      </c>
      <c r="W25" s="771">
        <f>J25</f>
        <v>100</v>
      </c>
      <c r="X25" s="772"/>
      <c r="Y25" s="3234"/>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34"/>
      <c r="Q26" s="1794"/>
      <c r="R26" s="770"/>
      <c r="S26" s="771"/>
      <c r="T26" s="770"/>
      <c r="U26" s="771"/>
      <c r="V26" s="770"/>
      <c r="W26" s="771"/>
      <c r="X26" s="772"/>
      <c r="Y26" s="3234"/>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4"/>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34"/>
      <c r="Z27" s="1813" t="str">
        <f t="shared" ref="Z27:Z40" si="13">Q27</f>
        <v>临街状况</v>
      </c>
      <c r="AA27" s="1810">
        <f t="shared" si="3"/>
        <v>1</v>
      </c>
      <c r="AB27" s="1810">
        <f t="shared" si="4"/>
        <v>1</v>
      </c>
      <c r="AC27" s="1810">
        <f t="shared" si="5"/>
        <v>1</v>
      </c>
    </row>
    <row r="28" spans="1:29" ht="28.8">
      <c r="A28" s="428"/>
      <c r="B28" s="633" t="s">
        <v>2686</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4"/>
      <c r="Q28" s="1809" t="str">
        <f t="shared" si="8"/>
        <v>毗邻道路的类型与等级</v>
      </c>
      <c r="R28" s="774" t="s">
        <v>17</v>
      </c>
      <c r="S28" s="775">
        <f t="shared" si="10"/>
        <v>100</v>
      </c>
      <c r="T28" s="774" t="s">
        <v>17</v>
      </c>
      <c r="U28" s="775">
        <f t="shared" si="11"/>
        <v>100</v>
      </c>
      <c r="V28" s="774" t="s">
        <v>17</v>
      </c>
      <c r="W28" s="775">
        <f t="shared" si="12"/>
        <v>100</v>
      </c>
      <c r="X28" s="1812"/>
      <c r="Y28" s="3234"/>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234"/>
      <c r="Q29" s="1809"/>
      <c r="R29" s="774"/>
      <c r="S29" s="775"/>
      <c r="T29" s="774"/>
      <c r="U29" s="775"/>
      <c r="V29" s="774"/>
      <c r="W29" s="775"/>
      <c r="X29" s="1812"/>
      <c r="Y29" s="3234"/>
      <c r="Z29" s="1813"/>
      <c r="AA29" s="1810">
        <v>1</v>
      </c>
      <c r="AB29" s="1810">
        <v>1</v>
      </c>
      <c r="AC29" s="1810">
        <v>1</v>
      </c>
    </row>
    <row r="30" spans="1:29" ht="15">
      <c r="A30" s="428"/>
      <c r="B30" s="654" t="s">
        <v>2745</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4"/>
      <c r="Q30" s="1809" t="str">
        <f t="shared" si="8"/>
        <v>土地级别</v>
      </c>
      <c r="R30" s="774" t="s">
        <v>17</v>
      </c>
      <c r="S30" s="775">
        <f t="shared" si="10"/>
        <v>100</v>
      </c>
      <c r="T30" s="774" t="s">
        <v>17</v>
      </c>
      <c r="U30" s="775">
        <f t="shared" si="11"/>
        <v>100</v>
      </c>
      <c r="V30" s="774" t="s">
        <v>17</v>
      </c>
      <c r="W30" s="775">
        <f t="shared" si="12"/>
        <v>100</v>
      </c>
      <c r="X30" s="1812"/>
      <c r="Y30" s="3234"/>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4"/>
      <c r="Q31" s="1809">
        <f t="shared" si="8"/>
        <v>111</v>
      </c>
      <c r="R31" s="774" t="s">
        <v>17</v>
      </c>
      <c r="S31" s="775">
        <f t="shared" si="10"/>
        <v>100</v>
      </c>
      <c r="T31" s="774" t="s">
        <v>17</v>
      </c>
      <c r="U31" s="775">
        <f t="shared" si="11"/>
        <v>100</v>
      </c>
      <c r="V31" s="774" t="s">
        <v>17</v>
      </c>
      <c r="W31" s="775">
        <f t="shared" si="12"/>
        <v>100</v>
      </c>
      <c r="X31" s="1812"/>
      <c r="Y31" s="3234"/>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4" t="s">
        <v>2560</v>
      </c>
      <c r="Q32" s="1809">
        <f t="shared" si="8"/>
        <v>111</v>
      </c>
      <c r="R32" s="774" t="s">
        <v>17</v>
      </c>
      <c r="S32" s="775">
        <f t="shared" si="10"/>
        <v>100</v>
      </c>
      <c r="T32" s="774" t="s">
        <v>17</v>
      </c>
      <c r="U32" s="775">
        <f t="shared" si="11"/>
        <v>100</v>
      </c>
      <c r="V32" s="774" t="s">
        <v>17</v>
      </c>
      <c r="W32" s="775">
        <f t="shared" si="12"/>
        <v>100</v>
      </c>
      <c r="X32" s="1812"/>
      <c r="Y32" s="3238" t="s">
        <v>2560</v>
      </c>
      <c r="Z32" s="1813">
        <f t="shared" si="13"/>
        <v>111</v>
      </c>
      <c r="AA32" s="1810">
        <f t="shared" si="3"/>
        <v>1</v>
      </c>
      <c r="AB32" s="1810">
        <f t="shared" si="4"/>
        <v>1</v>
      </c>
      <c r="AC32" s="1810">
        <f t="shared" si="5"/>
        <v>1</v>
      </c>
    </row>
    <row r="33" spans="1:29" s="471" customFormat="1" ht="15.6"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8"/>
      <c r="Q33" s="1809">
        <f t="shared" si="8"/>
        <v>111</v>
      </c>
      <c r="R33" s="777" t="s">
        <v>17</v>
      </c>
      <c r="S33" s="778">
        <f t="shared" si="10"/>
        <v>100</v>
      </c>
      <c r="T33" s="777" t="s">
        <v>17</v>
      </c>
      <c r="U33" s="778">
        <f t="shared" si="11"/>
        <v>100</v>
      </c>
      <c r="V33" s="777" t="s">
        <v>17</v>
      </c>
      <c r="W33" s="778">
        <f t="shared" si="12"/>
        <v>100</v>
      </c>
      <c r="X33" s="779"/>
      <c r="Y33" s="3238"/>
      <c r="Z33" s="780">
        <f t="shared" si="13"/>
        <v>111</v>
      </c>
      <c r="AA33" s="1810">
        <f t="shared" si="3"/>
        <v>1</v>
      </c>
      <c r="AB33" s="1810">
        <f t="shared" si="4"/>
        <v>1</v>
      </c>
      <c r="AC33" s="1810">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8"/>
      <c r="Q34" s="1809" t="str">
        <f>B34</f>
        <v>宗地面积</v>
      </c>
      <c r="R34" s="774" t="s">
        <v>17</v>
      </c>
      <c r="S34" s="775" t="e">
        <f t="shared" si="10"/>
        <v>#N/A</v>
      </c>
      <c r="T34" s="774" t="s">
        <v>17</v>
      </c>
      <c r="U34" s="775" t="e">
        <f t="shared" si="11"/>
        <v>#N/A</v>
      </c>
      <c r="V34" s="774" t="s">
        <v>17</v>
      </c>
      <c r="W34" s="775" t="e">
        <f t="shared" si="12"/>
        <v>#N/A</v>
      </c>
      <c r="X34" s="1812"/>
      <c r="Y34" s="3238"/>
      <c r="Z34" s="1813" t="str">
        <f t="shared" si="13"/>
        <v>宗地面积</v>
      </c>
      <c r="AA34" s="1810" t="e">
        <f t="shared" si="3"/>
        <v>#N/A</v>
      </c>
      <c r="AB34" s="1810" t="e">
        <f t="shared" si="4"/>
        <v>#N/A</v>
      </c>
      <c r="AC34" s="1810" t="e">
        <f t="shared" si="5"/>
        <v>#N/A</v>
      </c>
    </row>
    <row r="35" spans="1:29" ht="15">
      <c r="A35" s="472"/>
      <c r="B35" s="422" t="s">
        <v>2747</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38"/>
      <c r="Q35" s="1809" t="str">
        <f t="shared" ref="Q35:Q40" si="14">B35</f>
        <v>宗地形状</v>
      </c>
      <c r="R35" s="774" t="s">
        <v>17</v>
      </c>
      <c r="S35" s="775">
        <f t="shared" si="10"/>
        <v>100</v>
      </c>
      <c r="T35" s="774" t="s">
        <v>17</v>
      </c>
      <c r="U35" s="775">
        <f t="shared" si="11"/>
        <v>100</v>
      </c>
      <c r="V35" s="774" t="s">
        <v>17</v>
      </c>
      <c r="W35" s="775">
        <f t="shared" si="12"/>
        <v>100</v>
      </c>
      <c r="X35" s="1812"/>
      <c r="Y35" s="3238"/>
      <c r="Z35" s="1813" t="str">
        <f t="shared" si="13"/>
        <v>宗地形状</v>
      </c>
      <c r="AA35" s="1810">
        <f t="shared" si="3"/>
        <v>1</v>
      </c>
      <c r="AB35" s="1810">
        <f t="shared" si="4"/>
        <v>1</v>
      </c>
      <c r="AC35" s="1810">
        <f t="shared" si="5"/>
        <v>1</v>
      </c>
    </row>
    <row r="36" spans="1:29" s="117" customFormat="1" ht="15">
      <c r="A36" s="473"/>
      <c r="B36" s="422" t="s">
        <v>2749</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38"/>
      <c r="Q36" s="1809" t="str">
        <f t="shared" si="14"/>
        <v>宗地开发程度</v>
      </c>
      <c r="R36" s="770" t="s">
        <v>17</v>
      </c>
      <c r="S36" s="771">
        <f t="shared" si="10"/>
        <v>100</v>
      </c>
      <c r="T36" s="770" t="s">
        <v>17</v>
      </c>
      <c r="U36" s="771">
        <f t="shared" si="11"/>
        <v>100</v>
      </c>
      <c r="V36" s="770" t="s">
        <v>17</v>
      </c>
      <c r="W36" s="771">
        <f t="shared" si="12"/>
        <v>100</v>
      </c>
      <c r="X36" s="772"/>
      <c r="Y36" s="3238"/>
      <c r="Z36" s="55" t="str">
        <f t="shared" si="13"/>
        <v>宗地开发程度</v>
      </c>
      <c r="AA36" s="773">
        <f t="shared" si="3"/>
        <v>1</v>
      </c>
      <c r="AB36" s="773">
        <f t="shared" si="4"/>
        <v>1</v>
      </c>
      <c r="AC36" s="773">
        <f t="shared" si="5"/>
        <v>1</v>
      </c>
    </row>
    <row r="37" spans="1:29" ht="15">
      <c r="A37" s="472"/>
      <c r="B37" s="422" t="s">
        <v>2750</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38" t="s">
        <v>2560</v>
      </c>
      <c r="Q37" s="1809" t="str">
        <f t="shared" si="14"/>
        <v>工程地质条件</v>
      </c>
      <c r="R37" s="774" t="s">
        <v>17</v>
      </c>
      <c r="S37" s="775">
        <f t="shared" si="10"/>
        <v>100</v>
      </c>
      <c r="T37" s="774" t="s">
        <v>17</v>
      </c>
      <c r="U37" s="775">
        <f t="shared" si="11"/>
        <v>100</v>
      </c>
      <c r="V37" s="774" t="s">
        <v>17</v>
      </c>
      <c r="W37" s="775">
        <f t="shared" si="12"/>
        <v>100</v>
      </c>
      <c r="X37" s="1812"/>
      <c r="Y37" s="3238" t="s">
        <v>2560</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8"/>
      <c r="Q38" s="1809">
        <f t="shared" si="14"/>
        <v>111</v>
      </c>
      <c r="R38" s="774" t="s">
        <v>17</v>
      </c>
      <c r="S38" s="775">
        <f t="shared" si="10"/>
        <v>100</v>
      </c>
      <c r="T38" s="774" t="s">
        <v>17</v>
      </c>
      <c r="U38" s="775">
        <f t="shared" si="11"/>
        <v>100</v>
      </c>
      <c r="V38" s="774" t="s">
        <v>17</v>
      </c>
      <c r="W38" s="775">
        <f t="shared" si="12"/>
        <v>100</v>
      </c>
      <c r="X38" s="1812"/>
      <c r="Y38" s="3238"/>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8"/>
      <c r="Q39" s="1809">
        <f t="shared" si="14"/>
        <v>111</v>
      </c>
      <c r="R39" s="774" t="s">
        <v>17</v>
      </c>
      <c r="S39" s="775">
        <f t="shared" si="10"/>
        <v>100</v>
      </c>
      <c r="T39" s="774" t="s">
        <v>17</v>
      </c>
      <c r="U39" s="775">
        <f t="shared" si="11"/>
        <v>100</v>
      </c>
      <c r="V39" s="774" t="s">
        <v>17</v>
      </c>
      <c r="W39" s="775">
        <f t="shared" si="12"/>
        <v>100</v>
      </c>
      <c r="X39" s="1812"/>
      <c r="Y39" s="3238"/>
      <c r="Z39" s="1813">
        <f t="shared" si="13"/>
        <v>111</v>
      </c>
      <c r="AA39" s="1810">
        <f t="shared" si="3"/>
        <v>1</v>
      </c>
      <c r="AB39" s="1810">
        <f t="shared" si="4"/>
        <v>1</v>
      </c>
      <c r="AC39" s="1810">
        <f t="shared" si="5"/>
        <v>1</v>
      </c>
    </row>
    <row r="40" spans="1:29" s="471" customFormat="1" ht="15.6"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8"/>
      <c r="Q40" s="1809">
        <f t="shared" si="14"/>
        <v>111</v>
      </c>
      <c r="R40" s="777" t="s">
        <v>17</v>
      </c>
      <c r="S40" s="778">
        <f t="shared" si="10"/>
        <v>100</v>
      </c>
      <c r="T40" s="777" t="s">
        <v>17</v>
      </c>
      <c r="U40" s="778">
        <f t="shared" si="11"/>
        <v>100</v>
      </c>
      <c r="V40" s="777" t="s">
        <v>17</v>
      </c>
      <c r="W40" s="778">
        <f t="shared" si="12"/>
        <v>100</v>
      </c>
      <c r="X40" s="779"/>
      <c r="Y40" s="3238"/>
      <c r="Z40" s="780">
        <f t="shared" si="13"/>
        <v>111</v>
      </c>
      <c r="AA40" s="1810">
        <f t="shared" si="3"/>
        <v>1</v>
      </c>
      <c r="AB40" s="1810">
        <f t="shared" si="4"/>
        <v>1</v>
      </c>
      <c r="AC40" s="1810">
        <f t="shared" si="5"/>
        <v>1</v>
      </c>
    </row>
    <row r="41" spans="1:29" ht="14.4">
      <c r="A41" s="479" t="s">
        <v>2715</v>
      </c>
      <c r="B41" s="2704" t="s">
        <v>2795</v>
      </c>
      <c r="C41" s="682" t="s">
        <v>1</v>
      </c>
      <c r="D41" s="481"/>
      <c r="E41" s="482"/>
      <c r="F41" s="483"/>
      <c r="G41" s="484"/>
      <c r="H41" s="485"/>
      <c r="I41" s="482"/>
      <c r="J41" s="485"/>
      <c r="K41" s="783"/>
      <c r="L41" s="1143"/>
      <c r="M41" s="1131"/>
      <c r="N41" s="1131"/>
      <c r="O41" s="1144"/>
      <c r="P41" s="3231" t="str">
        <f>A41</f>
        <v>成交单价</v>
      </c>
      <c r="Q41" s="3231"/>
      <c r="R41" s="3226">
        <f>E41</f>
        <v>0</v>
      </c>
      <c r="S41" s="3226"/>
      <c r="T41" s="3226">
        <f>G41</f>
        <v>0</v>
      </c>
      <c r="U41" s="3226"/>
      <c r="V41" s="3226">
        <f>I41</f>
        <v>0</v>
      </c>
      <c r="W41" s="3226"/>
      <c r="X41" s="759"/>
      <c r="Y41" s="781"/>
      <c r="Z41" s="759"/>
      <c r="AA41" s="759"/>
      <c r="AB41" s="759"/>
      <c r="AC41" s="759"/>
    </row>
    <row r="42" spans="1:29" ht="1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231" t="str">
        <f>A42</f>
        <v>比较价值（元/平方米）</v>
      </c>
      <c r="Q42" s="3231"/>
      <c r="R42" s="3285" t="e">
        <f>ROUND(PRODUCT(R41,AA7:AA40),0)</f>
        <v>#DIV/0!</v>
      </c>
      <c r="S42" s="3285"/>
      <c r="T42" s="3285" t="e">
        <f>ROUND(PRODUCT(T41,AB7:AB40),0)</f>
        <v>#DIV/0!</v>
      </c>
      <c r="U42" s="3285"/>
      <c r="V42" s="3285" t="e">
        <f>ROUND(PRODUCT(V41,AC7:AC40),0)</f>
        <v>#DIV/0!</v>
      </c>
      <c r="W42" s="3285"/>
      <c r="X42" s="759"/>
      <c r="Y42" s="759"/>
      <c r="Z42" s="759"/>
      <c r="AA42" s="759"/>
      <c r="AB42" s="759"/>
      <c r="AC42" s="759"/>
    </row>
    <row r="43" spans="1:29" ht="15" thickBot="1">
      <c r="A43" s="492" t="s">
        <v>2665</v>
      </c>
      <c r="B43" s="493"/>
      <c r="C43" s="494" t="e">
        <f>R43</f>
        <v>#DIV/0!</v>
      </c>
      <c r="D43" s="494"/>
      <c r="E43" s="494"/>
      <c r="F43" s="494"/>
      <c r="G43" s="494"/>
      <c r="H43" s="494"/>
      <c r="I43" s="494"/>
      <c r="J43" s="494"/>
      <c r="K43" s="785"/>
      <c r="L43" s="1143"/>
      <c r="M43" s="1131"/>
      <c r="N43" s="1131"/>
      <c r="O43" s="1144"/>
      <c r="P43" s="3228" t="str">
        <f>A43</f>
        <v>估价对象XX用房的比较价值（楼面单价，元/平方米）</v>
      </c>
      <c r="Q43" s="3229"/>
      <c r="R43" s="3286" t="e">
        <f>ROUND(AVERAGE(R42:V42),0)</f>
        <v>#DIV/0!</v>
      </c>
      <c r="S43" s="3286"/>
      <c r="T43" s="3286"/>
      <c r="U43" s="3286"/>
      <c r="V43" s="3286"/>
      <c r="W43" s="328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2753</v>
      </c>
      <c r="B50" s="685" t="s">
        <v>2754</v>
      </c>
      <c r="C50" s="2705" t="s">
        <v>2755</v>
      </c>
      <c r="D50" s="2706" t="s">
        <v>2756</v>
      </c>
      <c r="E50" s="686" t="s">
        <v>2757</v>
      </c>
      <c r="F50" s="687" t="s">
        <v>2758</v>
      </c>
      <c r="G50" s="3214" t="s">
        <v>2759</v>
      </c>
      <c r="H50" s="3287"/>
      <c r="I50" s="1813" t="s">
        <v>2796</v>
      </c>
      <c r="J50" s="1813">
        <f>项目基本情况!F35</f>
        <v>0</v>
      </c>
      <c r="K50" s="2708" t="s">
        <v>2761</v>
      </c>
      <c r="L50" s="1106"/>
      <c r="M50" s="1144"/>
      <c r="N50" s="1144"/>
      <c r="O50" s="1144"/>
    </row>
    <row r="51" spans="1:17" s="692" customFormat="1">
      <c r="A51" s="688" t="s">
        <v>2762</v>
      </c>
      <c r="B51" s="689" t="e">
        <f>C43</f>
        <v>#DIV/0!</v>
      </c>
      <c r="C51" s="690">
        <v>1</v>
      </c>
      <c r="D51" s="1163">
        <v>1</v>
      </c>
      <c r="E51" s="690">
        <f>'数据-汇总表'!E8+'数据-汇总表'!E9</f>
        <v>4457.2</v>
      </c>
      <c r="F51" s="691" t="e">
        <f t="shared" ref="F51:F60" si="15">ROUND(B51*E51/10000,0)</f>
        <v>#DIV/0!</v>
      </c>
      <c r="G51" s="3213"/>
      <c r="H51" s="3231"/>
      <c r="I51" s="942">
        <v>1</v>
      </c>
      <c r="J51" s="942">
        <v>1</v>
      </c>
      <c r="K51" s="1145"/>
      <c r="L51" s="941"/>
      <c r="M51" s="941"/>
      <c r="N51" s="941"/>
      <c r="O51" s="941"/>
    </row>
    <row r="52" spans="1:17" s="692" customFormat="1">
      <c r="A52" s="693" t="s">
        <v>2763</v>
      </c>
      <c r="B52" s="262" t="e">
        <f>ROUND($C$43*C52*D52,0)</f>
        <v>#DIV/0!</v>
      </c>
      <c r="C52" s="200">
        <f t="shared" ref="C52:C60" si="16">IF($C$50="北京市系数",I52,J52)</f>
        <v>0</v>
      </c>
      <c r="D52" s="1164">
        <v>0.25</v>
      </c>
      <c r="E52" s="694"/>
      <c r="F52" s="691" t="e">
        <f t="shared" si="15"/>
        <v>#DIV/0!</v>
      </c>
      <c r="G52" s="3288" t="s">
        <v>2764</v>
      </c>
      <c r="H52" s="1104">
        <f>项目基本情况!B37</f>
        <v>0</v>
      </c>
      <c r="I52" s="942">
        <f>SUMIF(修正!A45:A56,H52,修正!B45:B56)</f>
        <v>0</v>
      </c>
      <c r="J52" s="943"/>
      <c r="K52" s="1144"/>
      <c r="L52" s="941"/>
      <c r="M52" s="941"/>
      <c r="N52" s="941"/>
      <c r="O52" s="941"/>
    </row>
    <row r="53" spans="1:17" s="692" customFormat="1">
      <c r="A53" s="693" t="s">
        <v>2765</v>
      </c>
      <c r="B53" s="262" t="e">
        <f t="shared" ref="B53:B60" si="17">ROUND($C$43*C53*D53,0)</f>
        <v>#DIV/0!</v>
      </c>
      <c r="C53" s="200">
        <f t="shared" si="16"/>
        <v>0</v>
      </c>
      <c r="D53" s="1164">
        <v>0.25</v>
      </c>
      <c r="E53" s="694"/>
      <c r="F53" s="691" t="e">
        <f t="shared" si="15"/>
        <v>#DIV/0!</v>
      </c>
      <c r="G53" s="3288"/>
      <c r="H53" s="1104">
        <f>项目基本情况!B37</f>
        <v>0</v>
      </c>
      <c r="I53" s="942">
        <f>SUMIF(修正!A45:A56,H53,修正!C45:C56)</f>
        <v>0</v>
      </c>
      <c r="J53" s="943"/>
      <c r="K53" s="1145"/>
      <c r="L53" s="941"/>
      <c r="M53" s="941"/>
      <c r="N53" s="941"/>
      <c r="O53" s="941"/>
    </row>
    <row r="54" spans="1:17" s="692" customFormat="1">
      <c r="A54" s="693" t="s">
        <v>2766</v>
      </c>
      <c r="B54" s="262" t="e">
        <f t="shared" si="17"/>
        <v>#DIV/0!</v>
      </c>
      <c r="C54" s="200">
        <f t="shared" si="16"/>
        <v>0</v>
      </c>
      <c r="D54" s="1164">
        <v>0.25</v>
      </c>
      <c r="E54" s="694"/>
      <c r="F54" s="691" t="e">
        <f t="shared" si="15"/>
        <v>#DIV/0!</v>
      </c>
      <c r="G54" s="3288"/>
      <c r="H54" s="1104">
        <f>项目基本情况!B37</f>
        <v>0</v>
      </c>
      <c r="I54" s="942">
        <f>SUMIF(修正!A45:A56,H54,修正!D45:D56)</f>
        <v>0</v>
      </c>
      <c r="J54" s="943"/>
      <c r="K54" s="1144"/>
      <c r="L54" s="941"/>
      <c r="M54" s="941"/>
      <c r="N54" s="941"/>
      <c r="O54" s="941"/>
    </row>
    <row r="55" spans="1:17" s="692" customFormat="1">
      <c r="A55" s="693" t="s">
        <v>2767</v>
      </c>
      <c r="B55" s="262" t="e">
        <f t="shared" si="17"/>
        <v>#DIV/0!</v>
      </c>
      <c r="C55" s="200">
        <f t="shared" si="16"/>
        <v>0</v>
      </c>
      <c r="D55" s="1164">
        <v>0.25</v>
      </c>
      <c r="E55" s="694"/>
      <c r="F55" s="691" t="e">
        <f t="shared" si="15"/>
        <v>#DIV/0!</v>
      </c>
      <c r="G55" s="3288"/>
      <c r="H55" s="1104">
        <f>项目基本情况!B37</f>
        <v>0</v>
      </c>
      <c r="I55" s="942">
        <f>SUMIF(修正!A45:A56,H55,修正!E45:E56)</f>
        <v>0</v>
      </c>
      <c r="J55" s="943"/>
      <c r="K55" s="1145"/>
      <c r="L55" s="941"/>
      <c r="M55" s="941"/>
      <c r="N55" s="941"/>
      <c r="O55" s="941"/>
    </row>
    <row r="56" spans="1:17" s="692" customFormat="1">
      <c r="A56" s="693" t="s">
        <v>2768</v>
      </c>
      <c r="B56" s="262" t="e">
        <f t="shared" si="17"/>
        <v>#DIV/0!</v>
      </c>
      <c r="C56" s="200">
        <f t="shared" si="16"/>
        <v>0</v>
      </c>
      <c r="D56" s="1164">
        <v>0.25</v>
      </c>
      <c r="E56" s="261">
        <f>'数据-汇总表'!E11</f>
        <v>0</v>
      </c>
      <c r="F56" s="691" t="e">
        <f t="shared" si="15"/>
        <v>#DIV/0!</v>
      </c>
      <c r="G56" s="2709" t="s">
        <v>2769</v>
      </c>
      <c r="H56" s="1104">
        <f>项目基本情况!C37</f>
        <v>0</v>
      </c>
      <c r="I56" s="942">
        <f>SUMIF(修正!A45:A56,H56,修正!F45:F56)</f>
        <v>0</v>
      </c>
      <c r="J56" s="943"/>
      <c r="K56" s="1144"/>
      <c r="L56" s="941"/>
      <c r="M56" s="941"/>
      <c r="N56" s="941"/>
      <c r="O56" s="941"/>
    </row>
    <row r="57" spans="1:17" s="692" customFormat="1">
      <c r="A57" s="693" t="s">
        <v>2770</v>
      </c>
      <c r="B57" s="262" t="e">
        <f t="shared" si="17"/>
        <v>#DIV/0!</v>
      </c>
      <c r="C57" s="200">
        <f t="shared" si="16"/>
        <v>0</v>
      </c>
      <c r="D57" s="1164">
        <v>0.25</v>
      </c>
      <c r="E57" s="261">
        <f>'数据-汇总表'!E12</f>
        <v>0</v>
      </c>
      <c r="F57" s="691" t="e">
        <f t="shared" si="15"/>
        <v>#DIV/0!</v>
      </c>
      <c r="G57" s="1109" t="s">
        <v>2771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2772</v>
      </c>
      <c r="B58" s="262" t="e">
        <f t="shared" si="17"/>
        <v>#DIV/0!</v>
      </c>
      <c r="C58" s="200">
        <f t="shared" si="16"/>
        <v>0.2</v>
      </c>
      <c r="D58" s="1164">
        <v>0.25</v>
      </c>
      <c r="E58" s="261">
        <f>'数据-汇总表'!E13</f>
        <v>0</v>
      </c>
      <c r="F58" s="691" t="e">
        <f t="shared" si="15"/>
        <v>#DIV/0!</v>
      </c>
      <c r="G58" s="1109" t="s">
        <v>2773</v>
      </c>
      <c r="H58" s="1104" t="str">
        <f>IF(G58="商业",项目基本情况!B37,IF(G58="办公",项目基本情况!C37,IF(G58="住宅",项目基本情况!D37,项目基本情况!E37)))</f>
        <v>五级</v>
      </c>
      <c r="I58" s="942">
        <f>SUMIF(修正!A45:A56,H58,修正!H45:H56)</f>
        <v>0.2</v>
      </c>
      <c r="J58" s="943"/>
      <c r="K58" s="1144"/>
      <c r="L58" s="941"/>
      <c r="M58" s="941"/>
      <c r="N58" s="941"/>
      <c r="O58" s="941"/>
    </row>
    <row r="59" spans="1:17" s="692" customFormat="1">
      <c r="A59" s="693" t="s">
        <v>2774</v>
      </c>
      <c r="B59" s="262" t="e">
        <f t="shared" si="17"/>
        <v>#DIV/0!</v>
      </c>
      <c r="C59" s="200">
        <f t="shared" si="16"/>
        <v>0</v>
      </c>
      <c r="D59" s="1164">
        <v>0.25</v>
      </c>
      <c r="E59" s="261">
        <f>'数据-汇总表'!E14</f>
        <v>0</v>
      </c>
      <c r="F59" s="691" t="e">
        <f t="shared" si="15"/>
        <v>#DIV/0!</v>
      </c>
      <c r="G59" s="2709" t="s">
        <v>2764</v>
      </c>
      <c r="H59" s="1104">
        <f>项目基本情况!B37</f>
        <v>0</v>
      </c>
      <c r="I59" s="942">
        <f>SUMIF(修正!A45:A56,H59,修正!H45:H56)</f>
        <v>0</v>
      </c>
      <c r="J59" s="943"/>
      <c r="K59" s="1145"/>
      <c r="L59" s="941"/>
      <c r="M59" s="941"/>
      <c r="N59" s="941"/>
      <c r="O59" s="941"/>
    </row>
    <row r="60" spans="1:17" s="692" customFormat="1" ht="14.4" thickBot="1">
      <c r="A60" s="693" t="s">
        <v>2775</v>
      </c>
      <c r="B60" s="262" t="e">
        <f t="shared" si="17"/>
        <v>#DIV/0!</v>
      </c>
      <c r="C60" s="200">
        <f t="shared" si="16"/>
        <v>0</v>
      </c>
      <c r="D60" s="1164">
        <v>0.25</v>
      </c>
      <c r="E60" s="261">
        <f>'数据-汇总表'!E15</f>
        <v>0</v>
      </c>
      <c r="F60" s="691" t="e">
        <f t="shared" si="15"/>
        <v>#DIV/0!</v>
      </c>
      <c r="G60" s="2710" t="s">
        <v>2769</v>
      </c>
      <c r="H60" s="1114">
        <f>项目基本情况!C37</f>
        <v>0</v>
      </c>
      <c r="I60" s="942">
        <f>SUMIF(修正!A45:A56,H60,修正!H45:H56)</f>
        <v>0</v>
      </c>
      <c r="J60" s="943"/>
      <c r="K60" s="1144"/>
      <c r="L60" s="941"/>
      <c r="M60" s="941"/>
      <c r="N60" s="941"/>
      <c r="O60" s="941"/>
    </row>
    <row r="61" spans="1:17" s="692" customFormat="1" ht="14.4" thickBot="1">
      <c r="A61" s="695" t="s">
        <v>2776</v>
      </c>
      <c r="B61" s="696" t="s">
        <v>28</v>
      </c>
      <c r="C61" s="696" t="s">
        <v>29</v>
      </c>
      <c r="D61" s="696" t="s">
        <v>1025</v>
      </c>
      <c r="E61" s="696">
        <f>IF(B41="楼面地价",SUM(E51:E60),'数据-汇总表'!D3)</f>
        <v>1587.11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2.2" thickBot="1">
      <c r="A64" s="763" t="s">
        <v>2669</v>
      </c>
      <c r="B64" s="759"/>
      <c r="C64" s="764"/>
      <c r="D64" s="764"/>
      <c r="E64" s="764"/>
      <c r="F64" s="765"/>
      <c r="G64" s="765"/>
      <c r="H64" s="764"/>
      <c r="I64" s="764"/>
      <c r="J64" s="764"/>
      <c r="K64" s="766"/>
      <c r="L64" s="767"/>
      <c r="M64" s="764"/>
      <c r="N64" s="764"/>
      <c r="O64" s="1159"/>
      <c r="P64" s="503"/>
      <c r="Q64" s="504"/>
    </row>
    <row r="65" spans="1:17" s="508" customFormat="1" ht="14.4">
      <c r="A65" s="2711" t="s">
        <v>2777</v>
      </c>
      <c r="B65" s="1358"/>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7"/>
    </row>
    <row r="66" spans="1:17" s="117" customFormat="1" ht="30.75" customHeight="1">
      <c r="A66" s="2716" t="s">
        <v>2797</v>
      </c>
      <c r="B66" s="332" t="str">
        <f>"北京市平均增长率"&amp;TEXT(基准地价修正!P24,"0.00%")</f>
        <v>北京市平均增长率1.33%</v>
      </c>
      <c r="C66" s="603">
        <v>100</v>
      </c>
      <c r="D66" s="595"/>
      <c r="E66" s="595"/>
      <c r="F66" s="595"/>
      <c r="G66" s="595"/>
      <c r="H66" s="595"/>
      <c r="I66" s="595"/>
      <c r="J66" s="595"/>
      <c r="K66" s="595"/>
      <c r="L66" s="595"/>
      <c r="M66" s="1566"/>
      <c r="N66" s="1566"/>
      <c r="O66" s="1568"/>
      <c r="P66" s="504"/>
    </row>
    <row r="67" spans="1:17" s="117" customFormat="1" ht="15" thickBot="1">
      <c r="A67" s="515" t="s">
        <v>2580</v>
      </c>
      <c r="B67" s="516"/>
      <c r="C67" s="517"/>
      <c r="D67" s="518"/>
      <c r="E67" s="518"/>
      <c r="F67" s="518"/>
      <c r="G67" s="518"/>
      <c r="H67" s="518"/>
      <c r="I67" s="518"/>
      <c r="J67" s="518"/>
      <c r="K67" s="518"/>
      <c r="L67" s="518"/>
      <c r="M67" s="519"/>
      <c r="N67" s="519"/>
      <c r="O67" s="520"/>
      <c r="P67" s="504"/>
      <c r="Q67" s="504"/>
    </row>
    <row r="68" spans="1:17" s="117" customFormat="1" ht="14.4">
      <c r="A68" s="521" t="s">
        <v>2545</v>
      </c>
      <c r="B68" s="510"/>
      <c r="C68" s="522" t="s">
        <v>2647</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2583</v>
      </c>
      <c r="B70" s="528" t="s">
        <v>2549</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2552</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2686</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2745</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3" t="s">
        <v>183</v>
      </c>
      <c r="B18" s="882" t="s">
        <v>560</v>
      </c>
      <c r="C18" s="883" t="s">
        <v>561</v>
      </c>
      <c r="D18" s="884"/>
      <c r="E18" s="882">
        <v>1</v>
      </c>
      <c r="F18" s="885" t="s">
        <v>562</v>
      </c>
      <c r="G18" s="886"/>
      <c r="H18" s="878"/>
      <c r="I18" s="878"/>
    </row>
    <row r="19" spans="1:9" s="887" customFormat="1" ht="19.5" customHeight="1">
      <c r="A19" s="3293"/>
      <c r="B19" s="3293" t="s">
        <v>563</v>
      </c>
      <c r="C19" s="883" t="s">
        <v>564</v>
      </c>
      <c r="D19" s="884"/>
      <c r="E19" s="882">
        <v>0.9</v>
      </c>
      <c r="F19" s="885" t="s">
        <v>565</v>
      </c>
      <c r="G19" s="886"/>
      <c r="H19" s="878"/>
      <c r="I19" s="878"/>
    </row>
    <row r="20" spans="1:9" s="887" customFormat="1" ht="19.5" customHeight="1">
      <c r="A20" s="3293"/>
      <c r="B20" s="3293"/>
      <c r="C20" s="883" t="s">
        <v>566</v>
      </c>
      <c r="D20" s="884"/>
      <c r="E20" s="882">
        <v>1.1000000000000001</v>
      </c>
      <c r="F20" s="885" t="s">
        <v>567</v>
      </c>
      <c r="G20" s="886"/>
      <c r="H20" s="878"/>
      <c r="I20" s="878"/>
    </row>
    <row r="21" spans="1:9" s="887" customFormat="1" ht="19.5" customHeight="1">
      <c r="A21" s="3293"/>
      <c r="B21" s="3293"/>
      <c r="C21" s="883" t="s">
        <v>568</v>
      </c>
      <c r="D21" s="884"/>
      <c r="E21" s="882">
        <v>0.8</v>
      </c>
      <c r="F21" s="885" t="s">
        <v>569</v>
      </c>
      <c r="G21" s="886"/>
      <c r="H21" s="878"/>
      <c r="I21" s="878"/>
    </row>
    <row r="22" spans="1:9" s="887" customFormat="1" ht="19.5" customHeight="1">
      <c r="A22" s="3293"/>
      <c r="B22" s="3293"/>
      <c r="C22" s="883" t="s">
        <v>570</v>
      </c>
      <c r="D22" s="884"/>
      <c r="E22" s="882">
        <v>0.5</v>
      </c>
      <c r="F22" s="885"/>
      <c r="G22" s="886"/>
      <c r="H22" s="878"/>
      <c r="I22" s="878"/>
    </row>
    <row r="23" spans="1:9" s="887" customFormat="1" ht="19.5" customHeight="1">
      <c r="A23" s="3293" t="s">
        <v>184</v>
      </c>
      <c r="B23" s="882" t="s">
        <v>560</v>
      </c>
      <c r="C23" s="883" t="s">
        <v>571</v>
      </c>
      <c r="D23" s="884"/>
      <c r="E23" s="882">
        <v>1</v>
      </c>
      <c r="F23" s="885" t="s">
        <v>572</v>
      </c>
      <c r="G23" s="886"/>
      <c r="H23" s="878"/>
      <c r="I23" s="878"/>
    </row>
    <row r="24" spans="1:9" s="887" customFormat="1" ht="19.5" customHeight="1">
      <c r="A24" s="3293"/>
      <c r="B24" s="3293" t="s">
        <v>563</v>
      </c>
      <c r="C24" s="883" t="s">
        <v>573</v>
      </c>
      <c r="D24" s="884"/>
      <c r="E24" s="882">
        <v>0.5</v>
      </c>
      <c r="F24" s="885"/>
      <c r="G24" s="886"/>
      <c r="H24" s="878"/>
      <c r="I24" s="878"/>
    </row>
    <row r="25" spans="1:9" s="887" customFormat="1" ht="19.5" customHeight="1">
      <c r="A25" s="3293"/>
      <c r="B25" s="3293"/>
      <c r="C25" s="883" t="s">
        <v>574</v>
      </c>
      <c r="D25" s="884"/>
      <c r="E25" s="882">
        <v>1.1000000000000001</v>
      </c>
      <c r="F25" s="885"/>
      <c r="G25" s="886"/>
      <c r="H25" s="878"/>
      <c r="I25" s="878"/>
    </row>
    <row r="26" spans="1:9" s="887" customFormat="1" ht="19.5" customHeight="1">
      <c r="A26" s="3293"/>
      <c r="B26" s="3293"/>
      <c r="C26" s="883" t="s">
        <v>575</v>
      </c>
      <c r="D26" s="884"/>
      <c r="E26" s="882">
        <v>1.1000000000000001</v>
      </c>
      <c r="F26" s="885"/>
      <c r="G26" s="886"/>
      <c r="H26" s="878"/>
      <c r="I26" s="878"/>
    </row>
    <row r="27" spans="1:9" s="887" customFormat="1" ht="19.5" customHeight="1">
      <c r="A27" s="3293"/>
      <c r="B27" s="3293"/>
      <c r="C27" s="883" t="s">
        <v>576</v>
      </c>
      <c r="D27" s="884"/>
      <c r="E27" s="882">
        <v>0.9</v>
      </c>
      <c r="F27" s="885" t="s">
        <v>577</v>
      </c>
      <c r="G27" s="886"/>
      <c r="H27" s="878"/>
      <c r="I27" s="878"/>
    </row>
    <row r="28" spans="1:9" s="887" customFormat="1" ht="19.5" customHeight="1">
      <c r="A28" s="3293"/>
      <c r="B28" s="3293"/>
      <c r="C28" s="883" t="s">
        <v>578</v>
      </c>
      <c r="D28" s="884"/>
      <c r="E28" s="882">
        <v>0.9</v>
      </c>
      <c r="F28" s="885" t="s">
        <v>579</v>
      </c>
      <c r="G28" s="886"/>
      <c r="H28" s="878"/>
      <c r="I28" s="878"/>
    </row>
    <row r="29" spans="1:9" s="887" customFormat="1" ht="19.5" customHeight="1">
      <c r="A29" s="3293"/>
      <c r="B29" s="3293"/>
      <c r="C29" s="883" t="s">
        <v>580</v>
      </c>
      <c r="D29" s="884"/>
      <c r="E29" s="882">
        <v>0.9</v>
      </c>
      <c r="F29" s="885" t="s">
        <v>581</v>
      </c>
      <c r="G29" s="886"/>
      <c r="H29" s="878"/>
      <c r="I29" s="878"/>
    </row>
    <row r="30" spans="1:9" s="887" customFormat="1" ht="19.5" customHeight="1">
      <c r="A30" s="3293"/>
      <c r="B30" s="3293"/>
      <c r="C30" s="883" t="s">
        <v>582</v>
      </c>
      <c r="D30" s="884"/>
      <c r="E30" s="882">
        <v>0.9</v>
      </c>
      <c r="F30" s="885" t="s">
        <v>583</v>
      </c>
      <c r="G30" s="886"/>
      <c r="H30" s="878"/>
      <c r="I30" s="878"/>
    </row>
    <row r="31" spans="1:9" s="887" customFormat="1" ht="19.5" customHeight="1">
      <c r="A31" s="3293"/>
      <c r="B31" s="3293"/>
      <c r="C31" s="883" t="s">
        <v>584</v>
      </c>
      <c r="D31" s="884"/>
      <c r="E31" s="882">
        <v>0.8</v>
      </c>
      <c r="F31" s="885" t="s">
        <v>585</v>
      </c>
      <c r="G31" s="886"/>
      <c r="H31" s="878"/>
      <c r="I31" s="878"/>
    </row>
    <row r="32" spans="1:9" s="887" customFormat="1" ht="19.5" customHeight="1">
      <c r="A32" s="3293"/>
      <c r="B32" s="3293"/>
      <c r="C32" s="883" t="s">
        <v>586</v>
      </c>
      <c r="D32" s="884"/>
      <c r="E32" s="882">
        <v>0.8</v>
      </c>
      <c r="F32" s="885" t="s">
        <v>587</v>
      </c>
      <c r="G32" s="886"/>
      <c r="H32" s="878"/>
      <c r="I32" s="878"/>
    </row>
    <row r="33" spans="1:9" s="887" customFormat="1" ht="19.5" customHeight="1">
      <c r="A33" s="3293" t="s">
        <v>185</v>
      </c>
      <c r="B33" s="882" t="s">
        <v>560</v>
      </c>
      <c r="C33" s="883" t="s">
        <v>588</v>
      </c>
      <c r="D33" s="884"/>
      <c r="E33" s="882">
        <v>1</v>
      </c>
      <c r="F33" s="885" t="s">
        <v>589</v>
      </c>
      <c r="G33" s="886"/>
      <c r="H33" s="878"/>
      <c r="I33" s="878"/>
    </row>
    <row r="34" spans="1:9" s="887" customFormat="1" ht="19.5" customHeight="1">
      <c r="A34" s="3293"/>
      <c r="B34" s="882" t="s">
        <v>563</v>
      </c>
      <c r="C34" s="883" t="s">
        <v>590</v>
      </c>
      <c r="D34" s="884"/>
      <c r="E34" s="882">
        <v>1.5</v>
      </c>
      <c r="F34" s="885" t="s">
        <v>591</v>
      </c>
      <c r="G34" s="886"/>
      <c r="H34" s="878"/>
      <c r="I34" s="878"/>
    </row>
    <row r="35" spans="1:9" s="887" customFormat="1" ht="19.5" customHeight="1">
      <c r="A35" s="3293" t="s">
        <v>186</v>
      </c>
      <c r="B35" s="882" t="s">
        <v>560</v>
      </c>
      <c r="C35" s="883" t="s">
        <v>592</v>
      </c>
      <c r="D35" s="884"/>
      <c r="E35" s="882">
        <v>1</v>
      </c>
      <c r="F35" s="885" t="s">
        <v>593</v>
      </c>
      <c r="G35" s="886"/>
      <c r="H35" s="878"/>
      <c r="I35" s="878"/>
    </row>
    <row r="36" spans="1:9" s="887" customFormat="1" ht="19.5" customHeight="1">
      <c r="A36" s="3293"/>
      <c r="B36" s="3293" t="s">
        <v>563</v>
      </c>
      <c r="C36" s="883" t="s">
        <v>594</v>
      </c>
      <c r="D36" s="884"/>
      <c r="E36" s="882">
        <v>1</v>
      </c>
      <c r="F36" s="885" t="s">
        <v>595</v>
      </c>
      <c r="G36" s="886"/>
      <c r="H36" s="878"/>
      <c r="I36" s="878"/>
    </row>
    <row r="37" spans="1:9" s="887" customFormat="1" ht="19.5" customHeight="1">
      <c r="A37" s="3293"/>
      <c r="B37" s="3293"/>
      <c r="C37" s="883" t="s">
        <v>596</v>
      </c>
      <c r="D37" s="884"/>
      <c r="E37" s="882">
        <v>1.5</v>
      </c>
      <c r="F37" s="885" t="s">
        <v>597</v>
      </c>
      <c r="G37" s="886"/>
      <c r="H37" s="878"/>
      <c r="I37" s="878"/>
    </row>
    <row r="38" spans="1:9" s="887" customFormat="1" ht="19.5" customHeight="1">
      <c r="A38" s="3293"/>
      <c r="B38" s="3293"/>
      <c r="C38" s="883" t="s">
        <v>598</v>
      </c>
      <c r="D38" s="884"/>
      <c r="E38" s="882">
        <v>1</v>
      </c>
      <c r="F38" s="885" t="s">
        <v>599</v>
      </c>
      <c r="G38" s="886"/>
      <c r="H38" s="878"/>
      <c r="I38" s="878"/>
    </row>
    <row r="39" spans="1:9" s="887" customFormat="1" ht="19.5" customHeight="1">
      <c r="A39" s="3293"/>
      <c r="B39" s="329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93" t="s">
        <v>614</v>
      </c>
      <c r="C61" s="818" t="s">
        <v>615</v>
      </c>
      <c r="D61" s="818" t="s">
        <v>616</v>
      </c>
      <c r="E61" s="895">
        <v>0.5</v>
      </c>
      <c r="F61" s="882">
        <v>80</v>
      </c>
    </row>
    <row r="62" spans="1:8" s="878" customFormat="1" ht="36">
      <c r="A62" s="882">
        <v>2</v>
      </c>
      <c r="B62" s="3293"/>
      <c r="C62" s="818" t="s">
        <v>617</v>
      </c>
      <c r="D62" s="818" t="s">
        <v>618</v>
      </c>
      <c r="E62" s="895">
        <v>0.5</v>
      </c>
      <c r="F62" s="882">
        <v>80</v>
      </c>
    </row>
    <row r="63" spans="1:8" s="878" customFormat="1" ht="48">
      <c r="A63" s="882">
        <v>3</v>
      </c>
      <c r="B63" s="3293"/>
      <c r="C63" s="818" t="s">
        <v>619</v>
      </c>
      <c r="D63" s="818" t="s">
        <v>620</v>
      </c>
      <c r="E63" s="895">
        <v>0.5</v>
      </c>
      <c r="F63" s="882">
        <v>80</v>
      </c>
    </row>
    <row r="64" spans="1:8" s="878" customFormat="1" ht="48">
      <c r="A64" s="882">
        <v>4</v>
      </c>
      <c r="B64" s="3293"/>
      <c r="C64" s="818" t="s">
        <v>621</v>
      </c>
      <c r="D64" s="818" t="s">
        <v>622</v>
      </c>
      <c r="E64" s="895">
        <v>0.4</v>
      </c>
      <c r="F64" s="882">
        <v>60</v>
      </c>
    </row>
    <row r="65" spans="1:6" s="878" customFormat="1" ht="48">
      <c r="A65" s="882">
        <v>5</v>
      </c>
      <c r="B65" s="3293"/>
      <c r="C65" s="818" t="s">
        <v>623</v>
      </c>
      <c r="D65" s="818" t="s">
        <v>624</v>
      </c>
      <c r="E65" s="895">
        <v>0.2</v>
      </c>
      <c r="F65" s="882">
        <v>30</v>
      </c>
    </row>
    <row r="66" spans="1:6" s="878" customFormat="1" ht="48">
      <c r="A66" s="882">
        <v>6</v>
      </c>
      <c r="B66" s="3293"/>
      <c r="C66" s="818" t="s">
        <v>625</v>
      </c>
      <c r="D66" s="818" t="s">
        <v>626</v>
      </c>
      <c r="E66" s="895">
        <v>0.3</v>
      </c>
      <c r="F66" s="882">
        <v>50</v>
      </c>
    </row>
    <row r="67" spans="1:6" s="878" customFormat="1" ht="48">
      <c r="A67" s="882">
        <v>7</v>
      </c>
      <c r="B67" s="3293"/>
      <c r="C67" s="818" t="s">
        <v>627</v>
      </c>
      <c r="D67" s="818" t="s">
        <v>628</v>
      </c>
      <c r="E67" s="895">
        <v>0.2</v>
      </c>
      <c r="F67" s="882">
        <v>30</v>
      </c>
    </row>
    <row r="68" spans="1:6" s="878" customFormat="1" ht="48">
      <c r="A68" s="882">
        <v>8</v>
      </c>
      <c r="B68" s="3293"/>
      <c r="C68" s="818" t="s">
        <v>629</v>
      </c>
      <c r="D68" s="818" t="s">
        <v>630</v>
      </c>
      <c r="E68" s="895">
        <v>0.2</v>
      </c>
      <c r="F68" s="882">
        <v>30</v>
      </c>
    </row>
    <row r="69" spans="1:6" s="878" customFormat="1" ht="48">
      <c r="A69" s="882">
        <v>9</v>
      </c>
      <c r="B69" s="3293"/>
      <c r="C69" s="818" t="s">
        <v>631</v>
      </c>
      <c r="D69" s="818" t="s">
        <v>632</v>
      </c>
      <c r="E69" s="895">
        <v>0.2</v>
      </c>
      <c r="F69" s="882">
        <v>30</v>
      </c>
    </row>
    <row r="70" spans="1:6" s="878" customFormat="1" ht="60">
      <c r="A70" s="882">
        <v>10</v>
      </c>
      <c r="B70" s="3293"/>
      <c r="C70" s="818" t="s">
        <v>633</v>
      </c>
      <c r="D70" s="818" t="s">
        <v>634</v>
      </c>
      <c r="E70" s="895">
        <v>0.2</v>
      </c>
      <c r="F70" s="882">
        <v>30</v>
      </c>
    </row>
    <row r="71" spans="1:6" s="878" customFormat="1" ht="60">
      <c r="A71" s="882">
        <v>11</v>
      </c>
      <c r="B71" s="3293"/>
      <c r="C71" s="818" t="s">
        <v>635</v>
      </c>
      <c r="D71" s="818" t="s">
        <v>636</v>
      </c>
      <c r="E71" s="895">
        <v>0.2</v>
      </c>
      <c r="F71" s="882">
        <v>30</v>
      </c>
    </row>
    <row r="72" spans="1:6" s="878" customFormat="1" ht="36">
      <c r="A72" s="882">
        <v>12</v>
      </c>
      <c r="B72" s="3293"/>
      <c r="C72" s="818" t="s">
        <v>637</v>
      </c>
      <c r="D72" s="818" t="s">
        <v>638</v>
      </c>
      <c r="E72" s="895">
        <v>0.5</v>
      </c>
      <c r="F72" s="882">
        <v>80</v>
      </c>
    </row>
    <row r="73" spans="1:6" s="878" customFormat="1" ht="36">
      <c r="A73" s="882">
        <v>13</v>
      </c>
      <c r="B73" s="3293"/>
      <c r="C73" s="818" t="s">
        <v>639</v>
      </c>
      <c r="D73" s="818" t="s">
        <v>640</v>
      </c>
      <c r="E73" s="895">
        <v>0.4</v>
      </c>
      <c r="F73" s="882">
        <v>60</v>
      </c>
    </row>
    <row r="74" spans="1:6" s="878" customFormat="1" ht="36">
      <c r="A74" s="882">
        <v>14</v>
      </c>
      <c r="B74" s="3293"/>
      <c r="C74" s="818" t="s">
        <v>641</v>
      </c>
      <c r="D74" s="818" t="s">
        <v>642</v>
      </c>
      <c r="E74" s="895">
        <v>0.2</v>
      </c>
      <c r="F74" s="882">
        <v>30</v>
      </c>
    </row>
    <row r="75" spans="1:6" s="878" customFormat="1" ht="36">
      <c r="A75" s="882">
        <v>15</v>
      </c>
      <c r="B75" s="3293"/>
      <c r="C75" s="818" t="s">
        <v>643</v>
      </c>
      <c r="D75" s="818" t="s">
        <v>644</v>
      </c>
      <c r="E75" s="895">
        <v>0.2</v>
      </c>
      <c r="F75" s="882">
        <v>30</v>
      </c>
    </row>
    <row r="76" spans="1:6" s="878" customFormat="1" ht="36">
      <c r="A76" s="882">
        <v>16</v>
      </c>
      <c r="B76" s="3293" t="s">
        <v>645</v>
      </c>
      <c r="C76" s="818" t="s">
        <v>646</v>
      </c>
      <c r="D76" s="818" t="s">
        <v>647</v>
      </c>
      <c r="E76" s="895">
        <v>0.5</v>
      </c>
      <c r="F76" s="882">
        <v>80</v>
      </c>
    </row>
    <row r="77" spans="1:6" s="878" customFormat="1" ht="36">
      <c r="A77" s="882">
        <v>17</v>
      </c>
      <c r="B77" s="3293"/>
      <c r="C77" s="818" t="s">
        <v>648</v>
      </c>
      <c r="D77" s="818" t="s">
        <v>649</v>
      </c>
      <c r="E77" s="895">
        <v>0.5</v>
      </c>
      <c r="F77" s="882">
        <v>80</v>
      </c>
    </row>
    <row r="78" spans="1:6" s="878" customFormat="1" ht="36">
      <c r="A78" s="882">
        <v>18</v>
      </c>
      <c r="B78" s="3293"/>
      <c r="C78" s="818" t="s">
        <v>650</v>
      </c>
      <c r="D78" s="818" t="s">
        <v>651</v>
      </c>
      <c r="E78" s="895">
        <v>0.2</v>
      </c>
      <c r="F78" s="882">
        <v>30</v>
      </c>
    </row>
    <row r="79" spans="1:6" s="878" customFormat="1" ht="36">
      <c r="A79" s="882">
        <v>19</v>
      </c>
      <c r="B79" s="3293"/>
      <c r="C79" s="818" t="s">
        <v>652</v>
      </c>
      <c r="D79" s="818" t="s">
        <v>653</v>
      </c>
      <c r="E79" s="895">
        <v>0.5</v>
      </c>
      <c r="F79" s="882">
        <v>80</v>
      </c>
    </row>
    <row r="80" spans="1:6" s="878" customFormat="1" ht="36">
      <c r="A80" s="882">
        <v>20</v>
      </c>
      <c r="B80" s="3293"/>
      <c r="C80" s="818" t="s">
        <v>654</v>
      </c>
      <c r="D80" s="818" t="s">
        <v>655</v>
      </c>
      <c r="E80" s="895">
        <v>0.2</v>
      </c>
      <c r="F80" s="882">
        <v>30</v>
      </c>
    </row>
    <row r="81" spans="1:6" s="878" customFormat="1" ht="36">
      <c r="A81" s="882">
        <v>21</v>
      </c>
      <c r="B81" s="3293"/>
      <c r="C81" s="818" t="s">
        <v>656</v>
      </c>
      <c r="D81" s="818" t="s">
        <v>657</v>
      </c>
      <c r="E81" s="895">
        <v>0.2</v>
      </c>
      <c r="F81" s="882">
        <v>30</v>
      </c>
    </row>
    <row r="82" spans="1:6" s="878" customFormat="1" ht="60">
      <c r="A82" s="882">
        <v>22</v>
      </c>
      <c r="B82" s="3293"/>
      <c r="C82" s="818" t="s">
        <v>658</v>
      </c>
      <c r="D82" s="818" t="s">
        <v>659</v>
      </c>
      <c r="E82" s="895">
        <v>0.2</v>
      </c>
      <c r="F82" s="882">
        <v>30</v>
      </c>
    </row>
    <row r="83" spans="1:6" s="878" customFormat="1" ht="60">
      <c r="A83" s="882">
        <v>23</v>
      </c>
      <c r="B83" s="3293"/>
      <c r="C83" s="818" t="s">
        <v>660</v>
      </c>
      <c r="D83" s="818" t="s">
        <v>661</v>
      </c>
      <c r="E83" s="895">
        <v>0.2</v>
      </c>
      <c r="F83" s="882">
        <v>30</v>
      </c>
    </row>
    <row r="84" spans="1:6" s="878" customFormat="1" ht="48">
      <c r="A84" s="882">
        <v>24</v>
      </c>
      <c r="B84" s="3293"/>
      <c r="C84" s="818" t="s">
        <v>662</v>
      </c>
      <c r="D84" s="818" t="s">
        <v>663</v>
      </c>
      <c r="E84" s="895">
        <v>0.2</v>
      </c>
      <c r="F84" s="882">
        <v>30</v>
      </c>
    </row>
    <row r="85" spans="1:6" s="878" customFormat="1" ht="36">
      <c r="A85" s="882">
        <v>25</v>
      </c>
      <c r="B85" s="3293"/>
      <c r="C85" s="818" t="s">
        <v>664</v>
      </c>
      <c r="D85" s="818" t="s">
        <v>665</v>
      </c>
      <c r="E85" s="895">
        <v>0.5</v>
      </c>
      <c r="F85" s="882">
        <v>80</v>
      </c>
    </row>
    <row r="86" spans="1:6" s="878" customFormat="1" ht="36">
      <c r="A86" s="882">
        <v>26</v>
      </c>
      <c r="B86" s="3293"/>
      <c r="C86" s="818" t="s">
        <v>666</v>
      </c>
      <c r="D86" s="818" t="s">
        <v>667</v>
      </c>
      <c r="E86" s="895">
        <v>0.2</v>
      </c>
      <c r="F86" s="882">
        <v>30</v>
      </c>
    </row>
    <row r="87" spans="1:6" s="878" customFormat="1" ht="36">
      <c r="A87" s="882">
        <v>27</v>
      </c>
      <c r="B87" s="3293"/>
      <c r="C87" s="818" t="s">
        <v>668</v>
      </c>
      <c r="D87" s="818" t="s">
        <v>669</v>
      </c>
      <c r="E87" s="895">
        <v>0.2</v>
      </c>
      <c r="F87" s="882">
        <v>30</v>
      </c>
    </row>
    <row r="88" spans="1:6" s="878" customFormat="1" ht="36">
      <c r="A88" s="882">
        <v>28</v>
      </c>
      <c r="B88" s="3293"/>
      <c r="C88" s="818" t="s">
        <v>670</v>
      </c>
      <c r="D88" s="818" t="s">
        <v>671</v>
      </c>
      <c r="E88" s="895">
        <v>0.2</v>
      </c>
      <c r="F88" s="882">
        <v>30</v>
      </c>
    </row>
    <row r="89" spans="1:6" s="878" customFormat="1" ht="36">
      <c r="A89" s="882">
        <v>29</v>
      </c>
      <c r="B89" s="3293"/>
      <c r="C89" s="818" t="s">
        <v>672</v>
      </c>
      <c r="D89" s="818" t="s">
        <v>673</v>
      </c>
      <c r="E89" s="895">
        <v>0.2</v>
      </c>
      <c r="F89" s="882">
        <v>30</v>
      </c>
    </row>
    <row r="90" spans="1:6" s="878" customFormat="1" ht="36">
      <c r="A90" s="882">
        <v>30</v>
      </c>
      <c r="B90" s="3293"/>
      <c r="C90" s="818" t="s">
        <v>674</v>
      </c>
      <c r="D90" s="818" t="s">
        <v>675</v>
      </c>
      <c r="E90" s="895">
        <v>0.2</v>
      </c>
      <c r="F90" s="882">
        <v>30</v>
      </c>
    </row>
    <row r="91" spans="1:6" s="878" customFormat="1" ht="48">
      <c r="A91" s="882">
        <v>31</v>
      </c>
      <c r="B91" s="3293"/>
      <c r="C91" s="818" t="s">
        <v>676</v>
      </c>
      <c r="D91" s="818" t="s">
        <v>677</v>
      </c>
      <c r="E91" s="895">
        <v>0.2</v>
      </c>
      <c r="F91" s="882">
        <v>30</v>
      </c>
    </row>
    <row r="92" spans="1:6" s="878" customFormat="1" ht="36">
      <c r="A92" s="882">
        <v>32</v>
      </c>
      <c r="B92" s="3293" t="s">
        <v>678</v>
      </c>
      <c r="C92" s="882" t="s">
        <v>679</v>
      </c>
      <c r="D92" s="818" t="s">
        <v>680</v>
      </c>
      <c r="E92" s="895">
        <v>0.2</v>
      </c>
      <c r="F92" s="882">
        <v>30</v>
      </c>
    </row>
    <row r="93" spans="1:6" s="878" customFormat="1" ht="36">
      <c r="A93" s="882">
        <v>33</v>
      </c>
      <c r="B93" s="3293"/>
      <c r="C93" s="882" t="s">
        <v>681</v>
      </c>
      <c r="D93" s="818" t="s">
        <v>682</v>
      </c>
      <c r="E93" s="895">
        <v>0.2</v>
      </c>
      <c r="F93" s="882">
        <v>30</v>
      </c>
    </row>
    <row r="94" spans="1:6" s="878" customFormat="1" ht="60">
      <c r="A94" s="882">
        <v>34</v>
      </c>
      <c r="B94" s="3293"/>
      <c r="C94" s="882" t="s">
        <v>683</v>
      </c>
      <c r="D94" s="818" t="s">
        <v>684</v>
      </c>
      <c r="E94" s="895">
        <v>0.2</v>
      </c>
      <c r="F94" s="882">
        <v>30</v>
      </c>
    </row>
    <row r="95" spans="1:6" s="878" customFormat="1" ht="48">
      <c r="A95" s="882">
        <v>35</v>
      </c>
      <c r="B95" s="3293"/>
      <c r="C95" s="882" t="s">
        <v>685</v>
      </c>
      <c r="D95" s="818" t="s">
        <v>686</v>
      </c>
      <c r="E95" s="895">
        <v>0.2</v>
      </c>
      <c r="F95" s="882">
        <v>30</v>
      </c>
    </row>
    <row r="96" spans="1:6" s="878" customFormat="1" ht="72">
      <c r="A96" s="882">
        <v>36</v>
      </c>
      <c r="B96" s="3293"/>
      <c r="C96" s="818" t="s">
        <v>687</v>
      </c>
      <c r="D96" s="818" t="s">
        <v>688</v>
      </c>
      <c r="E96" s="895">
        <v>0.2</v>
      </c>
      <c r="F96" s="882">
        <v>30</v>
      </c>
    </row>
    <row r="97" spans="1:6" s="878" customFormat="1" ht="36">
      <c r="A97" s="882">
        <v>37</v>
      </c>
      <c r="B97" s="3293"/>
      <c r="C97" s="882" t="s">
        <v>689</v>
      </c>
      <c r="D97" s="818" t="s">
        <v>690</v>
      </c>
      <c r="E97" s="895">
        <v>0.2</v>
      </c>
      <c r="F97" s="882">
        <v>30</v>
      </c>
    </row>
    <row r="98" spans="1:6" s="878" customFormat="1" ht="36">
      <c r="A98" s="882">
        <v>38</v>
      </c>
      <c r="B98" s="3293"/>
      <c r="C98" s="882" t="s">
        <v>691</v>
      </c>
      <c r="D98" s="818" t="s">
        <v>692</v>
      </c>
      <c r="E98" s="895">
        <v>0.2</v>
      </c>
      <c r="F98" s="882">
        <v>30</v>
      </c>
    </row>
    <row r="99" spans="1:6" s="878" customFormat="1" ht="36">
      <c r="A99" s="882">
        <v>39</v>
      </c>
      <c r="B99" s="3293" t="s">
        <v>693</v>
      </c>
      <c r="C99" s="882" t="s">
        <v>694</v>
      </c>
      <c r="D99" s="818" t="s">
        <v>695</v>
      </c>
      <c r="E99" s="895">
        <v>0.3</v>
      </c>
      <c r="F99" s="882">
        <v>50</v>
      </c>
    </row>
    <row r="100" spans="1:6" s="878" customFormat="1" ht="36">
      <c r="A100" s="882">
        <v>40</v>
      </c>
      <c r="B100" s="3293"/>
      <c r="C100" s="882" t="s">
        <v>696</v>
      </c>
      <c r="D100" s="818" t="s">
        <v>697</v>
      </c>
      <c r="E100" s="895">
        <v>0.2</v>
      </c>
      <c r="F100" s="882">
        <v>30</v>
      </c>
    </row>
    <row r="101" spans="1:6" s="878" customFormat="1" ht="36">
      <c r="A101" s="882">
        <v>41</v>
      </c>
      <c r="B101" s="3293"/>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93" t="s">
        <v>708</v>
      </c>
      <c r="C105" s="882" t="s">
        <v>709</v>
      </c>
      <c r="D105" s="818" t="s">
        <v>710</v>
      </c>
      <c r="E105" s="895">
        <v>0.2</v>
      </c>
      <c r="F105" s="882">
        <v>30</v>
      </c>
    </row>
    <row r="106" spans="1:6" s="878" customFormat="1" ht="48">
      <c r="A106" s="882">
        <v>46</v>
      </c>
      <c r="B106" s="3293"/>
      <c r="C106" s="882" t="s">
        <v>711</v>
      </c>
      <c r="D106" s="818" t="s">
        <v>712</v>
      </c>
      <c r="E106" s="895">
        <v>0.2</v>
      </c>
      <c r="F106" s="882">
        <v>30</v>
      </c>
    </row>
    <row r="107" spans="1:6" s="878" customFormat="1" ht="36">
      <c r="A107" s="882">
        <v>47</v>
      </c>
      <c r="B107" s="3293" t="s">
        <v>713</v>
      </c>
      <c r="C107" s="882" t="s">
        <v>714</v>
      </c>
      <c r="D107" s="818" t="s">
        <v>715</v>
      </c>
      <c r="E107" s="895">
        <v>0.3</v>
      </c>
      <c r="F107" s="882">
        <v>50</v>
      </c>
    </row>
    <row r="108" spans="1:6" s="878" customFormat="1" ht="48">
      <c r="A108" s="882">
        <v>48</v>
      </c>
      <c r="B108" s="329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93" t="s">
        <v>724</v>
      </c>
      <c r="C111" s="882" t="s">
        <v>725</v>
      </c>
      <c r="D111" s="818" t="s">
        <v>726</v>
      </c>
      <c r="E111" s="895">
        <v>0.2</v>
      </c>
      <c r="F111" s="882">
        <v>30</v>
      </c>
    </row>
    <row r="112" spans="1:6" s="878" customFormat="1" ht="36">
      <c r="A112" s="882">
        <v>52</v>
      </c>
      <c r="B112" s="3293"/>
      <c r="C112" s="882" t="s">
        <v>727</v>
      </c>
      <c r="D112" s="818" t="s">
        <v>728</v>
      </c>
      <c r="E112" s="895">
        <v>0.2</v>
      </c>
      <c r="F112" s="882">
        <v>30</v>
      </c>
    </row>
    <row r="113" spans="1:6" s="878" customFormat="1" ht="36">
      <c r="A113" s="882">
        <v>53</v>
      </c>
      <c r="B113" s="3293"/>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93" t="s">
        <v>737</v>
      </c>
      <c r="C116" s="882" t="s">
        <v>738</v>
      </c>
      <c r="D116" s="818" t="s">
        <v>739</v>
      </c>
      <c r="E116" s="895">
        <v>0.2</v>
      </c>
      <c r="F116" s="882">
        <v>30</v>
      </c>
    </row>
    <row r="117" spans="1:6" ht="36">
      <c r="A117" s="882">
        <v>57</v>
      </c>
      <c r="B117" s="3293"/>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0.96399999999999997</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62" t="s">
        <v>2997</v>
      </c>
    </row>
    <row r="2" spans="1:5" ht="15.6">
      <c r="A2" s="2902" t="s">
        <v>2989</v>
      </c>
      <c r="B2" s="2903">
        <f ca="1">SUMIF(B6:B13,"&lt;&gt;#ref!",B6:B13)</f>
        <v>166</v>
      </c>
      <c r="C2" s="2902" t="s">
        <v>2990</v>
      </c>
      <c r="D2" s="2902" t="s">
        <v>2991</v>
      </c>
      <c r="E2" s="2903">
        <f ca="1">SUMIF(E6:E13,"&lt;&gt;#ref!",E6:E13)</f>
        <v>65</v>
      </c>
    </row>
    <row r="3" spans="1:5" ht="15.6">
      <c r="A3" s="2902" t="s">
        <v>2992</v>
      </c>
      <c r="B3" s="2903">
        <f ca="1">ROUND(B2*10000/E2,0)</f>
        <v>25538</v>
      </c>
      <c r="C3" s="2902" t="s">
        <v>2998</v>
      </c>
      <c r="D3" s="2904"/>
      <c r="E3" s="2904"/>
    </row>
    <row r="4" spans="1:5" ht="15.6">
      <c r="A4" s="2905"/>
      <c r="B4" s="2904"/>
      <c r="C4" s="2904"/>
      <c r="D4" s="2904"/>
      <c r="E4" s="2904"/>
    </row>
    <row r="5" spans="1:5" ht="31.2">
      <c r="A5" s="2906" t="s">
        <v>2993</v>
      </c>
      <c r="B5" s="2902" t="s">
        <v>2994</v>
      </c>
      <c r="C5" s="2903"/>
      <c r="D5" s="2904"/>
      <c r="E5" s="2902" t="s">
        <v>2995</v>
      </c>
    </row>
    <row r="6" spans="1:5" ht="15.6">
      <c r="A6" s="2907" t="s">
        <v>2996</v>
      </c>
      <c r="B6" s="2903">
        <f ca="1">SUMIF(INDIRECT("'"&amp;A6&amp;"'"&amp;"!A:A"),"总价",INDIRECT("'"&amp;A6&amp;"'"&amp;"!B:B"))</f>
        <v>166</v>
      </c>
      <c r="C6" s="2902" t="s">
        <v>2990</v>
      </c>
      <c r="D6" s="2904"/>
      <c r="E6" s="2576">
        <f ca="1">SUMIF(INDIRECT("'"&amp;A6&amp;"'"&amp;"!C:C"),"建筑面积",INDIRECT("'"&amp;A6&amp;"'"&amp;"!D:D"))</f>
        <v>65</v>
      </c>
    </row>
    <row r="7" spans="1:5" ht="15.6">
      <c r="A7" s="2907"/>
      <c r="B7" s="2903" t="e">
        <f ca="1">SUMIF(INDIRECT("'"&amp;A7&amp;"'"&amp;"!A:A"),"总价",INDIRECT("'"&amp;A7&amp;"'"&amp;"!B:B"))</f>
        <v>#REF!</v>
      </c>
      <c r="C7" s="2902" t="s">
        <v>2990</v>
      </c>
      <c r="D7" s="2904"/>
      <c r="E7" s="2576" t="e">
        <f t="shared" ref="E7:E13" ca="1" si="0">SUMIF(INDIRECT("'"&amp;A7&amp;"'"&amp;"!C:C"),"建筑面积",INDIRECT("'"&amp;A7&amp;"'"&amp;"!D:D"))</f>
        <v>#REF!</v>
      </c>
    </row>
    <row r="8" spans="1:5" ht="15.6">
      <c r="A8" s="2907"/>
      <c r="B8" s="2903" t="e">
        <f t="shared" ref="B8:B13" ca="1" si="1">SUMIF(INDIRECT("'"&amp;A8&amp;"'"&amp;"!A:A"),"总价",INDIRECT("'"&amp;A8&amp;"'"&amp;"!B:B"))</f>
        <v>#REF!</v>
      </c>
      <c r="C8" s="2902" t="s">
        <v>2990</v>
      </c>
      <c r="D8" s="2904"/>
      <c r="E8" s="2576" t="e">
        <f t="shared" ca="1" si="0"/>
        <v>#REF!</v>
      </c>
    </row>
    <row r="9" spans="1:5" ht="15.6">
      <c r="A9" s="2907"/>
      <c r="B9" s="2903" t="e">
        <f t="shared" ca="1" si="1"/>
        <v>#REF!</v>
      </c>
      <c r="C9" s="2902" t="s">
        <v>2990</v>
      </c>
      <c r="D9" s="2904"/>
      <c r="E9" s="2576" t="e">
        <f t="shared" ca="1" si="0"/>
        <v>#REF!</v>
      </c>
    </row>
    <row r="10" spans="1:5" ht="15.6">
      <c r="A10" s="2907"/>
      <c r="B10" s="2903" t="e">
        <f t="shared" ca="1" si="1"/>
        <v>#REF!</v>
      </c>
      <c r="C10" s="2902" t="s">
        <v>2990</v>
      </c>
      <c r="D10" s="2904"/>
      <c r="E10" s="2576" t="e">
        <f t="shared" ca="1" si="0"/>
        <v>#REF!</v>
      </c>
    </row>
    <row r="11" spans="1:5" ht="15.6">
      <c r="A11" s="2907"/>
      <c r="B11" s="2903" t="e">
        <f t="shared" ca="1" si="1"/>
        <v>#REF!</v>
      </c>
      <c r="C11" s="2902" t="s">
        <v>2990</v>
      </c>
      <c r="D11" s="2904"/>
      <c r="E11" s="2576" t="e">
        <f t="shared" ca="1" si="0"/>
        <v>#REF!</v>
      </c>
    </row>
    <row r="12" spans="1:5" ht="15.6">
      <c r="A12" s="2907"/>
      <c r="B12" s="2903" t="e">
        <f t="shared" ca="1" si="1"/>
        <v>#REF!</v>
      </c>
      <c r="C12" s="2902" t="s">
        <v>2990</v>
      </c>
      <c r="D12" s="2904"/>
      <c r="E12" s="2576" t="e">
        <f t="shared" ca="1" si="0"/>
        <v>#REF!</v>
      </c>
    </row>
    <row r="13" spans="1:5" ht="15.6">
      <c r="A13" s="2907"/>
      <c r="B13" s="2903" t="e">
        <f t="shared" ca="1" si="1"/>
        <v>#REF!</v>
      </c>
      <c r="C13" s="2902" t="s">
        <v>2990</v>
      </c>
      <c r="D13" s="2904"/>
      <c r="E13" s="257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299" t="s">
        <v>1145</v>
      </c>
      <c r="C1" s="3299"/>
      <c r="D1" s="3299"/>
      <c r="E1" s="3299"/>
      <c r="F1" s="3299"/>
      <c r="G1" s="3295" t="s">
        <v>1146</v>
      </c>
      <c r="H1" s="3295"/>
      <c r="I1" s="3295"/>
      <c r="J1" s="3295"/>
      <c r="K1" s="3295"/>
      <c r="L1" s="3295"/>
      <c r="N1" s="3295" t="s">
        <v>1147</v>
      </c>
      <c r="O1" s="3295"/>
      <c r="P1" s="3295"/>
      <c r="Q1" s="3295"/>
      <c r="R1" s="1445"/>
      <c r="S1" s="3295" t="s">
        <v>1148</v>
      </c>
      <c r="T1" s="3295"/>
      <c r="U1" s="3295"/>
      <c r="V1" s="3295"/>
      <c r="X1" s="3294" t="s">
        <v>1149</v>
      </c>
      <c r="Y1" s="3295"/>
      <c r="Z1" s="3295"/>
      <c r="AA1" s="3295"/>
      <c r="AB1" s="3295"/>
      <c r="AD1" s="3294" t="s">
        <v>1150</v>
      </c>
      <c r="AE1" s="3295"/>
      <c r="AF1" s="3295"/>
      <c r="AG1" s="3295"/>
      <c r="AH1" s="3295"/>
    </row>
    <row r="2" spans="1:34" s="1446" customFormat="1" ht="1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8" customFormat="1" ht="14.4">
      <c r="A3" s="2927" t="s">
        <v>3029</v>
      </c>
      <c r="B3" s="2919"/>
      <c r="C3" s="2919"/>
      <c r="D3" s="2920"/>
      <c r="E3" s="2920"/>
      <c r="F3" s="2919"/>
      <c r="G3" s="2921"/>
      <c r="H3" s="2922"/>
      <c r="I3" s="2923">
        <f>ROUND(AVERAGE($I4:$I29),2)</f>
        <v>1.9</v>
      </c>
      <c r="J3" s="2923">
        <f>ROUND(AVERAGE($J4:$J29),2)</f>
        <v>1.35</v>
      </c>
      <c r="K3" s="2923">
        <f>ROUND(AVERAGE($K4:$K29),2)</f>
        <v>2.08</v>
      </c>
      <c r="L3" s="2923">
        <f>ROUND(AVERAGE($L4:$L29),2)</f>
        <v>1.33</v>
      </c>
      <c r="N3" s="2921"/>
      <c r="O3" s="2924"/>
      <c r="P3" s="2924"/>
      <c r="Q3" s="2924"/>
      <c r="R3" s="2924"/>
      <c r="S3" s="2921"/>
      <c r="T3" s="2924"/>
      <c r="U3" s="2924"/>
      <c r="V3" s="2924"/>
      <c r="W3" s="2916"/>
      <c r="X3" s="2925">
        <f>ROUND(SUMPRODUCT(PRODUCT(1+N3:N$28)),4)</f>
        <v>1.5516000000000001</v>
      </c>
      <c r="Y3" s="2925">
        <f>ROUND(SUMPRODUCT(PRODUCT(1+O3:O$28)),4)</f>
        <v>1.3649</v>
      </c>
      <c r="Z3" s="2925">
        <f t="shared" ref="Z3:Z26" si="0">Y3</f>
        <v>1.3649</v>
      </c>
      <c r="AA3" s="2925">
        <f>ROUND(SUMPRODUCT(PRODUCT(1+P3:P$28)),4)</f>
        <v>1.6133999999999999</v>
      </c>
      <c r="AB3" s="2925">
        <f>ROUND(SUMPRODUCT(PRODUCT(1+Q3:Q$28)),4)</f>
        <v>1.3713</v>
      </c>
      <c r="AD3" s="2926">
        <f>ROUND(AVERAGE(I3:I$29)/100,4)</f>
        <v>1.9E-2</v>
      </c>
      <c r="AE3" s="2926">
        <f>ROUND(AVERAGE(J3:J$29)/100,4)</f>
        <v>1.35E-2</v>
      </c>
      <c r="AF3" s="2926">
        <f t="shared" ref="AF3:AF27" si="1">AE3</f>
        <v>1.35E-2</v>
      </c>
      <c r="AG3" s="2926">
        <f>ROUND(AVERAGE(K3:K$29)/100,4)</f>
        <v>2.0799999999999999E-2</v>
      </c>
      <c r="AH3" s="2926">
        <f>ROUND(AVERAGE(L3:L$29)/100,4)</f>
        <v>1.3299999999999999E-2</v>
      </c>
    </row>
    <row r="4" spans="1:34" s="1452" customFormat="1" ht="14.4">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3048</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2020</v>
      </c>
      <c r="H5" s="1729">
        <v>1</v>
      </c>
      <c r="I5" s="2914">
        <v>0</v>
      </c>
      <c r="J5" s="2914">
        <v>0</v>
      </c>
      <c r="K5" s="2914">
        <v>0</v>
      </c>
      <c r="L5" s="2914">
        <v>0</v>
      </c>
      <c r="N5" s="1466">
        <f t="shared" ref="N5" si="7">I5/100</f>
        <v>0</v>
      </c>
      <c r="O5" s="1466">
        <f t="shared" ref="O5" si="8">J5/100</f>
        <v>0</v>
      </c>
      <c r="P5" s="1466">
        <f t="shared" ref="P5" si="9">K5/100</f>
        <v>0</v>
      </c>
      <c r="Q5" s="1466">
        <f t="shared" ref="Q5" si="10">L5/100</f>
        <v>0</v>
      </c>
      <c r="R5" s="1731"/>
      <c r="S5" s="1732"/>
      <c r="T5" s="1731"/>
      <c r="U5" s="1731"/>
      <c r="V5" s="1731"/>
      <c r="W5" s="2917" t="s">
        <v>3030</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3047</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2">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8" thickBot="1">
      <c r="A7" s="1460" t="s">
        <v>3043</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51">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3041</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7">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8" thickBot="1">
      <c r="A9" s="1460" t="s">
        <v>3039</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31">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3042</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297">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 customHeight="1">
      <c r="A11" s="1460" t="s">
        <v>3036</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297"/>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 customHeight="1">
      <c r="A12" s="1460" t="s">
        <v>3035</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297"/>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3028</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304"/>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3025</v>
      </c>
      <c r="B14" s="1468">
        <v>439</v>
      </c>
      <c r="C14" s="1468">
        <v>327</v>
      </c>
      <c r="D14" s="1468">
        <f>C14</f>
        <v>327</v>
      </c>
      <c r="E14" s="1468">
        <v>627</v>
      </c>
      <c r="F14" s="1469">
        <v>283</v>
      </c>
      <c r="G14" s="3300">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 customHeight="1">
      <c r="A15" s="1460" t="s">
        <v>3026</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297"/>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297"/>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304"/>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300">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297"/>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297"/>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8"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298"/>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8" thickBot="1">
      <c r="A22" s="1460" t="s">
        <v>151</v>
      </c>
      <c r="B22" s="1468">
        <v>333</v>
      </c>
      <c r="C22" s="1468">
        <v>277</v>
      </c>
      <c r="D22" s="1468">
        <f t="shared" si="119"/>
        <v>277</v>
      </c>
      <c r="E22" s="1468">
        <v>459</v>
      </c>
      <c r="F22" s="1469">
        <v>249</v>
      </c>
      <c r="G22" s="3296">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297"/>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297"/>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298"/>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8" thickBot="1">
      <c r="A26" s="1460" t="s">
        <v>147</v>
      </c>
      <c r="B26" s="1489">
        <v>318</v>
      </c>
      <c r="C26" s="1489">
        <v>268</v>
      </c>
      <c r="D26" s="1489">
        <f t="shared" si="119"/>
        <v>268</v>
      </c>
      <c r="E26" s="1489">
        <v>437</v>
      </c>
      <c r="F26" s="1490">
        <v>237</v>
      </c>
      <c r="G26" s="3296">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297"/>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8"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297"/>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8"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298"/>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8" thickBot="1">
      <c r="A30" s="1460" t="s">
        <v>1158</v>
      </c>
      <c r="B30" s="1468">
        <v>299</v>
      </c>
      <c r="C30" s="1468">
        <v>252</v>
      </c>
      <c r="D30" s="1468">
        <f t="shared" si="119"/>
        <v>252</v>
      </c>
      <c r="E30" s="1468">
        <v>409</v>
      </c>
      <c r="F30" s="1469">
        <v>227</v>
      </c>
      <c r="G30" s="3301">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302"/>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302"/>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303"/>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8" thickBot="1">
      <c r="A34" s="1460" t="s">
        <v>1162</v>
      </c>
      <c r="B34" s="1510">
        <v>278</v>
      </c>
      <c r="C34" s="1510">
        <v>234</v>
      </c>
      <c r="D34" s="1510">
        <f t="shared" si="119"/>
        <v>234</v>
      </c>
      <c r="E34" s="1510">
        <v>379</v>
      </c>
      <c r="F34" s="1511">
        <v>220</v>
      </c>
      <c r="G34" s="3296">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297"/>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297"/>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8" thickBot="1">
      <c r="A37" s="1460" t="s">
        <v>1165</v>
      </c>
      <c r="B37" s="1476">
        <f>B36/(1+N36)</f>
        <v>275.19025476197027</v>
      </c>
      <c r="C37" s="1512">
        <v>232</v>
      </c>
      <c r="D37" s="1512">
        <f t="shared" si="119"/>
        <v>232</v>
      </c>
      <c r="E37" s="1476">
        <f t="shared" si="130"/>
        <v>375.65990977608692</v>
      </c>
      <c r="F37" s="1476">
        <f t="shared" si="130"/>
        <v>214.12518283971252</v>
      </c>
      <c r="G37" s="3298"/>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8" thickBot="1">
      <c r="A38" s="1460" t="s">
        <v>1166</v>
      </c>
      <c r="B38" s="1468">
        <v>275</v>
      </c>
      <c r="C38" s="1468">
        <v>232</v>
      </c>
      <c r="D38" s="1468">
        <f t="shared" si="119"/>
        <v>232</v>
      </c>
      <c r="E38" s="1468">
        <v>376</v>
      </c>
      <c r="F38" s="1469">
        <v>213</v>
      </c>
      <c r="G38" s="3296">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297">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297">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8"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298">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8" thickBot="1">
      <c r="A42" s="1460" t="s">
        <v>1170</v>
      </c>
      <c r="B42" s="1468">
        <v>269</v>
      </c>
      <c r="C42" s="1468">
        <v>221</v>
      </c>
      <c r="D42" s="1468">
        <f t="shared" si="119"/>
        <v>221</v>
      </c>
      <c r="E42" s="1468">
        <v>373</v>
      </c>
      <c r="F42" s="1469">
        <v>196</v>
      </c>
      <c r="G42" s="3296">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297">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297">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8"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298">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8" thickBot="1">
      <c r="A46" s="1460" t="s">
        <v>1174</v>
      </c>
      <c r="B46" s="1468">
        <v>220</v>
      </c>
      <c r="C46" s="1468">
        <v>187</v>
      </c>
      <c r="D46" s="1468">
        <f t="shared" si="119"/>
        <v>187</v>
      </c>
      <c r="E46" s="1468">
        <v>301</v>
      </c>
      <c r="F46" s="1469">
        <v>168</v>
      </c>
      <c r="G46" s="3296">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297">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297">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298">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8" thickBot="1">
      <c r="A50" s="1460" t="s">
        <v>1178</v>
      </c>
      <c r="B50" s="1510">
        <v>214</v>
      </c>
      <c r="C50" s="1510">
        <v>188</v>
      </c>
      <c r="D50" s="1510">
        <f t="shared" si="119"/>
        <v>188</v>
      </c>
      <c r="E50" s="1510">
        <v>289</v>
      </c>
      <c r="F50" s="1511">
        <v>166</v>
      </c>
      <c r="G50" s="3296">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297">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297">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8"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298">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8" thickBot="1">
      <c r="A54" s="1460" t="s">
        <v>1182</v>
      </c>
      <c r="B54" s="1468">
        <v>188</v>
      </c>
      <c r="C54" s="1468">
        <v>165</v>
      </c>
      <c r="D54" s="1468">
        <f t="shared" si="119"/>
        <v>165</v>
      </c>
      <c r="E54" s="1468">
        <v>254</v>
      </c>
      <c r="F54" s="1469">
        <v>148</v>
      </c>
      <c r="G54" s="3296">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297">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297">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298">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8" thickBot="1">
      <c r="A58" s="1460" t="s">
        <v>1186</v>
      </c>
      <c r="B58" s="1489">
        <v>159</v>
      </c>
      <c r="C58" s="1489">
        <v>141</v>
      </c>
      <c r="D58" s="1489">
        <f t="shared" si="119"/>
        <v>141</v>
      </c>
      <c r="E58" s="1489">
        <v>195</v>
      </c>
      <c r="F58" s="1490">
        <v>122</v>
      </c>
      <c r="G58" s="3296">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297">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297">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298">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8" thickBot="1">
      <c r="A62" s="1460" t="s">
        <v>1190</v>
      </c>
      <c r="B62" s="1489">
        <v>138</v>
      </c>
      <c r="C62" s="1489">
        <v>131</v>
      </c>
      <c r="D62" s="1489">
        <f t="shared" si="119"/>
        <v>131</v>
      </c>
      <c r="E62" s="1489">
        <v>155</v>
      </c>
      <c r="F62" s="1490">
        <v>114</v>
      </c>
      <c r="G62" s="3296">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297">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297">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298">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8" thickBot="1">
      <c r="A66" s="1460" t="s">
        <v>1194</v>
      </c>
      <c r="B66" s="1510">
        <v>121</v>
      </c>
      <c r="C66" s="1510">
        <v>122</v>
      </c>
      <c r="D66" s="1510">
        <f t="shared" si="119"/>
        <v>122</v>
      </c>
      <c r="E66" s="1510">
        <v>124</v>
      </c>
      <c r="F66" s="1511">
        <v>107</v>
      </c>
      <c r="G66" s="3296">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297">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297">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8"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298">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8" thickBot="1">
      <c r="A70" s="1460" t="s">
        <v>1198</v>
      </c>
      <c r="B70" s="1531">
        <v>111</v>
      </c>
      <c r="C70" s="1531">
        <v>114</v>
      </c>
      <c r="D70" s="1531">
        <f t="shared" si="119"/>
        <v>114</v>
      </c>
      <c r="E70" s="1531">
        <v>108</v>
      </c>
      <c r="F70" s="1532">
        <v>104</v>
      </c>
      <c r="G70" s="3296">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297">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297">
        <v>2003</v>
      </c>
      <c r="H72" s="1464">
        <v>2</v>
      </c>
      <c r="I72" s="1533"/>
      <c r="J72" s="1533"/>
      <c r="K72" s="1533"/>
      <c r="L72" s="1533"/>
      <c r="X72" s="1525"/>
      <c r="Y72" s="1525"/>
      <c r="Z72" s="1525"/>
    </row>
    <row r="73" spans="1:26" ht="13.8" thickBot="1">
      <c r="A73" s="1460" t="s">
        <v>1201</v>
      </c>
      <c r="B73" s="1535">
        <f t="shared" si="155"/>
        <v>107.25</v>
      </c>
      <c r="C73" s="1535">
        <f t="shared" si="155"/>
        <v>108.75</v>
      </c>
      <c r="D73" s="1535">
        <f t="shared" si="119"/>
        <v>108.75</v>
      </c>
      <c r="E73" s="1535">
        <f t="shared" si="156"/>
        <v>105.75</v>
      </c>
      <c r="F73" s="1535">
        <f t="shared" si="156"/>
        <v>102.5</v>
      </c>
      <c r="G73" s="3298">
        <v>2003</v>
      </c>
      <c r="H73" s="1536">
        <v>1</v>
      </c>
      <c r="I73" s="1533"/>
      <c r="J73" s="1533"/>
      <c r="K73" s="1533"/>
      <c r="L73" s="1533"/>
      <c r="S73" s="1471"/>
      <c r="T73" s="1472"/>
      <c r="U73" s="1472"/>
      <c r="X73" s="1525"/>
      <c r="Y73" s="1525"/>
      <c r="Z73" s="1525"/>
    </row>
    <row r="74" spans="1:26" ht="13.8" thickBot="1">
      <c r="A74" s="1460" t="s">
        <v>1202</v>
      </c>
      <c r="B74" s="1537">
        <v>106</v>
      </c>
      <c r="C74" s="1537">
        <v>107</v>
      </c>
      <c r="D74" s="1537">
        <f t="shared" si="119"/>
        <v>107</v>
      </c>
      <c r="E74" s="1537">
        <v>105</v>
      </c>
      <c r="F74" s="1538">
        <v>102</v>
      </c>
      <c r="G74" s="3296">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297">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297">
        <v>2002</v>
      </c>
      <c r="H76" s="1464">
        <v>2</v>
      </c>
      <c r="I76" s="1533"/>
      <c r="J76" s="1533"/>
      <c r="K76" s="1533"/>
      <c r="L76" s="1533"/>
      <c r="X76" s="1525"/>
      <c r="Y76" s="1525"/>
      <c r="Z76" s="1525"/>
    </row>
    <row r="77" spans="1:26" s="1497" customFormat="1" ht="13.8" thickBot="1">
      <c r="A77" s="1493" t="s">
        <v>1205</v>
      </c>
      <c r="B77" s="1539">
        <f t="shared" si="157"/>
        <v>103</v>
      </c>
      <c r="C77" s="1539">
        <f t="shared" si="157"/>
        <v>104</v>
      </c>
      <c r="D77" s="1539">
        <f t="shared" si="119"/>
        <v>104</v>
      </c>
      <c r="E77" s="1539">
        <f t="shared" si="158"/>
        <v>103.5</v>
      </c>
      <c r="F77" s="1539">
        <f t="shared" si="158"/>
        <v>100.5</v>
      </c>
      <c r="G77" s="3298">
        <v>2002</v>
      </c>
      <c r="H77" s="1540">
        <v>1</v>
      </c>
      <c r="I77" s="1541"/>
      <c r="J77" s="1541"/>
      <c r="K77" s="1541"/>
      <c r="L77" s="1541"/>
      <c r="N77" s="1542"/>
      <c r="S77" s="1542"/>
      <c r="X77" s="1543"/>
      <c r="Y77" s="1543"/>
      <c r="Z77" s="1543"/>
    </row>
    <row r="78" spans="1:26" ht="13.8"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8"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8"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1615</v>
      </c>
      <c r="B1" s="1957"/>
      <c r="C1" s="1957"/>
      <c r="D1" s="1957"/>
      <c r="E1" s="1957"/>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7.399999999999999">
      <c r="A3" s="2990" t="str">
        <f>IF(项目基本情况!B9="房地产市场价值","估价结果一览表（市场价值不需“结果表-1”）","估价结果一览表")</f>
        <v>估价结果一览表</v>
      </c>
      <c r="B3" s="2990"/>
      <c r="C3" s="2990"/>
      <c r="D3" s="2990"/>
      <c r="E3" s="2990"/>
    </row>
    <row r="4" spans="1:5" ht="18" thickBot="1">
      <c r="A4" s="1959"/>
      <c r="B4" s="2988" t="s">
        <v>1624</v>
      </c>
      <c r="C4" s="2988"/>
      <c r="D4" s="2988"/>
      <c r="E4" s="1959"/>
    </row>
    <row r="5" spans="1:5" ht="16.2" thickTop="1">
      <c r="A5" s="1957"/>
      <c r="B5" s="2986" t="s">
        <v>1616</v>
      </c>
      <c r="C5" s="1960" t="s">
        <v>1617</v>
      </c>
      <c r="D5" s="1040">
        <f ca="1">结果表!H101</f>
        <v>33814</v>
      </c>
      <c r="E5" s="1957"/>
    </row>
    <row r="6" spans="1:5" ht="15.6">
      <c r="A6" s="1957"/>
      <c r="B6" s="2986"/>
      <c r="C6" s="1960" t="s">
        <v>1618</v>
      </c>
      <c r="D6" s="1040" t="str">
        <f ca="1">NUMBERSTRING(INT(D5*10000),2)&amp;"元整"</f>
        <v>叁亿叁仟捌佰壹拾肆万元整</v>
      </c>
      <c r="E6" s="1957"/>
    </row>
    <row r="7" spans="1:5" ht="15.6">
      <c r="A7" s="1957"/>
      <c r="B7" s="2991"/>
      <c r="C7" s="1961" t="s">
        <v>1619</v>
      </c>
      <c r="D7" s="1041">
        <f ca="1">结果表!H102</f>
        <v>75864</v>
      </c>
      <c r="E7" s="1957"/>
    </row>
    <row r="8" spans="1:5" ht="15.6">
      <c r="A8" s="1957"/>
      <c r="B8" s="2992" t="str">
        <f>结果表!E103</f>
        <v>2.估价师知悉的法定优先受偿款</v>
      </c>
      <c r="C8" s="1962" t="s">
        <v>1620</v>
      </c>
      <c r="D8" s="1041">
        <f>结果表!H103</f>
        <v>0</v>
      </c>
      <c r="E8" s="1957"/>
    </row>
    <row r="9" spans="1:5" ht="15.6">
      <c r="A9" s="1957"/>
      <c r="B9" s="2994"/>
      <c r="C9" s="1960" t="s">
        <v>1618</v>
      </c>
      <c r="D9" s="1040" t="str">
        <f>NUMBERSTRING(INT(D8*10000),2)&amp;"元整"</f>
        <v>零元整</v>
      </c>
      <c r="E9" s="1957"/>
    </row>
    <row r="10" spans="1:5" ht="15.6">
      <c r="A10" s="1957"/>
      <c r="B10" s="1963" t="s">
        <v>1623</v>
      </c>
      <c r="C10" s="1964" t="s">
        <v>1621</v>
      </c>
      <c r="D10" s="1042">
        <f>结果表!H104</f>
        <v>0</v>
      </c>
      <c r="E10" s="1957"/>
    </row>
    <row r="11" spans="1:5" ht="15.6">
      <c r="A11" s="1957"/>
      <c r="B11" s="1963" t="s">
        <v>1625</v>
      </c>
      <c r="C11" s="1964" t="s">
        <v>1626</v>
      </c>
      <c r="D11" s="1042">
        <f>结果表!H105</f>
        <v>0</v>
      </c>
      <c r="E11" s="1957"/>
    </row>
    <row r="12" spans="1:5" ht="15.6">
      <c r="A12" s="1957"/>
      <c r="B12" s="1963" t="s">
        <v>1627</v>
      </c>
      <c r="C12" s="1964" t="s">
        <v>1626</v>
      </c>
      <c r="D12" s="1042">
        <f>结果表!H106</f>
        <v>0</v>
      </c>
      <c r="E12" s="1957"/>
    </row>
    <row r="13" spans="1:5" ht="15.6">
      <c r="A13" s="1957"/>
      <c r="B13" s="2985" t="str">
        <f>结果表!E107</f>
        <v>3.房地产抵押价值</v>
      </c>
      <c r="C13" s="1965" t="s">
        <v>1617</v>
      </c>
      <c r="D13" s="1043">
        <f ca="1">结果表!H107</f>
        <v>33814</v>
      </c>
      <c r="E13" s="1957"/>
    </row>
    <row r="14" spans="1:5" ht="15.6">
      <c r="A14" s="1957"/>
      <c r="B14" s="2986"/>
      <c r="C14" s="1960" t="s">
        <v>1618</v>
      </c>
      <c r="D14" s="1040" t="str">
        <f ca="1">NUMBERSTRING(INT(D13*10000),2)&amp;"元整"</f>
        <v>叁亿叁仟捌佰壹拾肆万元整</v>
      </c>
      <c r="E14" s="1957"/>
    </row>
    <row r="15" spans="1:5" ht="15.6">
      <c r="A15" s="1957"/>
      <c r="B15" s="2991"/>
      <c r="C15" s="1961" t="s">
        <v>1628</v>
      </c>
      <c r="D15" s="1052">
        <f ca="1">结果表!H108</f>
        <v>75864</v>
      </c>
      <c r="E15" s="1957"/>
    </row>
    <row r="16" spans="1:5" ht="15.6">
      <c r="A16" s="1957"/>
      <c r="B16" s="2992" t="str">
        <f>结果表!E109</f>
        <v>——</v>
      </c>
      <c r="C16" s="1965" t="s">
        <v>1629</v>
      </c>
      <c r="D16" s="1966" t="str">
        <f>结果表!H109</f>
        <v>——</v>
      </c>
      <c r="E16" s="1957"/>
    </row>
    <row r="17" spans="1:5" ht="15.6">
      <c r="A17" s="1957"/>
      <c r="B17" s="2993"/>
      <c r="C17" s="1960" t="s">
        <v>1630</v>
      </c>
      <c r="D17" s="1040" t="e">
        <f>NUMBERSTRING(INT(D16*10000),2)&amp;"元整"</f>
        <v>#VALUE!</v>
      </c>
      <c r="E17" s="1957"/>
    </row>
    <row r="18" spans="1:5" ht="15.6">
      <c r="A18" s="1957"/>
      <c r="B18" s="2994"/>
      <c r="C18" s="1961" t="s">
        <v>1619</v>
      </c>
      <c r="D18" s="1052" t="str">
        <f>结果表!H110</f>
        <v>——</v>
      </c>
      <c r="E18" s="1957"/>
    </row>
    <row r="19" spans="1:5" ht="15.6">
      <c r="A19" s="1957"/>
      <c r="B19" s="2985" t="str">
        <f>结果表!E111</f>
        <v>——</v>
      </c>
      <c r="C19" s="1965" t="s">
        <v>1617</v>
      </c>
      <c r="D19" s="1041" t="str">
        <f>结果表!H111</f>
        <v>——</v>
      </c>
      <c r="E19" s="1957"/>
    </row>
    <row r="20" spans="1:5" ht="15.6">
      <c r="A20" s="1957"/>
      <c r="B20" s="2986"/>
      <c r="C20" s="1960" t="s">
        <v>1630</v>
      </c>
      <c r="D20" s="1040" t="e">
        <f>NUMBERSTRING(INT(D19*10000),2)&amp;"元整"</f>
        <v>#VALUE!</v>
      </c>
      <c r="E20" s="1957"/>
    </row>
    <row r="21" spans="1:5" ht="16.2" thickBot="1">
      <c r="A21" s="1957"/>
      <c r="B21" s="2987"/>
      <c r="C21" s="1967" t="s">
        <v>1628</v>
      </c>
      <c r="D21" s="1053" t="str">
        <f>结果表!H112</f>
        <v>——</v>
      </c>
      <c r="E21" s="1957"/>
    </row>
    <row r="22" spans="1:5" ht="14.4" thickTop="1">
      <c r="A22" s="1957"/>
      <c r="B22" s="1968" t="s">
        <v>1631</v>
      </c>
      <c r="C22" s="1957"/>
      <c r="D22" s="1957"/>
      <c r="E22" s="1957"/>
    </row>
    <row r="23" spans="1:5">
      <c r="A23" s="1957"/>
      <c r="B23" s="1957"/>
      <c r="C23" s="1957"/>
      <c r="D23" s="1957"/>
      <c r="E23" s="1957"/>
    </row>
    <row r="24" spans="1:5" ht="17.399999999999999">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85" activePane="bottomLeft" state="frozen"/>
      <selection activeCell="C50" sqref="C50"/>
      <selection pane="bottomLeft" activeCell="U86" sqref="U8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306" t="s">
        <v>3000</v>
      </c>
      <c r="D1" s="3307"/>
      <c r="E1" s="3307"/>
      <c r="F1" s="3307"/>
      <c r="G1" s="3307"/>
      <c r="H1" s="3307"/>
      <c r="I1" s="3307"/>
      <c r="J1" s="3307"/>
      <c r="K1" s="3307"/>
      <c r="L1" s="3307"/>
      <c r="M1" s="3307"/>
      <c r="N1" s="3307"/>
      <c r="O1" s="3307"/>
      <c r="P1" s="3307"/>
      <c r="Q1" s="3307"/>
      <c r="R1" s="3307"/>
      <c r="S1" s="3308"/>
      <c r="T1" s="1204" t="s">
        <v>3001</v>
      </c>
    </row>
    <row r="2" spans="1:45" s="707" customFormat="1" ht="39.6">
      <c r="A2" s="1205"/>
      <c r="B2" s="703" t="s">
        <v>3002</v>
      </c>
      <c r="C2" s="704" t="str">
        <f t="shared" ref="C2:L2" si="0">C3&amp;"(含)"&amp;"-"&amp;D3</f>
        <v>0(含)-50</v>
      </c>
      <c r="D2" s="705" t="str">
        <f t="shared" si="0"/>
        <v>50(含)-90</v>
      </c>
      <c r="E2" s="705" t="str">
        <f t="shared" si="0"/>
        <v>90(含)-120</v>
      </c>
      <c r="F2" s="705" t="str">
        <f t="shared" si="0"/>
        <v>120(含)-150</v>
      </c>
      <c r="G2" s="705" t="str">
        <f t="shared" si="0"/>
        <v>150(含)-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v>
      </c>
      <c r="E3" s="710">
        <v>90</v>
      </c>
      <c r="F3" s="1703">
        <v>120</v>
      </c>
      <c r="G3" s="1703">
        <v>150</v>
      </c>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v>100</v>
      </c>
      <c r="D4" s="1211">
        <v>98</v>
      </c>
      <c r="E4" s="1211">
        <v>96</v>
      </c>
      <c r="F4" s="1707">
        <v>94</v>
      </c>
      <c r="G4" s="1707">
        <v>92</v>
      </c>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3003</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3004</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3005</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2957" t="s">
        <v>3087</v>
      </c>
      <c r="C15" s="2958" t="s">
        <v>3089</v>
      </c>
      <c r="D15" s="2959" t="s">
        <v>3090</v>
      </c>
      <c r="E15" s="2959" t="s">
        <v>3091</v>
      </c>
      <c r="F15" s="2959" t="s">
        <v>3092</v>
      </c>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v>100</v>
      </c>
      <c r="D16" s="1211">
        <v>98</v>
      </c>
      <c r="E16" s="1211">
        <v>96</v>
      </c>
      <c r="F16" s="1211">
        <v>94</v>
      </c>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3008</v>
      </c>
      <c r="B17" s="2909" t="s">
        <v>3009</v>
      </c>
      <c r="C17" s="2956"/>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3010</v>
      </c>
      <c r="E19" s="1791"/>
      <c r="F19" s="1791"/>
      <c r="G19" s="1791"/>
      <c r="H19" s="1279"/>
      <c r="I19" s="168"/>
      <c r="J19" s="168"/>
      <c r="K19" s="168"/>
      <c r="L19" s="168"/>
      <c r="M19" s="168"/>
      <c r="N19" s="168"/>
      <c r="O19" s="168"/>
      <c r="P19" s="168"/>
      <c r="Q19" s="168"/>
      <c r="R19" s="788"/>
      <c r="S19" s="138"/>
    </row>
    <row r="20" spans="1:45" ht="16.2" thickBot="1">
      <c r="A20" s="715" t="s">
        <v>3011</v>
      </c>
      <c r="B20" s="338">
        <f ca="1">IF(D20="——",S22,S22-F20)</f>
        <v>33814</v>
      </c>
      <c r="C20" s="168"/>
      <c r="D20" s="2911" t="s">
        <v>70</v>
      </c>
      <c r="E20" s="1792"/>
      <c r="F20" s="1204" t="e">
        <f ca="1">SUMIF(INDIRECT("'"&amp;H20&amp;"'"&amp;"!A:A"),"承租人权益价值",INDIRECT("'"&amp;H20&amp;"'"&amp;"!c:c"))</f>
        <v>#REF!</v>
      </c>
      <c r="G20" s="1204" t="s">
        <v>3012</v>
      </c>
      <c r="H20" s="2912"/>
      <c r="I20" s="168"/>
      <c r="J20" s="168"/>
      <c r="K20" s="168"/>
      <c r="L20" s="168"/>
      <c r="M20" s="168"/>
      <c r="N20" s="168"/>
      <c r="O20" s="168"/>
      <c r="P20" s="168"/>
      <c r="Q20" s="168"/>
      <c r="R20" s="788"/>
      <c r="S20" s="138"/>
    </row>
    <row r="21" spans="1:45" ht="15.6">
      <c r="A21" s="715" t="s">
        <v>3013</v>
      </c>
      <c r="B21" s="338">
        <f ca="1">R22</f>
        <v>75864</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4457.2</v>
      </c>
      <c r="C22" s="3085" t="s">
        <v>33</v>
      </c>
      <c r="D22" s="3086"/>
      <c r="E22" s="3086"/>
      <c r="F22" s="3086"/>
      <c r="G22" s="3086"/>
      <c r="H22" s="3086"/>
      <c r="I22" s="3086"/>
      <c r="J22" s="3086"/>
      <c r="K22" s="3086"/>
      <c r="L22" s="3086"/>
      <c r="M22" s="3086"/>
      <c r="N22" s="3086"/>
      <c r="O22" s="3086"/>
      <c r="P22" s="3086"/>
      <c r="Q22" s="3305"/>
      <c r="R22" s="716">
        <f ca="1">ROUND(S22*10000/B22,0)</f>
        <v>75864</v>
      </c>
      <c r="S22" s="24">
        <f ca="1">SUM(S24:S10000)</f>
        <v>33814</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朝向</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Sheet1!A2</f>
        <v>青年公寓101</v>
      </c>
      <c r="B24" s="718">
        <f>Sheet1!C2</f>
        <v>65</v>
      </c>
      <c r="C24" s="719">
        <v>1</v>
      </c>
      <c r="D24" s="720"/>
      <c r="E24" s="719">
        <v>1</v>
      </c>
      <c r="F24" s="720"/>
      <c r="G24" s="719">
        <v>1</v>
      </c>
      <c r="H24" s="720"/>
      <c r="I24" s="719">
        <v>1</v>
      </c>
      <c r="J24" s="720"/>
      <c r="K24" s="719">
        <v>1</v>
      </c>
      <c r="L24" s="720"/>
      <c r="M24" s="719">
        <v>1</v>
      </c>
      <c r="N24" s="720" t="s">
        <v>3088</v>
      </c>
      <c r="O24" s="719">
        <v>1</v>
      </c>
      <c r="P24" s="720"/>
      <c r="Q24" s="719">
        <v>1</v>
      </c>
      <c r="R24" s="721">
        <f ca="1">'结果表 (典型)'!C32</f>
        <v>76262</v>
      </c>
      <c r="S24" s="719">
        <f t="shared" ref="S24:S54" ca="1" si="11">ROUND(R24*B24/10000,0)</f>
        <v>496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Sheet1!A3</f>
        <v>青年公寓103</v>
      </c>
      <c r="B25" s="718">
        <f>Sheet1!C3</f>
        <v>65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t="s">
        <v>3088</v>
      </c>
      <c r="O25" s="24">
        <f>(SUMIF($15:$15,N25,$16:$16)-SUMIF($15:$15,$N$24,$16:$16)+100)/100</f>
        <v>1</v>
      </c>
      <c r="P25" s="720"/>
      <c r="Q25" s="24">
        <f>(SUMIF($17:$17,P25,$18:$18)-SUMIF($17:$17,$P$24,$18:$18)+100)/100</f>
        <v>1</v>
      </c>
      <c r="R25" s="716">
        <f ca="1">IF(B25="",0,ROUND($R$24*C25*E25*G25*I25*K25*M25*O25*Q25,0))</f>
        <v>76262</v>
      </c>
      <c r="S25" s="361">
        <f t="shared" ca="1" si="11"/>
        <v>496</v>
      </c>
    </row>
    <row r="26" spans="1:45">
      <c r="A26" s="718" t="str">
        <f>Sheet1!A4</f>
        <v>青年公寓201</v>
      </c>
      <c r="B26" s="718">
        <f>Sheet1!C4</f>
        <v>65</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t="s">
        <v>3088</v>
      </c>
      <c r="O26" s="24">
        <f t="shared" ref="O26:O89" si="18">(SUMIF($15:$15,N26,$16:$16)-SUMIF($15:$15,$N$24,$16:$16)+100)/100</f>
        <v>1</v>
      </c>
      <c r="P26" s="720"/>
      <c r="Q26" s="24">
        <f t="shared" ref="Q26:Q89" si="19">(SUMIF($17:$17,P26,$18:$18)-SUMIF($17:$17,$P$24,$18:$18)+100)/100</f>
        <v>1</v>
      </c>
      <c r="R26" s="716">
        <f t="shared" ref="R26:R89" ca="1" si="20">IF(B26="",0,ROUND($R$24*C26*E26*G26*I26*K26*M26*O26*Q26,0))</f>
        <v>76262</v>
      </c>
      <c r="S26" s="361">
        <f t="shared" ca="1" si="11"/>
        <v>496</v>
      </c>
    </row>
    <row r="27" spans="1:45">
      <c r="A27" s="718" t="str">
        <f>Sheet1!A5</f>
        <v>青年公寓202</v>
      </c>
      <c r="B27" s="718">
        <f>Sheet1!C5</f>
        <v>65</v>
      </c>
      <c r="C27" s="24">
        <f t="shared" si="12"/>
        <v>1</v>
      </c>
      <c r="D27" s="720"/>
      <c r="E27" s="24">
        <f t="shared" si="13"/>
        <v>1</v>
      </c>
      <c r="F27" s="720"/>
      <c r="G27" s="24">
        <f t="shared" si="14"/>
        <v>1</v>
      </c>
      <c r="H27" s="720"/>
      <c r="I27" s="24">
        <f t="shared" si="15"/>
        <v>1</v>
      </c>
      <c r="J27" s="720"/>
      <c r="K27" s="24">
        <f t="shared" si="16"/>
        <v>1</v>
      </c>
      <c r="L27" s="720"/>
      <c r="M27" s="24">
        <f t="shared" si="17"/>
        <v>1</v>
      </c>
      <c r="N27" s="720" t="s">
        <v>3088</v>
      </c>
      <c r="O27" s="24">
        <f t="shared" si="18"/>
        <v>1</v>
      </c>
      <c r="P27" s="720"/>
      <c r="Q27" s="24">
        <f t="shared" si="19"/>
        <v>1</v>
      </c>
      <c r="R27" s="716">
        <f t="shared" ca="1" si="20"/>
        <v>76262</v>
      </c>
      <c r="S27" s="361">
        <f t="shared" ca="1" si="11"/>
        <v>496</v>
      </c>
    </row>
    <row r="28" spans="1:45">
      <c r="A28" s="718" t="str">
        <f>Sheet1!A6</f>
        <v>青年公寓203</v>
      </c>
      <c r="B28" s="718">
        <f>Sheet1!C6</f>
        <v>65</v>
      </c>
      <c r="C28" s="24">
        <f t="shared" si="12"/>
        <v>1</v>
      </c>
      <c r="D28" s="720"/>
      <c r="E28" s="24">
        <f t="shared" si="13"/>
        <v>1</v>
      </c>
      <c r="F28" s="720"/>
      <c r="G28" s="24">
        <f t="shared" si="14"/>
        <v>1</v>
      </c>
      <c r="H28" s="720"/>
      <c r="I28" s="24">
        <f t="shared" si="15"/>
        <v>1</v>
      </c>
      <c r="J28" s="720"/>
      <c r="K28" s="24">
        <f t="shared" si="16"/>
        <v>1</v>
      </c>
      <c r="L28" s="720"/>
      <c r="M28" s="24">
        <f t="shared" si="17"/>
        <v>1</v>
      </c>
      <c r="N28" s="720" t="s">
        <v>3088</v>
      </c>
      <c r="O28" s="24">
        <f t="shared" si="18"/>
        <v>1</v>
      </c>
      <c r="P28" s="720"/>
      <c r="Q28" s="24">
        <f t="shared" si="19"/>
        <v>1</v>
      </c>
      <c r="R28" s="716">
        <f t="shared" ca="1" si="20"/>
        <v>76262</v>
      </c>
      <c r="S28" s="361">
        <f t="shared" ca="1" si="11"/>
        <v>496</v>
      </c>
    </row>
    <row r="29" spans="1:45">
      <c r="A29" s="718" t="str">
        <f>Sheet1!A7</f>
        <v>青年公寓204</v>
      </c>
      <c r="B29" s="718">
        <f>Sheet1!C7</f>
        <v>65</v>
      </c>
      <c r="C29" s="24">
        <f t="shared" si="12"/>
        <v>1</v>
      </c>
      <c r="D29" s="720"/>
      <c r="E29" s="24">
        <f t="shared" si="13"/>
        <v>1</v>
      </c>
      <c r="F29" s="720"/>
      <c r="G29" s="24">
        <f t="shared" si="14"/>
        <v>1</v>
      </c>
      <c r="H29" s="720"/>
      <c r="I29" s="24">
        <f t="shared" si="15"/>
        <v>1</v>
      </c>
      <c r="J29" s="720"/>
      <c r="K29" s="24">
        <f t="shared" si="16"/>
        <v>1</v>
      </c>
      <c r="L29" s="720"/>
      <c r="M29" s="24">
        <f t="shared" si="17"/>
        <v>1</v>
      </c>
      <c r="N29" s="720" t="s">
        <v>3088</v>
      </c>
      <c r="O29" s="24">
        <f t="shared" si="18"/>
        <v>1</v>
      </c>
      <c r="P29" s="720"/>
      <c r="Q29" s="24">
        <f t="shared" si="19"/>
        <v>1</v>
      </c>
      <c r="R29" s="716">
        <f t="shared" ca="1" si="20"/>
        <v>76262</v>
      </c>
      <c r="S29" s="361">
        <f t="shared" ca="1" si="11"/>
        <v>496</v>
      </c>
    </row>
    <row r="30" spans="1:45">
      <c r="A30" s="718" t="str">
        <f>Sheet1!A8</f>
        <v>青年公寓205</v>
      </c>
      <c r="B30" s="718">
        <f>Sheet1!C8</f>
        <v>65</v>
      </c>
      <c r="C30" s="24">
        <f t="shared" si="12"/>
        <v>1</v>
      </c>
      <c r="D30" s="720"/>
      <c r="E30" s="24">
        <f t="shared" si="13"/>
        <v>1</v>
      </c>
      <c r="F30" s="720"/>
      <c r="G30" s="24">
        <f t="shared" si="14"/>
        <v>1</v>
      </c>
      <c r="H30" s="720"/>
      <c r="I30" s="24">
        <f t="shared" si="15"/>
        <v>1</v>
      </c>
      <c r="J30" s="720"/>
      <c r="K30" s="24">
        <f t="shared" si="16"/>
        <v>1</v>
      </c>
      <c r="L30" s="720"/>
      <c r="M30" s="24">
        <f t="shared" si="17"/>
        <v>1</v>
      </c>
      <c r="N30" s="720" t="s">
        <v>3088</v>
      </c>
      <c r="O30" s="24">
        <f t="shared" si="18"/>
        <v>1</v>
      </c>
      <c r="P30" s="720"/>
      <c r="Q30" s="24">
        <f t="shared" si="19"/>
        <v>1</v>
      </c>
      <c r="R30" s="716">
        <f t="shared" ca="1" si="20"/>
        <v>76262</v>
      </c>
      <c r="S30" s="361">
        <f t="shared" ca="1" si="11"/>
        <v>496</v>
      </c>
    </row>
    <row r="31" spans="1:45">
      <c r="A31" s="718" t="str">
        <f>Sheet1!A9</f>
        <v>青年公寓206</v>
      </c>
      <c r="B31" s="718">
        <f>Sheet1!C9</f>
        <v>65</v>
      </c>
      <c r="C31" s="24">
        <f t="shared" si="12"/>
        <v>1</v>
      </c>
      <c r="D31" s="720"/>
      <c r="E31" s="24">
        <f t="shared" si="13"/>
        <v>1</v>
      </c>
      <c r="F31" s="720"/>
      <c r="G31" s="24">
        <f t="shared" si="14"/>
        <v>1</v>
      </c>
      <c r="H31" s="720"/>
      <c r="I31" s="24">
        <f t="shared" si="15"/>
        <v>1</v>
      </c>
      <c r="J31" s="720"/>
      <c r="K31" s="24">
        <f t="shared" si="16"/>
        <v>1</v>
      </c>
      <c r="L31" s="720"/>
      <c r="M31" s="24">
        <f t="shared" si="17"/>
        <v>1</v>
      </c>
      <c r="N31" s="720" t="s">
        <v>3088</v>
      </c>
      <c r="O31" s="24">
        <f t="shared" si="18"/>
        <v>1</v>
      </c>
      <c r="P31" s="720"/>
      <c r="Q31" s="24">
        <f t="shared" si="19"/>
        <v>1</v>
      </c>
      <c r="R31" s="716">
        <f t="shared" ca="1" si="20"/>
        <v>76262</v>
      </c>
      <c r="S31" s="361">
        <f t="shared" ca="1" si="11"/>
        <v>496</v>
      </c>
    </row>
    <row r="32" spans="1:45">
      <c r="A32" s="718" t="str">
        <f>Sheet1!A10</f>
        <v>青年公寓207</v>
      </c>
      <c r="B32" s="718">
        <f>Sheet1!C10</f>
        <v>65</v>
      </c>
      <c r="C32" s="24">
        <f t="shared" si="12"/>
        <v>1</v>
      </c>
      <c r="D32" s="720"/>
      <c r="E32" s="24">
        <f t="shared" si="13"/>
        <v>1</v>
      </c>
      <c r="F32" s="720"/>
      <c r="G32" s="24">
        <f t="shared" si="14"/>
        <v>1</v>
      </c>
      <c r="H32" s="720"/>
      <c r="I32" s="24">
        <f t="shared" si="15"/>
        <v>1</v>
      </c>
      <c r="J32" s="720"/>
      <c r="K32" s="24">
        <f t="shared" si="16"/>
        <v>1</v>
      </c>
      <c r="L32" s="720"/>
      <c r="M32" s="24">
        <f t="shared" si="17"/>
        <v>1</v>
      </c>
      <c r="N32" s="720" t="s">
        <v>3088</v>
      </c>
      <c r="O32" s="24">
        <f t="shared" si="18"/>
        <v>1</v>
      </c>
      <c r="P32" s="720"/>
      <c r="Q32" s="24">
        <f t="shared" si="19"/>
        <v>1</v>
      </c>
      <c r="R32" s="716">
        <f t="shared" ca="1" si="20"/>
        <v>76262</v>
      </c>
      <c r="S32" s="361">
        <f t="shared" ca="1" si="11"/>
        <v>496</v>
      </c>
    </row>
    <row r="33" spans="1:19">
      <c r="A33" s="718" t="str">
        <f>Sheet1!A11</f>
        <v>青年公寓208</v>
      </c>
      <c r="B33" s="718">
        <f>Sheet1!C11</f>
        <v>65</v>
      </c>
      <c r="C33" s="24">
        <f t="shared" si="12"/>
        <v>1</v>
      </c>
      <c r="D33" s="720"/>
      <c r="E33" s="24">
        <f t="shared" si="13"/>
        <v>1</v>
      </c>
      <c r="F33" s="720"/>
      <c r="G33" s="24">
        <f t="shared" si="14"/>
        <v>1</v>
      </c>
      <c r="H33" s="720"/>
      <c r="I33" s="24">
        <f t="shared" si="15"/>
        <v>1</v>
      </c>
      <c r="J33" s="720"/>
      <c r="K33" s="24">
        <f t="shared" si="16"/>
        <v>1</v>
      </c>
      <c r="L33" s="720"/>
      <c r="M33" s="24">
        <f t="shared" si="17"/>
        <v>1</v>
      </c>
      <c r="N33" s="720" t="s">
        <v>3088</v>
      </c>
      <c r="O33" s="24">
        <f t="shared" si="18"/>
        <v>1</v>
      </c>
      <c r="P33" s="720"/>
      <c r="Q33" s="24">
        <f t="shared" si="19"/>
        <v>1</v>
      </c>
      <c r="R33" s="716">
        <f t="shared" ca="1" si="20"/>
        <v>76262</v>
      </c>
      <c r="S33" s="361">
        <f t="shared" ca="1" si="11"/>
        <v>496</v>
      </c>
    </row>
    <row r="34" spans="1:19">
      <c r="A34" s="718" t="str">
        <f>Sheet1!A12</f>
        <v>青年公寓209</v>
      </c>
      <c r="B34" s="718">
        <f>Sheet1!C12</f>
        <v>65</v>
      </c>
      <c r="C34" s="24">
        <f t="shared" si="12"/>
        <v>1</v>
      </c>
      <c r="D34" s="720"/>
      <c r="E34" s="24">
        <f t="shared" si="13"/>
        <v>1</v>
      </c>
      <c r="F34" s="720"/>
      <c r="G34" s="24">
        <f t="shared" si="14"/>
        <v>1</v>
      </c>
      <c r="H34" s="720"/>
      <c r="I34" s="24">
        <f t="shared" si="15"/>
        <v>1</v>
      </c>
      <c r="J34" s="720"/>
      <c r="K34" s="24">
        <f t="shared" si="16"/>
        <v>1</v>
      </c>
      <c r="L34" s="720"/>
      <c r="M34" s="24">
        <f t="shared" si="17"/>
        <v>1</v>
      </c>
      <c r="N34" s="720" t="s">
        <v>3088</v>
      </c>
      <c r="O34" s="24">
        <f t="shared" si="18"/>
        <v>1</v>
      </c>
      <c r="P34" s="720"/>
      <c r="Q34" s="24">
        <f t="shared" si="19"/>
        <v>1</v>
      </c>
      <c r="R34" s="716">
        <f t="shared" ca="1" si="20"/>
        <v>76262</v>
      </c>
      <c r="S34" s="361">
        <f t="shared" ca="1" si="11"/>
        <v>496</v>
      </c>
    </row>
    <row r="35" spans="1:19">
      <c r="A35" s="718" t="str">
        <f>Sheet1!A13</f>
        <v>青年公寓210</v>
      </c>
      <c r="B35" s="718">
        <f>Sheet1!C13</f>
        <v>65</v>
      </c>
      <c r="C35" s="24">
        <f t="shared" si="12"/>
        <v>1</v>
      </c>
      <c r="D35" s="720"/>
      <c r="E35" s="24">
        <f t="shared" si="13"/>
        <v>1</v>
      </c>
      <c r="F35" s="720"/>
      <c r="G35" s="24">
        <f t="shared" si="14"/>
        <v>1</v>
      </c>
      <c r="H35" s="720"/>
      <c r="I35" s="24">
        <f t="shared" si="15"/>
        <v>1</v>
      </c>
      <c r="J35" s="720"/>
      <c r="K35" s="24">
        <f t="shared" si="16"/>
        <v>1</v>
      </c>
      <c r="L35" s="720"/>
      <c r="M35" s="24">
        <f t="shared" si="17"/>
        <v>1</v>
      </c>
      <c r="N35" s="720" t="s">
        <v>3088</v>
      </c>
      <c r="O35" s="24">
        <f t="shared" si="18"/>
        <v>1</v>
      </c>
      <c r="P35" s="720"/>
      <c r="Q35" s="24">
        <f t="shared" si="19"/>
        <v>1</v>
      </c>
      <c r="R35" s="716">
        <f t="shared" ca="1" si="20"/>
        <v>76262</v>
      </c>
      <c r="S35" s="361">
        <f t="shared" ca="1" si="11"/>
        <v>496</v>
      </c>
    </row>
    <row r="36" spans="1:19">
      <c r="A36" s="718" t="str">
        <f>Sheet1!A14</f>
        <v>青年公寓211</v>
      </c>
      <c r="B36" s="718">
        <f>Sheet1!C14</f>
        <v>65</v>
      </c>
      <c r="C36" s="24">
        <f t="shared" si="12"/>
        <v>1</v>
      </c>
      <c r="D36" s="720"/>
      <c r="E36" s="24">
        <f t="shared" si="13"/>
        <v>1</v>
      </c>
      <c r="F36" s="720"/>
      <c r="G36" s="24">
        <f t="shared" si="14"/>
        <v>1</v>
      </c>
      <c r="H36" s="720"/>
      <c r="I36" s="24">
        <f t="shared" si="15"/>
        <v>1</v>
      </c>
      <c r="J36" s="720"/>
      <c r="K36" s="24">
        <f t="shared" si="16"/>
        <v>1</v>
      </c>
      <c r="L36" s="720"/>
      <c r="M36" s="24">
        <f t="shared" si="17"/>
        <v>1</v>
      </c>
      <c r="N36" s="720" t="s">
        <v>3088</v>
      </c>
      <c r="O36" s="24">
        <f t="shared" si="18"/>
        <v>1</v>
      </c>
      <c r="P36" s="720"/>
      <c r="Q36" s="24">
        <f t="shared" si="19"/>
        <v>1</v>
      </c>
      <c r="R36" s="716">
        <f t="shared" ca="1" si="20"/>
        <v>76262</v>
      </c>
      <c r="S36" s="361">
        <f t="shared" ca="1" si="11"/>
        <v>496</v>
      </c>
    </row>
    <row r="37" spans="1:19">
      <c r="A37" s="718" t="str">
        <f>Sheet1!A15</f>
        <v>青年公寓212</v>
      </c>
      <c r="B37" s="718">
        <f>Sheet1!C15</f>
        <v>65</v>
      </c>
      <c r="C37" s="24">
        <f t="shared" si="12"/>
        <v>1</v>
      </c>
      <c r="D37" s="720"/>
      <c r="E37" s="24">
        <f t="shared" si="13"/>
        <v>1</v>
      </c>
      <c r="F37" s="720"/>
      <c r="G37" s="24">
        <f t="shared" si="14"/>
        <v>1</v>
      </c>
      <c r="H37" s="720"/>
      <c r="I37" s="24">
        <f t="shared" si="15"/>
        <v>1</v>
      </c>
      <c r="J37" s="720"/>
      <c r="K37" s="24">
        <f t="shared" si="16"/>
        <v>1</v>
      </c>
      <c r="L37" s="720"/>
      <c r="M37" s="24">
        <f t="shared" si="17"/>
        <v>1</v>
      </c>
      <c r="N37" s="720" t="s">
        <v>3088</v>
      </c>
      <c r="O37" s="24">
        <f t="shared" si="18"/>
        <v>1</v>
      </c>
      <c r="P37" s="720"/>
      <c r="Q37" s="24">
        <f t="shared" si="19"/>
        <v>1</v>
      </c>
      <c r="R37" s="716">
        <f t="shared" ca="1" si="20"/>
        <v>76262</v>
      </c>
      <c r="S37" s="361">
        <f t="shared" ca="1" si="11"/>
        <v>496</v>
      </c>
    </row>
    <row r="38" spans="1:19">
      <c r="A38" s="718" t="str">
        <f>Sheet1!A16</f>
        <v>青年公寓301</v>
      </c>
      <c r="B38" s="718">
        <f>Sheet1!C16</f>
        <v>65</v>
      </c>
      <c r="C38" s="24">
        <f t="shared" si="12"/>
        <v>1</v>
      </c>
      <c r="D38" s="720"/>
      <c r="E38" s="24">
        <f t="shared" si="13"/>
        <v>1</v>
      </c>
      <c r="F38" s="720"/>
      <c r="G38" s="24">
        <f t="shared" si="14"/>
        <v>1</v>
      </c>
      <c r="H38" s="720"/>
      <c r="I38" s="24">
        <f t="shared" si="15"/>
        <v>1</v>
      </c>
      <c r="J38" s="720"/>
      <c r="K38" s="24">
        <f t="shared" si="16"/>
        <v>1</v>
      </c>
      <c r="L38" s="720"/>
      <c r="M38" s="24">
        <f t="shared" si="17"/>
        <v>1</v>
      </c>
      <c r="N38" s="720" t="s">
        <v>3088</v>
      </c>
      <c r="O38" s="24">
        <f t="shared" si="18"/>
        <v>1</v>
      </c>
      <c r="P38" s="720"/>
      <c r="Q38" s="24">
        <f t="shared" si="19"/>
        <v>1</v>
      </c>
      <c r="R38" s="716">
        <f t="shared" ca="1" si="20"/>
        <v>76262</v>
      </c>
      <c r="S38" s="361">
        <f t="shared" ca="1" si="11"/>
        <v>496</v>
      </c>
    </row>
    <row r="39" spans="1:19">
      <c r="A39" s="718" t="str">
        <f>Sheet1!A17</f>
        <v>青年公寓302</v>
      </c>
      <c r="B39" s="718">
        <f>Sheet1!C17</f>
        <v>65</v>
      </c>
      <c r="C39" s="24">
        <f t="shared" si="12"/>
        <v>1</v>
      </c>
      <c r="D39" s="720"/>
      <c r="E39" s="24">
        <f t="shared" si="13"/>
        <v>1</v>
      </c>
      <c r="F39" s="720"/>
      <c r="G39" s="24">
        <f t="shared" si="14"/>
        <v>1</v>
      </c>
      <c r="H39" s="720"/>
      <c r="I39" s="24">
        <f t="shared" si="15"/>
        <v>1</v>
      </c>
      <c r="J39" s="720"/>
      <c r="K39" s="24">
        <f t="shared" si="16"/>
        <v>1</v>
      </c>
      <c r="L39" s="720"/>
      <c r="M39" s="24">
        <f t="shared" si="17"/>
        <v>1</v>
      </c>
      <c r="N39" s="720" t="s">
        <v>3088</v>
      </c>
      <c r="O39" s="24">
        <f t="shared" si="18"/>
        <v>1</v>
      </c>
      <c r="P39" s="720"/>
      <c r="Q39" s="24">
        <f t="shared" si="19"/>
        <v>1</v>
      </c>
      <c r="R39" s="716">
        <f t="shared" ca="1" si="20"/>
        <v>76262</v>
      </c>
      <c r="S39" s="361">
        <f t="shared" ca="1" si="11"/>
        <v>496</v>
      </c>
    </row>
    <row r="40" spans="1:19">
      <c r="A40" s="718" t="str">
        <f>Sheet1!A18</f>
        <v>青年公寓303</v>
      </c>
      <c r="B40" s="718">
        <f>Sheet1!C18</f>
        <v>65</v>
      </c>
      <c r="C40" s="24">
        <f t="shared" si="12"/>
        <v>1</v>
      </c>
      <c r="D40" s="720"/>
      <c r="E40" s="24">
        <f t="shared" si="13"/>
        <v>1</v>
      </c>
      <c r="F40" s="720"/>
      <c r="G40" s="24">
        <f t="shared" si="14"/>
        <v>1</v>
      </c>
      <c r="H40" s="720"/>
      <c r="I40" s="24">
        <f t="shared" si="15"/>
        <v>1</v>
      </c>
      <c r="J40" s="720"/>
      <c r="K40" s="24">
        <f t="shared" si="16"/>
        <v>1</v>
      </c>
      <c r="L40" s="720"/>
      <c r="M40" s="24">
        <f t="shared" si="17"/>
        <v>1</v>
      </c>
      <c r="N40" s="720" t="s">
        <v>3088</v>
      </c>
      <c r="O40" s="24">
        <f t="shared" si="18"/>
        <v>1</v>
      </c>
      <c r="P40" s="720"/>
      <c r="Q40" s="24">
        <f t="shared" si="19"/>
        <v>1</v>
      </c>
      <c r="R40" s="716">
        <f t="shared" ca="1" si="20"/>
        <v>76262</v>
      </c>
      <c r="S40" s="361">
        <f t="shared" ca="1" si="11"/>
        <v>496</v>
      </c>
    </row>
    <row r="41" spans="1:19">
      <c r="A41" s="718" t="str">
        <f>Sheet1!A19</f>
        <v>青年公寓304</v>
      </c>
      <c r="B41" s="718">
        <f>Sheet1!C19</f>
        <v>65</v>
      </c>
      <c r="C41" s="24">
        <f t="shared" si="12"/>
        <v>1</v>
      </c>
      <c r="D41" s="720"/>
      <c r="E41" s="24">
        <f t="shared" si="13"/>
        <v>1</v>
      </c>
      <c r="F41" s="720"/>
      <c r="G41" s="24">
        <f t="shared" si="14"/>
        <v>1</v>
      </c>
      <c r="H41" s="720"/>
      <c r="I41" s="24">
        <f t="shared" si="15"/>
        <v>1</v>
      </c>
      <c r="J41" s="720"/>
      <c r="K41" s="24">
        <f t="shared" si="16"/>
        <v>1</v>
      </c>
      <c r="L41" s="720"/>
      <c r="M41" s="24">
        <f t="shared" si="17"/>
        <v>1</v>
      </c>
      <c r="N41" s="720" t="s">
        <v>3088</v>
      </c>
      <c r="O41" s="24">
        <f t="shared" si="18"/>
        <v>1</v>
      </c>
      <c r="P41" s="720"/>
      <c r="Q41" s="24">
        <f t="shared" si="19"/>
        <v>1</v>
      </c>
      <c r="R41" s="716">
        <f t="shared" ca="1" si="20"/>
        <v>76262</v>
      </c>
      <c r="S41" s="361">
        <f t="shared" ca="1" si="11"/>
        <v>496</v>
      </c>
    </row>
    <row r="42" spans="1:19">
      <c r="A42" s="718" t="str">
        <f>Sheet1!A20</f>
        <v>青年公寓305</v>
      </c>
      <c r="B42" s="718">
        <f>Sheet1!C20</f>
        <v>65</v>
      </c>
      <c r="C42" s="24">
        <f t="shared" si="12"/>
        <v>1</v>
      </c>
      <c r="D42" s="720"/>
      <c r="E42" s="24">
        <f t="shared" si="13"/>
        <v>1</v>
      </c>
      <c r="F42" s="720"/>
      <c r="G42" s="24">
        <f t="shared" si="14"/>
        <v>1</v>
      </c>
      <c r="H42" s="720"/>
      <c r="I42" s="24">
        <f t="shared" si="15"/>
        <v>1</v>
      </c>
      <c r="J42" s="720"/>
      <c r="K42" s="24">
        <f t="shared" si="16"/>
        <v>1</v>
      </c>
      <c r="L42" s="720"/>
      <c r="M42" s="24">
        <f t="shared" si="17"/>
        <v>1</v>
      </c>
      <c r="N42" s="720" t="s">
        <v>3088</v>
      </c>
      <c r="O42" s="24">
        <f t="shared" si="18"/>
        <v>1</v>
      </c>
      <c r="P42" s="720"/>
      <c r="Q42" s="24">
        <f t="shared" si="19"/>
        <v>1</v>
      </c>
      <c r="R42" s="716">
        <f t="shared" ca="1" si="20"/>
        <v>76262</v>
      </c>
      <c r="S42" s="361">
        <f t="shared" ca="1" si="11"/>
        <v>496</v>
      </c>
    </row>
    <row r="43" spans="1:19">
      <c r="A43" s="718" t="str">
        <f>Sheet1!A21</f>
        <v>青年公寓306</v>
      </c>
      <c r="B43" s="718">
        <f>Sheet1!C21</f>
        <v>65</v>
      </c>
      <c r="C43" s="24">
        <f t="shared" si="12"/>
        <v>1</v>
      </c>
      <c r="D43" s="720"/>
      <c r="E43" s="24">
        <f t="shared" si="13"/>
        <v>1</v>
      </c>
      <c r="F43" s="720"/>
      <c r="G43" s="24">
        <f t="shared" si="14"/>
        <v>1</v>
      </c>
      <c r="H43" s="720"/>
      <c r="I43" s="24">
        <f t="shared" si="15"/>
        <v>1</v>
      </c>
      <c r="J43" s="720"/>
      <c r="K43" s="24">
        <f t="shared" si="16"/>
        <v>1</v>
      </c>
      <c r="L43" s="720"/>
      <c r="M43" s="24">
        <f t="shared" si="17"/>
        <v>1</v>
      </c>
      <c r="N43" s="720" t="s">
        <v>3088</v>
      </c>
      <c r="O43" s="24">
        <f t="shared" si="18"/>
        <v>1</v>
      </c>
      <c r="P43" s="720"/>
      <c r="Q43" s="24">
        <f t="shared" si="19"/>
        <v>1</v>
      </c>
      <c r="R43" s="716">
        <f t="shared" ca="1" si="20"/>
        <v>76262</v>
      </c>
      <c r="S43" s="361">
        <f t="shared" ca="1" si="11"/>
        <v>496</v>
      </c>
    </row>
    <row r="44" spans="1:19">
      <c r="A44" s="718" t="str">
        <f>Sheet1!A22</f>
        <v>青年公寓307</v>
      </c>
      <c r="B44" s="718">
        <f>Sheet1!C22</f>
        <v>65</v>
      </c>
      <c r="C44" s="24">
        <f t="shared" si="12"/>
        <v>1</v>
      </c>
      <c r="D44" s="720"/>
      <c r="E44" s="24">
        <f t="shared" si="13"/>
        <v>1</v>
      </c>
      <c r="F44" s="720"/>
      <c r="G44" s="24">
        <f t="shared" si="14"/>
        <v>1</v>
      </c>
      <c r="H44" s="720"/>
      <c r="I44" s="24">
        <f t="shared" si="15"/>
        <v>1</v>
      </c>
      <c r="J44" s="720"/>
      <c r="K44" s="24">
        <f t="shared" si="16"/>
        <v>1</v>
      </c>
      <c r="L44" s="720"/>
      <c r="M44" s="24">
        <f t="shared" si="17"/>
        <v>1</v>
      </c>
      <c r="N44" s="720" t="s">
        <v>3088</v>
      </c>
      <c r="O44" s="24">
        <f t="shared" si="18"/>
        <v>1</v>
      </c>
      <c r="P44" s="720"/>
      <c r="Q44" s="24">
        <f t="shared" si="19"/>
        <v>1</v>
      </c>
      <c r="R44" s="716">
        <f t="shared" ca="1" si="20"/>
        <v>76262</v>
      </c>
      <c r="S44" s="361">
        <f t="shared" ca="1" si="11"/>
        <v>496</v>
      </c>
    </row>
    <row r="45" spans="1:19">
      <c r="A45" s="718" t="str">
        <f>Sheet1!A23</f>
        <v>青年公寓308</v>
      </c>
      <c r="B45" s="718">
        <f>Sheet1!C23</f>
        <v>65</v>
      </c>
      <c r="C45" s="24">
        <f t="shared" si="12"/>
        <v>1</v>
      </c>
      <c r="D45" s="720"/>
      <c r="E45" s="24">
        <f t="shared" si="13"/>
        <v>1</v>
      </c>
      <c r="F45" s="720"/>
      <c r="G45" s="24">
        <f t="shared" si="14"/>
        <v>1</v>
      </c>
      <c r="H45" s="720"/>
      <c r="I45" s="24">
        <f t="shared" si="15"/>
        <v>1</v>
      </c>
      <c r="J45" s="720"/>
      <c r="K45" s="24">
        <f t="shared" si="16"/>
        <v>1</v>
      </c>
      <c r="L45" s="720"/>
      <c r="M45" s="24">
        <f t="shared" si="17"/>
        <v>1</v>
      </c>
      <c r="N45" s="720" t="s">
        <v>3088</v>
      </c>
      <c r="O45" s="24">
        <f t="shared" si="18"/>
        <v>1</v>
      </c>
      <c r="P45" s="720"/>
      <c r="Q45" s="24">
        <f t="shared" si="19"/>
        <v>1</v>
      </c>
      <c r="R45" s="716">
        <f t="shared" ca="1" si="20"/>
        <v>76262</v>
      </c>
      <c r="S45" s="361">
        <f t="shared" ca="1" si="11"/>
        <v>496</v>
      </c>
    </row>
    <row r="46" spans="1:19">
      <c r="A46" s="718" t="str">
        <f>Sheet1!A24</f>
        <v>青年公寓309</v>
      </c>
      <c r="B46" s="718">
        <f>Sheet1!C24</f>
        <v>65</v>
      </c>
      <c r="C46" s="24">
        <f t="shared" si="12"/>
        <v>1</v>
      </c>
      <c r="D46" s="720"/>
      <c r="E46" s="24">
        <f t="shared" si="13"/>
        <v>1</v>
      </c>
      <c r="F46" s="720"/>
      <c r="G46" s="24">
        <f t="shared" si="14"/>
        <v>1</v>
      </c>
      <c r="H46" s="720"/>
      <c r="I46" s="24">
        <f t="shared" si="15"/>
        <v>1</v>
      </c>
      <c r="J46" s="720"/>
      <c r="K46" s="24">
        <f t="shared" si="16"/>
        <v>1</v>
      </c>
      <c r="L46" s="720"/>
      <c r="M46" s="24">
        <f t="shared" si="17"/>
        <v>1</v>
      </c>
      <c r="N46" s="720" t="s">
        <v>3088</v>
      </c>
      <c r="O46" s="24">
        <f t="shared" si="18"/>
        <v>1</v>
      </c>
      <c r="P46" s="720"/>
      <c r="Q46" s="24">
        <f t="shared" si="19"/>
        <v>1</v>
      </c>
      <c r="R46" s="716">
        <f t="shared" ca="1" si="20"/>
        <v>76262</v>
      </c>
      <c r="S46" s="361">
        <f t="shared" ca="1" si="11"/>
        <v>496</v>
      </c>
    </row>
    <row r="47" spans="1:19">
      <c r="A47" s="718" t="str">
        <f>Sheet1!A25</f>
        <v>青年公寓310</v>
      </c>
      <c r="B47" s="718">
        <f>Sheet1!C25</f>
        <v>65</v>
      </c>
      <c r="C47" s="24">
        <f t="shared" si="12"/>
        <v>1</v>
      </c>
      <c r="D47" s="720"/>
      <c r="E47" s="24">
        <f t="shared" si="13"/>
        <v>1</v>
      </c>
      <c r="F47" s="720"/>
      <c r="G47" s="24">
        <f t="shared" si="14"/>
        <v>1</v>
      </c>
      <c r="H47" s="720"/>
      <c r="I47" s="24">
        <f t="shared" si="15"/>
        <v>1</v>
      </c>
      <c r="J47" s="720"/>
      <c r="K47" s="24">
        <f t="shared" si="16"/>
        <v>1</v>
      </c>
      <c r="L47" s="720"/>
      <c r="M47" s="24">
        <f t="shared" si="17"/>
        <v>1</v>
      </c>
      <c r="N47" s="720" t="s">
        <v>3088</v>
      </c>
      <c r="O47" s="24">
        <f t="shared" si="18"/>
        <v>1</v>
      </c>
      <c r="P47" s="720"/>
      <c r="Q47" s="24">
        <f t="shared" si="19"/>
        <v>1</v>
      </c>
      <c r="R47" s="716">
        <f t="shared" ca="1" si="20"/>
        <v>76262</v>
      </c>
      <c r="S47" s="361">
        <f t="shared" ca="1" si="11"/>
        <v>496</v>
      </c>
    </row>
    <row r="48" spans="1:19">
      <c r="A48" s="718" t="str">
        <f>Sheet1!A26</f>
        <v>青年公寓311</v>
      </c>
      <c r="B48" s="718">
        <f>Sheet1!C26</f>
        <v>65</v>
      </c>
      <c r="C48" s="24">
        <f t="shared" si="12"/>
        <v>1</v>
      </c>
      <c r="D48" s="720"/>
      <c r="E48" s="24">
        <f t="shared" si="13"/>
        <v>1</v>
      </c>
      <c r="F48" s="720"/>
      <c r="G48" s="24">
        <f t="shared" si="14"/>
        <v>1</v>
      </c>
      <c r="H48" s="720"/>
      <c r="I48" s="24">
        <f t="shared" si="15"/>
        <v>1</v>
      </c>
      <c r="J48" s="720"/>
      <c r="K48" s="24">
        <f t="shared" si="16"/>
        <v>1</v>
      </c>
      <c r="L48" s="720"/>
      <c r="M48" s="24">
        <f t="shared" si="17"/>
        <v>1</v>
      </c>
      <c r="N48" s="720" t="s">
        <v>3088</v>
      </c>
      <c r="O48" s="24">
        <f t="shared" si="18"/>
        <v>1</v>
      </c>
      <c r="P48" s="720"/>
      <c r="Q48" s="24">
        <f t="shared" si="19"/>
        <v>1</v>
      </c>
      <c r="R48" s="716">
        <f t="shared" ca="1" si="20"/>
        <v>76262</v>
      </c>
      <c r="S48" s="361">
        <f t="shared" ca="1" si="11"/>
        <v>496</v>
      </c>
    </row>
    <row r="49" spans="1:19">
      <c r="A49" s="718" t="str">
        <f>Sheet1!A27</f>
        <v>青年公寓312</v>
      </c>
      <c r="B49" s="718">
        <f>Sheet1!C27</f>
        <v>65</v>
      </c>
      <c r="C49" s="24">
        <f t="shared" si="12"/>
        <v>1</v>
      </c>
      <c r="D49" s="720"/>
      <c r="E49" s="24">
        <f t="shared" si="13"/>
        <v>1</v>
      </c>
      <c r="F49" s="720"/>
      <c r="G49" s="24">
        <f t="shared" si="14"/>
        <v>1</v>
      </c>
      <c r="H49" s="720"/>
      <c r="I49" s="24">
        <f t="shared" si="15"/>
        <v>1</v>
      </c>
      <c r="J49" s="720"/>
      <c r="K49" s="24">
        <f t="shared" si="16"/>
        <v>1</v>
      </c>
      <c r="L49" s="720"/>
      <c r="M49" s="24">
        <f t="shared" si="17"/>
        <v>1</v>
      </c>
      <c r="N49" s="720" t="s">
        <v>3088</v>
      </c>
      <c r="O49" s="24">
        <f t="shared" si="18"/>
        <v>1</v>
      </c>
      <c r="P49" s="720"/>
      <c r="Q49" s="24">
        <f t="shared" si="19"/>
        <v>1</v>
      </c>
      <c r="R49" s="716">
        <f t="shared" ca="1" si="20"/>
        <v>76262</v>
      </c>
      <c r="S49" s="361">
        <f t="shared" ca="1" si="11"/>
        <v>496</v>
      </c>
    </row>
    <row r="50" spans="1:19">
      <c r="A50" s="718" t="str">
        <f>Sheet1!A28</f>
        <v>青年公寓401</v>
      </c>
      <c r="B50" s="718">
        <f>Sheet1!C28</f>
        <v>65</v>
      </c>
      <c r="C50" s="24">
        <f t="shared" si="12"/>
        <v>1</v>
      </c>
      <c r="D50" s="720"/>
      <c r="E50" s="24">
        <f t="shared" si="13"/>
        <v>1</v>
      </c>
      <c r="F50" s="720"/>
      <c r="G50" s="24">
        <f t="shared" si="14"/>
        <v>1</v>
      </c>
      <c r="H50" s="720"/>
      <c r="I50" s="24">
        <f t="shared" si="15"/>
        <v>1</v>
      </c>
      <c r="J50" s="720"/>
      <c r="K50" s="24">
        <f t="shared" si="16"/>
        <v>1</v>
      </c>
      <c r="L50" s="720"/>
      <c r="M50" s="24">
        <f t="shared" si="17"/>
        <v>1</v>
      </c>
      <c r="N50" s="720" t="s">
        <v>3088</v>
      </c>
      <c r="O50" s="24">
        <f t="shared" si="18"/>
        <v>1</v>
      </c>
      <c r="P50" s="720"/>
      <c r="Q50" s="24">
        <f t="shared" si="19"/>
        <v>1</v>
      </c>
      <c r="R50" s="716">
        <f t="shared" ca="1" si="20"/>
        <v>76262</v>
      </c>
      <c r="S50" s="361">
        <f t="shared" ca="1" si="11"/>
        <v>496</v>
      </c>
    </row>
    <row r="51" spans="1:19">
      <c r="A51" s="718" t="str">
        <f>Sheet1!A29</f>
        <v>青年公寓402</v>
      </c>
      <c r="B51" s="718">
        <f>Sheet1!C29</f>
        <v>65</v>
      </c>
      <c r="C51" s="24">
        <f t="shared" si="12"/>
        <v>1</v>
      </c>
      <c r="D51" s="720"/>
      <c r="E51" s="24">
        <f t="shared" si="13"/>
        <v>1</v>
      </c>
      <c r="F51" s="720"/>
      <c r="G51" s="24">
        <f t="shared" si="14"/>
        <v>1</v>
      </c>
      <c r="H51" s="720"/>
      <c r="I51" s="24">
        <f t="shared" si="15"/>
        <v>1</v>
      </c>
      <c r="J51" s="720"/>
      <c r="K51" s="24">
        <f t="shared" si="16"/>
        <v>1</v>
      </c>
      <c r="L51" s="720"/>
      <c r="M51" s="24">
        <f t="shared" si="17"/>
        <v>1</v>
      </c>
      <c r="N51" s="720" t="s">
        <v>3088</v>
      </c>
      <c r="O51" s="24">
        <f t="shared" si="18"/>
        <v>1</v>
      </c>
      <c r="P51" s="720"/>
      <c r="Q51" s="24">
        <f t="shared" si="19"/>
        <v>1</v>
      </c>
      <c r="R51" s="716">
        <f t="shared" ca="1" si="20"/>
        <v>76262</v>
      </c>
      <c r="S51" s="361">
        <f t="shared" ca="1" si="11"/>
        <v>496</v>
      </c>
    </row>
    <row r="52" spans="1:19">
      <c r="A52" s="718" t="str">
        <f>Sheet1!A30</f>
        <v>青年公寓403</v>
      </c>
      <c r="B52" s="718">
        <f>Sheet1!C30</f>
        <v>65</v>
      </c>
      <c r="C52" s="24">
        <f t="shared" si="12"/>
        <v>1</v>
      </c>
      <c r="D52" s="720"/>
      <c r="E52" s="24">
        <f t="shared" si="13"/>
        <v>1</v>
      </c>
      <c r="F52" s="720"/>
      <c r="G52" s="24">
        <f t="shared" si="14"/>
        <v>1</v>
      </c>
      <c r="H52" s="720"/>
      <c r="I52" s="24">
        <f t="shared" si="15"/>
        <v>1</v>
      </c>
      <c r="J52" s="720"/>
      <c r="K52" s="24">
        <f t="shared" si="16"/>
        <v>1</v>
      </c>
      <c r="L52" s="720"/>
      <c r="M52" s="24">
        <f t="shared" si="17"/>
        <v>1</v>
      </c>
      <c r="N52" s="720" t="s">
        <v>3088</v>
      </c>
      <c r="O52" s="24">
        <f t="shared" si="18"/>
        <v>1</v>
      </c>
      <c r="P52" s="720"/>
      <c r="Q52" s="24">
        <f t="shared" si="19"/>
        <v>1</v>
      </c>
      <c r="R52" s="716">
        <f t="shared" ca="1" si="20"/>
        <v>76262</v>
      </c>
      <c r="S52" s="361">
        <f t="shared" ca="1" si="11"/>
        <v>496</v>
      </c>
    </row>
    <row r="53" spans="1:19">
      <c r="A53" s="718" t="str">
        <f>Sheet1!A31</f>
        <v>青年公寓404</v>
      </c>
      <c r="B53" s="718">
        <f>Sheet1!C31</f>
        <v>65</v>
      </c>
      <c r="C53" s="24">
        <f t="shared" si="12"/>
        <v>1</v>
      </c>
      <c r="D53" s="720"/>
      <c r="E53" s="24">
        <f t="shared" si="13"/>
        <v>1</v>
      </c>
      <c r="F53" s="720"/>
      <c r="G53" s="24">
        <f t="shared" si="14"/>
        <v>1</v>
      </c>
      <c r="H53" s="720"/>
      <c r="I53" s="24">
        <f t="shared" si="15"/>
        <v>1</v>
      </c>
      <c r="J53" s="720"/>
      <c r="K53" s="24">
        <f t="shared" si="16"/>
        <v>1</v>
      </c>
      <c r="L53" s="720"/>
      <c r="M53" s="24">
        <f t="shared" si="17"/>
        <v>1</v>
      </c>
      <c r="N53" s="720" t="s">
        <v>3088</v>
      </c>
      <c r="O53" s="24">
        <f t="shared" si="18"/>
        <v>1</v>
      </c>
      <c r="P53" s="720"/>
      <c r="Q53" s="24">
        <f t="shared" si="19"/>
        <v>1</v>
      </c>
      <c r="R53" s="716">
        <f t="shared" ca="1" si="20"/>
        <v>76262</v>
      </c>
      <c r="S53" s="361">
        <f t="shared" ca="1" si="11"/>
        <v>496</v>
      </c>
    </row>
    <row r="54" spans="1:19">
      <c r="A54" s="718" t="str">
        <f>Sheet1!A32</f>
        <v>青年公寓405</v>
      </c>
      <c r="B54" s="718">
        <f>Sheet1!C32</f>
        <v>65</v>
      </c>
      <c r="C54" s="24">
        <f t="shared" si="12"/>
        <v>1</v>
      </c>
      <c r="D54" s="720"/>
      <c r="E54" s="24">
        <f t="shared" si="13"/>
        <v>1</v>
      </c>
      <c r="F54" s="720"/>
      <c r="G54" s="24">
        <f t="shared" si="14"/>
        <v>1</v>
      </c>
      <c r="H54" s="720"/>
      <c r="I54" s="24">
        <f t="shared" si="15"/>
        <v>1</v>
      </c>
      <c r="J54" s="720"/>
      <c r="K54" s="24">
        <f t="shared" si="16"/>
        <v>1</v>
      </c>
      <c r="L54" s="720"/>
      <c r="M54" s="24">
        <f t="shared" si="17"/>
        <v>1</v>
      </c>
      <c r="N54" s="720" t="s">
        <v>3088</v>
      </c>
      <c r="O54" s="24">
        <f t="shared" si="18"/>
        <v>1</v>
      </c>
      <c r="P54" s="720"/>
      <c r="Q54" s="24">
        <f t="shared" si="19"/>
        <v>1</v>
      </c>
      <c r="R54" s="716">
        <f t="shared" ca="1" si="20"/>
        <v>76262</v>
      </c>
      <c r="S54" s="361">
        <f t="shared" ca="1" si="11"/>
        <v>496</v>
      </c>
    </row>
    <row r="55" spans="1:19">
      <c r="A55" s="718" t="str">
        <f>Sheet1!A33</f>
        <v>青年公寓406</v>
      </c>
      <c r="B55" s="718">
        <f>Sheet1!C33</f>
        <v>65</v>
      </c>
      <c r="C55" s="24">
        <f t="shared" si="12"/>
        <v>1</v>
      </c>
      <c r="D55" s="720"/>
      <c r="E55" s="24">
        <f t="shared" si="13"/>
        <v>1</v>
      </c>
      <c r="F55" s="720"/>
      <c r="G55" s="24">
        <f t="shared" si="14"/>
        <v>1</v>
      </c>
      <c r="H55" s="720"/>
      <c r="I55" s="24">
        <f t="shared" si="15"/>
        <v>1</v>
      </c>
      <c r="J55" s="720"/>
      <c r="K55" s="24">
        <f t="shared" si="16"/>
        <v>1</v>
      </c>
      <c r="L55" s="720"/>
      <c r="M55" s="24">
        <f t="shared" si="17"/>
        <v>1</v>
      </c>
      <c r="N55" s="720" t="s">
        <v>3088</v>
      </c>
      <c r="O55" s="24">
        <f t="shared" si="18"/>
        <v>1</v>
      </c>
      <c r="P55" s="720"/>
      <c r="Q55" s="24">
        <f t="shared" si="19"/>
        <v>1</v>
      </c>
      <c r="R55" s="716">
        <f t="shared" ca="1" si="20"/>
        <v>76262</v>
      </c>
      <c r="S55" s="361">
        <f t="shared" ref="S55:S77" ca="1" si="21">ROUND(R55*B55/10000,0)</f>
        <v>496</v>
      </c>
    </row>
    <row r="56" spans="1:19">
      <c r="A56" s="718" t="str">
        <f>Sheet1!A34</f>
        <v>青年公寓407</v>
      </c>
      <c r="B56" s="718">
        <f>Sheet1!C34</f>
        <v>65</v>
      </c>
      <c r="C56" s="24">
        <f t="shared" si="12"/>
        <v>1</v>
      </c>
      <c r="D56" s="720"/>
      <c r="E56" s="24">
        <f t="shared" si="13"/>
        <v>1</v>
      </c>
      <c r="F56" s="720"/>
      <c r="G56" s="24">
        <f t="shared" si="14"/>
        <v>1</v>
      </c>
      <c r="H56" s="720"/>
      <c r="I56" s="24">
        <f t="shared" si="15"/>
        <v>1</v>
      </c>
      <c r="J56" s="720"/>
      <c r="K56" s="24">
        <f t="shared" si="16"/>
        <v>1</v>
      </c>
      <c r="L56" s="720"/>
      <c r="M56" s="24">
        <f t="shared" si="17"/>
        <v>1</v>
      </c>
      <c r="N56" s="720" t="s">
        <v>3088</v>
      </c>
      <c r="O56" s="24">
        <f t="shared" si="18"/>
        <v>1</v>
      </c>
      <c r="P56" s="720"/>
      <c r="Q56" s="24">
        <f t="shared" si="19"/>
        <v>1</v>
      </c>
      <c r="R56" s="716">
        <f t="shared" ca="1" si="20"/>
        <v>76262</v>
      </c>
      <c r="S56" s="361">
        <f t="shared" ca="1" si="21"/>
        <v>496</v>
      </c>
    </row>
    <row r="57" spans="1:19">
      <c r="A57" s="718" t="str">
        <f>Sheet1!A35</f>
        <v>青年公寓408</v>
      </c>
      <c r="B57" s="718">
        <f>Sheet1!C35</f>
        <v>65</v>
      </c>
      <c r="C57" s="24">
        <f t="shared" si="12"/>
        <v>1</v>
      </c>
      <c r="D57" s="720"/>
      <c r="E57" s="24">
        <f t="shared" si="13"/>
        <v>1</v>
      </c>
      <c r="F57" s="720"/>
      <c r="G57" s="24">
        <f t="shared" si="14"/>
        <v>1</v>
      </c>
      <c r="H57" s="720"/>
      <c r="I57" s="24">
        <f t="shared" si="15"/>
        <v>1</v>
      </c>
      <c r="J57" s="720"/>
      <c r="K57" s="24">
        <f t="shared" si="16"/>
        <v>1</v>
      </c>
      <c r="L57" s="720"/>
      <c r="M57" s="24">
        <f t="shared" si="17"/>
        <v>1</v>
      </c>
      <c r="N57" s="720" t="s">
        <v>3088</v>
      </c>
      <c r="O57" s="24">
        <f t="shared" si="18"/>
        <v>1</v>
      </c>
      <c r="P57" s="720"/>
      <c r="Q57" s="24">
        <f t="shared" si="19"/>
        <v>1</v>
      </c>
      <c r="R57" s="716">
        <f t="shared" ca="1" si="20"/>
        <v>76262</v>
      </c>
      <c r="S57" s="361">
        <f t="shared" ca="1" si="21"/>
        <v>496</v>
      </c>
    </row>
    <row r="58" spans="1:19">
      <c r="A58" s="718" t="str">
        <f>Sheet1!A36</f>
        <v>青年公寓409</v>
      </c>
      <c r="B58" s="718">
        <f>Sheet1!C36</f>
        <v>65</v>
      </c>
      <c r="C58" s="24">
        <f t="shared" si="12"/>
        <v>1</v>
      </c>
      <c r="D58" s="720"/>
      <c r="E58" s="24">
        <f t="shared" si="13"/>
        <v>1</v>
      </c>
      <c r="F58" s="720"/>
      <c r="G58" s="24">
        <f t="shared" si="14"/>
        <v>1</v>
      </c>
      <c r="H58" s="720"/>
      <c r="I58" s="24">
        <f t="shared" si="15"/>
        <v>1</v>
      </c>
      <c r="J58" s="720"/>
      <c r="K58" s="24">
        <f t="shared" si="16"/>
        <v>1</v>
      </c>
      <c r="L58" s="720"/>
      <c r="M58" s="24">
        <f t="shared" si="17"/>
        <v>1</v>
      </c>
      <c r="N58" s="720" t="s">
        <v>3088</v>
      </c>
      <c r="O58" s="24">
        <f t="shared" si="18"/>
        <v>1</v>
      </c>
      <c r="P58" s="720"/>
      <c r="Q58" s="24">
        <f t="shared" si="19"/>
        <v>1</v>
      </c>
      <c r="R58" s="716">
        <f t="shared" ca="1" si="20"/>
        <v>76262</v>
      </c>
      <c r="S58" s="361">
        <f t="shared" ca="1" si="21"/>
        <v>496</v>
      </c>
    </row>
    <row r="59" spans="1:19">
      <c r="A59" s="718" t="str">
        <f>Sheet1!A37</f>
        <v>青年公寓410</v>
      </c>
      <c r="B59" s="718">
        <f>Sheet1!C37</f>
        <v>65</v>
      </c>
      <c r="C59" s="24">
        <f t="shared" si="12"/>
        <v>1</v>
      </c>
      <c r="D59" s="720"/>
      <c r="E59" s="24">
        <f t="shared" si="13"/>
        <v>1</v>
      </c>
      <c r="F59" s="720"/>
      <c r="G59" s="24">
        <f t="shared" si="14"/>
        <v>1</v>
      </c>
      <c r="H59" s="720"/>
      <c r="I59" s="24">
        <f t="shared" si="15"/>
        <v>1</v>
      </c>
      <c r="J59" s="720"/>
      <c r="K59" s="24">
        <f t="shared" si="16"/>
        <v>1</v>
      </c>
      <c r="L59" s="720"/>
      <c r="M59" s="24">
        <f t="shared" si="17"/>
        <v>1</v>
      </c>
      <c r="N59" s="720" t="s">
        <v>3088</v>
      </c>
      <c r="O59" s="24">
        <f t="shared" si="18"/>
        <v>1</v>
      </c>
      <c r="P59" s="720"/>
      <c r="Q59" s="24">
        <f t="shared" si="19"/>
        <v>1</v>
      </c>
      <c r="R59" s="716">
        <f t="shared" ca="1" si="20"/>
        <v>76262</v>
      </c>
      <c r="S59" s="361">
        <f t="shared" ca="1" si="21"/>
        <v>496</v>
      </c>
    </row>
    <row r="60" spans="1:19">
      <c r="A60" s="718" t="str">
        <f>Sheet1!A38</f>
        <v>青年公寓411</v>
      </c>
      <c r="B60" s="718">
        <f>Sheet1!C38</f>
        <v>65</v>
      </c>
      <c r="C60" s="24">
        <f t="shared" si="12"/>
        <v>1</v>
      </c>
      <c r="D60" s="720"/>
      <c r="E60" s="24">
        <f t="shared" si="13"/>
        <v>1</v>
      </c>
      <c r="F60" s="720"/>
      <c r="G60" s="24">
        <f t="shared" si="14"/>
        <v>1</v>
      </c>
      <c r="H60" s="720"/>
      <c r="I60" s="24">
        <f t="shared" si="15"/>
        <v>1</v>
      </c>
      <c r="J60" s="720"/>
      <c r="K60" s="24">
        <f t="shared" si="16"/>
        <v>1</v>
      </c>
      <c r="L60" s="720"/>
      <c r="M60" s="24">
        <f t="shared" si="17"/>
        <v>1</v>
      </c>
      <c r="N60" s="720" t="s">
        <v>3088</v>
      </c>
      <c r="O60" s="24">
        <f t="shared" si="18"/>
        <v>1</v>
      </c>
      <c r="P60" s="720"/>
      <c r="Q60" s="24">
        <f t="shared" si="19"/>
        <v>1</v>
      </c>
      <c r="R60" s="716">
        <f t="shared" ca="1" si="20"/>
        <v>76262</v>
      </c>
      <c r="S60" s="361">
        <f t="shared" ca="1" si="21"/>
        <v>496</v>
      </c>
    </row>
    <row r="61" spans="1:19">
      <c r="A61" s="718" t="str">
        <f>Sheet1!A39</f>
        <v>青年公寓412</v>
      </c>
      <c r="B61" s="718">
        <f>Sheet1!C39</f>
        <v>65</v>
      </c>
      <c r="C61" s="24">
        <f t="shared" si="12"/>
        <v>1</v>
      </c>
      <c r="D61" s="720"/>
      <c r="E61" s="24">
        <f t="shared" si="13"/>
        <v>1</v>
      </c>
      <c r="F61" s="720"/>
      <c r="G61" s="24">
        <f t="shared" si="14"/>
        <v>1</v>
      </c>
      <c r="H61" s="720"/>
      <c r="I61" s="24">
        <f t="shared" si="15"/>
        <v>1</v>
      </c>
      <c r="J61" s="720"/>
      <c r="K61" s="24">
        <f t="shared" si="16"/>
        <v>1</v>
      </c>
      <c r="L61" s="720"/>
      <c r="M61" s="24">
        <f t="shared" si="17"/>
        <v>1</v>
      </c>
      <c r="N61" s="720" t="s">
        <v>3088</v>
      </c>
      <c r="O61" s="24">
        <f t="shared" si="18"/>
        <v>1</v>
      </c>
      <c r="P61" s="720"/>
      <c r="Q61" s="24">
        <f t="shared" si="19"/>
        <v>1</v>
      </c>
      <c r="R61" s="716">
        <f t="shared" ca="1" si="20"/>
        <v>76262</v>
      </c>
      <c r="S61" s="361">
        <f t="shared" ca="1" si="21"/>
        <v>496</v>
      </c>
    </row>
    <row r="62" spans="1:19">
      <c r="A62" s="718" t="str">
        <f>Sheet1!A40</f>
        <v>青年公寓501</v>
      </c>
      <c r="B62" s="718">
        <f>Sheet1!C40</f>
        <v>65</v>
      </c>
      <c r="C62" s="24">
        <f t="shared" si="12"/>
        <v>1</v>
      </c>
      <c r="D62" s="720"/>
      <c r="E62" s="24">
        <f t="shared" si="13"/>
        <v>1</v>
      </c>
      <c r="F62" s="720"/>
      <c r="G62" s="24">
        <f t="shared" si="14"/>
        <v>1</v>
      </c>
      <c r="H62" s="720"/>
      <c r="I62" s="24">
        <f t="shared" si="15"/>
        <v>1</v>
      </c>
      <c r="J62" s="720"/>
      <c r="K62" s="24">
        <f t="shared" si="16"/>
        <v>1</v>
      </c>
      <c r="L62" s="720"/>
      <c r="M62" s="24">
        <f t="shared" si="17"/>
        <v>1</v>
      </c>
      <c r="N62" s="720" t="s">
        <v>3088</v>
      </c>
      <c r="O62" s="24">
        <f t="shared" si="18"/>
        <v>1</v>
      </c>
      <c r="P62" s="720"/>
      <c r="Q62" s="24">
        <f t="shared" si="19"/>
        <v>1</v>
      </c>
      <c r="R62" s="716">
        <f t="shared" ca="1" si="20"/>
        <v>76262</v>
      </c>
      <c r="S62" s="361">
        <f t="shared" ca="1" si="21"/>
        <v>496</v>
      </c>
    </row>
    <row r="63" spans="1:19">
      <c r="A63" s="718" t="str">
        <f>Sheet1!A41</f>
        <v>青年公寓502</v>
      </c>
      <c r="B63" s="718">
        <f>Sheet1!C41</f>
        <v>65</v>
      </c>
      <c r="C63" s="24">
        <f t="shared" si="12"/>
        <v>1</v>
      </c>
      <c r="D63" s="720"/>
      <c r="E63" s="24">
        <f t="shared" si="13"/>
        <v>1</v>
      </c>
      <c r="F63" s="720"/>
      <c r="G63" s="24">
        <f t="shared" si="14"/>
        <v>1</v>
      </c>
      <c r="H63" s="720"/>
      <c r="I63" s="24">
        <f t="shared" si="15"/>
        <v>1</v>
      </c>
      <c r="J63" s="720"/>
      <c r="K63" s="24">
        <f t="shared" si="16"/>
        <v>1</v>
      </c>
      <c r="L63" s="720"/>
      <c r="M63" s="24">
        <f t="shared" si="17"/>
        <v>1</v>
      </c>
      <c r="N63" s="720" t="s">
        <v>3088</v>
      </c>
      <c r="O63" s="24">
        <f t="shared" si="18"/>
        <v>1</v>
      </c>
      <c r="P63" s="720"/>
      <c r="Q63" s="24">
        <f t="shared" si="19"/>
        <v>1</v>
      </c>
      <c r="R63" s="716">
        <f t="shared" ca="1" si="20"/>
        <v>76262</v>
      </c>
      <c r="S63" s="361">
        <f t="shared" ca="1" si="21"/>
        <v>496</v>
      </c>
    </row>
    <row r="64" spans="1:19">
      <c r="A64" s="718" t="str">
        <f>Sheet1!A42</f>
        <v>青年公寓503</v>
      </c>
      <c r="B64" s="718">
        <f>Sheet1!C42</f>
        <v>65</v>
      </c>
      <c r="C64" s="24">
        <f t="shared" si="12"/>
        <v>1</v>
      </c>
      <c r="D64" s="720"/>
      <c r="E64" s="24">
        <f t="shared" si="13"/>
        <v>1</v>
      </c>
      <c r="F64" s="720"/>
      <c r="G64" s="24">
        <f t="shared" si="14"/>
        <v>1</v>
      </c>
      <c r="H64" s="720"/>
      <c r="I64" s="24">
        <f t="shared" si="15"/>
        <v>1</v>
      </c>
      <c r="J64" s="720"/>
      <c r="K64" s="24">
        <f t="shared" si="16"/>
        <v>1</v>
      </c>
      <c r="L64" s="720"/>
      <c r="M64" s="24">
        <f t="shared" si="17"/>
        <v>1</v>
      </c>
      <c r="N64" s="720" t="s">
        <v>3088</v>
      </c>
      <c r="O64" s="24">
        <f t="shared" si="18"/>
        <v>1</v>
      </c>
      <c r="P64" s="720"/>
      <c r="Q64" s="24">
        <f t="shared" si="19"/>
        <v>1</v>
      </c>
      <c r="R64" s="716">
        <f t="shared" ca="1" si="20"/>
        <v>76262</v>
      </c>
      <c r="S64" s="361">
        <f t="shared" ca="1" si="21"/>
        <v>496</v>
      </c>
    </row>
    <row r="65" spans="1:19">
      <c r="A65" s="718" t="str">
        <f>Sheet1!A43</f>
        <v>青年公寓504</v>
      </c>
      <c r="B65" s="718">
        <f>Sheet1!C43</f>
        <v>65</v>
      </c>
      <c r="C65" s="24">
        <f t="shared" si="12"/>
        <v>1</v>
      </c>
      <c r="D65" s="720"/>
      <c r="E65" s="24">
        <f t="shared" si="13"/>
        <v>1</v>
      </c>
      <c r="F65" s="720"/>
      <c r="G65" s="24">
        <f t="shared" si="14"/>
        <v>1</v>
      </c>
      <c r="H65" s="720"/>
      <c r="I65" s="24">
        <f t="shared" si="15"/>
        <v>1</v>
      </c>
      <c r="J65" s="720"/>
      <c r="K65" s="24">
        <f t="shared" si="16"/>
        <v>1</v>
      </c>
      <c r="L65" s="720"/>
      <c r="M65" s="24">
        <f t="shared" si="17"/>
        <v>1</v>
      </c>
      <c r="N65" s="720" t="s">
        <v>3088</v>
      </c>
      <c r="O65" s="24">
        <f t="shared" si="18"/>
        <v>1</v>
      </c>
      <c r="P65" s="720"/>
      <c r="Q65" s="24">
        <f t="shared" si="19"/>
        <v>1</v>
      </c>
      <c r="R65" s="716">
        <f t="shared" ca="1" si="20"/>
        <v>76262</v>
      </c>
      <c r="S65" s="361">
        <f t="shared" ca="1" si="21"/>
        <v>496</v>
      </c>
    </row>
    <row r="66" spans="1:19">
      <c r="A66" s="718" t="str">
        <f>Sheet1!A44</f>
        <v>青年公寓505</v>
      </c>
      <c r="B66" s="718">
        <f>Sheet1!C44</f>
        <v>65</v>
      </c>
      <c r="C66" s="24">
        <f t="shared" si="12"/>
        <v>1</v>
      </c>
      <c r="D66" s="720"/>
      <c r="E66" s="24">
        <f t="shared" si="13"/>
        <v>1</v>
      </c>
      <c r="F66" s="720"/>
      <c r="G66" s="24">
        <f t="shared" si="14"/>
        <v>1</v>
      </c>
      <c r="H66" s="720"/>
      <c r="I66" s="24">
        <f t="shared" si="15"/>
        <v>1</v>
      </c>
      <c r="J66" s="720"/>
      <c r="K66" s="24">
        <f t="shared" si="16"/>
        <v>1</v>
      </c>
      <c r="L66" s="720"/>
      <c r="M66" s="24">
        <f t="shared" si="17"/>
        <v>1</v>
      </c>
      <c r="N66" s="720" t="s">
        <v>3088</v>
      </c>
      <c r="O66" s="24">
        <f t="shared" si="18"/>
        <v>1</v>
      </c>
      <c r="P66" s="720"/>
      <c r="Q66" s="24">
        <f t="shared" si="19"/>
        <v>1</v>
      </c>
      <c r="R66" s="716">
        <f t="shared" ca="1" si="20"/>
        <v>76262</v>
      </c>
      <c r="S66" s="361">
        <f t="shared" ca="1" si="21"/>
        <v>496</v>
      </c>
    </row>
    <row r="67" spans="1:19">
      <c r="A67" s="718" t="str">
        <f>Sheet1!A45</f>
        <v>青年公寓506</v>
      </c>
      <c r="B67" s="718">
        <f>Sheet1!C45</f>
        <v>65</v>
      </c>
      <c r="C67" s="24">
        <f t="shared" si="12"/>
        <v>1</v>
      </c>
      <c r="D67" s="720"/>
      <c r="E67" s="24">
        <f t="shared" si="13"/>
        <v>1</v>
      </c>
      <c r="F67" s="720"/>
      <c r="G67" s="24">
        <f t="shared" si="14"/>
        <v>1</v>
      </c>
      <c r="H67" s="720"/>
      <c r="I67" s="24">
        <f t="shared" si="15"/>
        <v>1</v>
      </c>
      <c r="J67" s="720"/>
      <c r="K67" s="24">
        <f t="shared" si="16"/>
        <v>1</v>
      </c>
      <c r="L67" s="720"/>
      <c r="M67" s="24">
        <f t="shared" si="17"/>
        <v>1</v>
      </c>
      <c r="N67" s="720" t="s">
        <v>3088</v>
      </c>
      <c r="O67" s="24">
        <f t="shared" si="18"/>
        <v>1</v>
      </c>
      <c r="P67" s="720"/>
      <c r="Q67" s="24">
        <f t="shared" si="19"/>
        <v>1</v>
      </c>
      <c r="R67" s="716">
        <f t="shared" ca="1" si="20"/>
        <v>76262</v>
      </c>
      <c r="S67" s="361">
        <f t="shared" ca="1" si="21"/>
        <v>496</v>
      </c>
    </row>
    <row r="68" spans="1:19">
      <c r="A68" s="718" t="str">
        <f>Sheet1!A46</f>
        <v>青年公寓507</v>
      </c>
      <c r="B68" s="718">
        <f>Sheet1!C46</f>
        <v>65</v>
      </c>
      <c r="C68" s="24">
        <f t="shared" si="12"/>
        <v>1</v>
      </c>
      <c r="D68" s="720"/>
      <c r="E68" s="24">
        <f t="shared" si="13"/>
        <v>1</v>
      </c>
      <c r="F68" s="720"/>
      <c r="G68" s="24">
        <f t="shared" si="14"/>
        <v>1</v>
      </c>
      <c r="H68" s="720"/>
      <c r="I68" s="24">
        <f t="shared" si="15"/>
        <v>1</v>
      </c>
      <c r="J68" s="720"/>
      <c r="K68" s="24">
        <f t="shared" si="16"/>
        <v>1</v>
      </c>
      <c r="L68" s="720"/>
      <c r="M68" s="24">
        <f t="shared" si="17"/>
        <v>1</v>
      </c>
      <c r="N68" s="720" t="s">
        <v>3088</v>
      </c>
      <c r="O68" s="24">
        <f t="shared" si="18"/>
        <v>1</v>
      </c>
      <c r="P68" s="720"/>
      <c r="Q68" s="24">
        <f t="shared" si="19"/>
        <v>1</v>
      </c>
      <c r="R68" s="716">
        <f t="shared" ca="1" si="20"/>
        <v>76262</v>
      </c>
      <c r="S68" s="361">
        <f t="shared" ca="1" si="21"/>
        <v>496</v>
      </c>
    </row>
    <row r="69" spans="1:19">
      <c r="A69" s="718" t="str">
        <f>Sheet1!A47</f>
        <v>青年公寓508</v>
      </c>
      <c r="B69" s="718">
        <f>Sheet1!C47</f>
        <v>65</v>
      </c>
      <c r="C69" s="24">
        <f t="shared" si="12"/>
        <v>1</v>
      </c>
      <c r="D69" s="720"/>
      <c r="E69" s="24">
        <f t="shared" si="13"/>
        <v>1</v>
      </c>
      <c r="F69" s="720"/>
      <c r="G69" s="24">
        <f t="shared" si="14"/>
        <v>1</v>
      </c>
      <c r="H69" s="720"/>
      <c r="I69" s="24">
        <f t="shared" si="15"/>
        <v>1</v>
      </c>
      <c r="J69" s="720"/>
      <c r="K69" s="24">
        <f t="shared" si="16"/>
        <v>1</v>
      </c>
      <c r="L69" s="720"/>
      <c r="M69" s="24">
        <f t="shared" si="17"/>
        <v>1</v>
      </c>
      <c r="N69" s="720" t="s">
        <v>3088</v>
      </c>
      <c r="O69" s="24">
        <f t="shared" si="18"/>
        <v>1</v>
      </c>
      <c r="P69" s="720"/>
      <c r="Q69" s="24">
        <f t="shared" si="19"/>
        <v>1</v>
      </c>
      <c r="R69" s="716">
        <f t="shared" ca="1" si="20"/>
        <v>76262</v>
      </c>
      <c r="S69" s="361">
        <f t="shared" ca="1" si="21"/>
        <v>496</v>
      </c>
    </row>
    <row r="70" spans="1:19">
      <c r="A70" s="718" t="str">
        <f>Sheet1!A48</f>
        <v>青年公寓509</v>
      </c>
      <c r="B70" s="718">
        <f>Sheet1!C48</f>
        <v>65</v>
      </c>
      <c r="C70" s="24">
        <f t="shared" si="12"/>
        <v>1</v>
      </c>
      <c r="D70" s="720"/>
      <c r="E70" s="24">
        <f t="shared" si="13"/>
        <v>1</v>
      </c>
      <c r="F70" s="720"/>
      <c r="G70" s="24">
        <f t="shared" si="14"/>
        <v>1</v>
      </c>
      <c r="H70" s="720"/>
      <c r="I70" s="24">
        <f t="shared" si="15"/>
        <v>1</v>
      </c>
      <c r="J70" s="720"/>
      <c r="K70" s="24">
        <f t="shared" si="16"/>
        <v>1</v>
      </c>
      <c r="L70" s="720"/>
      <c r="M70" s="24">
        <f t="shared" si="17"/>
        <v>1</v>
      </c>
      <c r="N70" s="720" t="s">
        <v>3088</v>
      </c>
      <c r="O70" s="24">
        <f t="shared" si="18"/>
        <v>1</v>
      </c>
      <c r="P70" s="720"/>
      <c r="Q70" s="24">
        <f t="shared" si="19"/>
        <v>1</v>
      </c>
      <c r="R70" s="716">
        <f t="shared" ca="1" si="20"/>
        <v>76262</v>
      </c>
      <c r="S70" s="361">
        <f t="shared" ca="1" si="21"/>
        <v>496</v>
      </c>
    </row>
    <row r="71" spans="1:19">
      <c r="A71" s="718" t="str">
        <f>Sheet1!A49</f>
        <v>青年公寓510</v>
      </c>
      <c r="B71" s="718">
        <f>Sheet1!C49</f>
        <v>65</v>
      </c>
      <c r="C71" s="24">
        <f t="shared" si="12"/>
        <v>1</v>
      </c>
      <c r="D71" s="720"/>
      <c r="E71" s="24">
        <f t="shared" si="13"/>
        <v>1</v>
      </c>
      <c r="F71" s="720"/>
      <c r="G71" s="24">
        <f t="shared" si="14"/>
        <v>1</v>
      </c>
      <c r="H71" s="720"/>
      <c r="I71" s="24">
        <f t="shared" si="15"/>
        <v>1</v>
      </c>
      <c r="J71" s="720"/>
      <c r="K71" s="24">
        <f t="shared" si="16"/>
        <v>1</v>
      </c>
      <c r="L71" s="720"/>
      <c r="M71" s="24">
        <f t="shared" si="17"/>
        <v>1</v>
      </c>
      <c r="N71" s="720" t="s">
        <v>3088</v>
      </c>
      <c r="O71" s="24">
        <f t="shared" si="18"/>
        <v>1</v>
      </c>
      <c r="P71" s="720"/>
      <c r="Q71" s="24">
        <f t="shared" si="19"/>
        <v>1</v>
      </c>
      <c r="R71" s="716">
        <f t="shared" ca="1" si="20"/>
        <v>76262</v>
      </c>
      <c r="S71" s="361">
        <f t="shared" ca="1" si="21"/>
        <v>496</v>
      </c>
    </row>
    <row r="72" spans="1:19">
      <c r="A72" s="718" t="str">
        <f>Sheet1!A50</f>
        <v>青年公寓511</v>
      </c>
      <c r="B72" s="718">
        <f>Sheet1!C50</f>
        <v>65</v>
      </c>
      <c r="C72" s="24">
        <f t="shared" si="12"/>
        <v>1</v>
      </c>
      <c r="D72" s="720"/>
      <c r="E72" s="24">
        <f t="shared" si="13"/>
        <v>1</v>
      </c>
      <c r="F72" s="720"/>
      <c r="G72" s="24">
        <f t="shared" si="14"/>
        <v>1</v>
      </c>
      <c r="H72" s="720"/>
      <c r="I72" s="24">
        <f t="shared" si="15"/>
        <v>1</v>
      </c>
      <c r="J72" s="720"/>
      <c r="K72" s="24">
        <f t="shared" si="16"/>
        <v>1</v>
      </c>
      <c r="L72" s="720"/>
      <c r="M72" s="24">
        <f t="shared" si="17"/>
        <v>1</v>
      </c>
      <c r="N72" s="720" t="s">
        <v>3088</v>
      </c>
      <c r="O72" s="24">
        <f t="shared" si="18"/>
        <v>1</v>
      </c>
      <c r="P72" s="720"/>
      <c r="Q72" s="24">
        <f t="shared" si="19"/>
        <v>1</v>
      </c>
      <c r="R72" s="716">
        <f t="shared" ca="1" si="20"/>
        <v>76262</v>
      </c>
      <c r="S72" s="361">
        <f t="shared" ca="1" si="21"/>
        <v>496</v>
      </c>
    </row>
    <row r="73" spans="1:19">
      <c r="A73" s="718" t="str">
        <f>Sheet1!A51</f>
        <v>青年公寓512</v>
      </c>
      <c r="B73" s="718">
        <f>Sheet1!C51</f>
        <v>65</v>
      </c>
      <c r="C73" s="24">
        <f t="shared" si="12"/>
        <v>1</v>
      </c>
      <c r="D73" s="720"/>
      <c r="E73" s="24">
        <f t="shared" si="13"/>
        <v>1</v>
      </c>
      <c r="F73" s="720"/>
      <c r="G73" s="24">
        <f t="shared" si="14"/>
        <v>1</v>
      </c>
      <c r="H73" s="720"/>
      <c r="I73" s="24">
        <f t="shared" si="15"/>
        <v>1</v>
      </c>
      <c r="J73" s="720"/>
      <c r="K73" s="24">
        <f t="shared" si="16"/>
        <v>1</v>
      </c>
      <c r="L73" s="720"/>
      <c r="M73" s="24">
        <f t="shared" si="17"/>
        <v>1</v>
      </c>
      <c r="N73" s="720" t="s">
        <v>3088</v>
      </c>
      <c r="O73" s="24">
        <f t="shared" si="18"/>
        <v>1</v>
      </c>
      <c r="P73" s="720"/>
      <c r="Q73" s="24">
        <f t="shared" si="19"/>
        <v>1</v>
      </c>
      <c r="R73" s="716">
        <f t="shared" ca="1" si="20"/>
        <v>76262</v>
      </c>
      <c r="S73" s="361">
        <f t="shared" ca="1" si="21"/>
        <v>496</v>
      </c>
    </row>
    <row r="74" spans="1:19">
      <c r="A74" s="718" t="str">
        <f>Sheet1!A52</f>
        <v>青年公寓601</v>
      </c>
      <c r="B74" s="718">
        <f>Sheet1!C52</f>
        <v>65</v>
      </c>
      <c r="C74" s="24">
        <f t="shared" si="12"/>
        <v>1</v>
      </c>
      <c r="D74" s="720"/>
      <c r="E74" s="24">
        <f t="shared" si="13"/>
        <v>1</v>
      </c>
      <c r="F74" s="720"/>
      <c r="G74" s="24">
        <f t="shared" si="14"/>
        <v>1</v>
      </c>
      <c r="H74" s="720"/>
      <c r="I74" s="24">
        <f t="shared" si="15"/>
        <v>1</v>
      </c>
      <c r="J74" s="720"/>
      <c r="K74" s="24">
        <f t="shared" si="16"/>
        <v>1</v>
      </c>
      <c r="L74" s="720"/>
      <c r="M74" s="24">
        <f t="shared" si="17"/>
        <v>1</v>
      </c>
      <c r="N74" s="720" t="s">
        <v>3088</v>
      </c>
      <c r="O74" s="24">
        <f t="shared" si="18"/>
        <v>1</v>
      </c>
      <c r="P74" s="720"/>
      <c r="Q74" s="24">
        <f t="shared" si="19"/>
        <v>1</v>
      </c>
      <c r="R74" s="716">
        <f t="shared" ca="1" si="20"/>
        <v>76262</v>
      </c>
      <c r="S74" s="361">
        <f t="shared" ca="1" si="21"/>
        <v>496</v>
      </c>
    </row>
    <row r="75" spans="1:19">
      <c r="A75" s="718" t="str">
        <f>Sheet1!A53</f>
        <v>青年公寓602</v>
      </c>
      <c r="B75" s="718">
        <f>Sheet1!C53</f>
        <v>65</v>
      </c>
      <c r="C75" s="24">
        <f t="shared" si="12"/>
        <v>1</v>
      </c>
      <c r="D75" s="720"/>
      <c r="E75" s="24">
        <f t="shared" si="13"/>
        <v>1</v>
      </c>
      <c r="F75" s="720"/>
      <c r="G75" s="24">
        <f t="shared" si="14"/>
        <v>1</v>
      </c>
      <c r="H75" s="720"/>
      <c r="I75" s="24">
        <f t="shared" si="15"/>
        <v>1</v>
      </c>
      <c r="J75" s="720"/>
      <c r="K75" s="24">
        <f t="shared" si="16"/>
        <v>1</v>
      </c>
      <c r="L75" s="720"/>
      <c r="M75" s="24">
        <f t="shared" si="17"/>
        <v>1</v>
      </c>
      <c r="N75" s="720" t="s">
        <v>3088</v>
      </c>
      <c r="O75" s="24">
        <f t="shared" si="18"/>
        <v>1</v>
      </c>
      <c r="P75" s="720"/>
      <c r="Q75" s="24">
        <f t="shared" si="19"/>
        <v>1</v>
      </c>
      <c r="R75" s="716">
        <f t="shared" ca="1" si="20"/>
        <v>76262</v>
      </c>
      <c r="S75" s="361">
        <f t="shared" ca="1" si="21"/>
        <v>496</v>
      </c>
    </row>
    <row r="76" spans="1:19">
      <c r="A76" s="718" t="str">
        <f>Sheet1!A54</f>
        <v>青年公寓603</v>
      </c>
      <c r="B76" s="718">
        <f>Sheet1!C54</f>
        <v>65</v>
      </c>
      <c r="C76" s="24">
        <f t="shared" si="12"/>
        <v>1</v>
      </c>
      <c r="D76" s="720"/>
      <c r="E76" s="24">
        <f t="shared" si="13"/>
        <v>1</v>
      </c>
      <c r="F76" s="720"/>
      <c r="G76" s="24">
        <f t="shared" si="14"/>
        <v>1</v>
      </c>
      <c r="H76" s="720"/>
      <c r="I76" s="24">
        <f t="shared" si="15"/>
        <v>1</v>
      </c>
      <c r="J76" s="720"/>
      <c r="K76" s="24">
        <f t="shared" si="16"/>
        <v>1</v>
      </c>
      <c r="L76" s="720"/>
      <c r="M76" s="24">
        <f t="shared" si="17"/>
        <v>1</v>
      </c>
      <c r="N76" s="720" t="s">
        <v>3088</v>
      </c>
      <c r="O76" s="24">
        <f t="shared" si="18"/>
        <v>1</v>
      </c>
      <c r="P76" s="720"/>
      <c r="Q76" s="24">
        <f t="shared" si="19"/>
        <v>1</v>
      </c>
      <c r="R76" s="716">
        <f t="shared" ca="1" si="20"/>
        <v>76262</v>
      </c>
      <c r="S76" s="361">
        <f t="shared" ca="1" si="21"/>
        <v>496</v>
      </c>
    </row>
    <row r="77" spans="1:19">
      <c r="A77" s="718" t="str">
        <f>Sheet1!A55</f>
        <v>青年公寓604</v>
      </c>
      <c r="B77" s="718">
        <f>Sheet1!C55</f>
        <v>65</v>
      </c>
      <c r="C77" s="24">
        <f t="shared" si="12"/>
        <v>1</v>
      </c>
      <c r="D77" s="720"/>
      <c r="E77" s="24">
        <f t="shared" si="13"/>
        <v>1</v>
      </c>
      <c r="F77" s="720"/>
      <c r="G77" s="24">
        <f t="shared" si="14"/>
        <v>1</v>
      </c>
      <c r="H77" s="720"/>
      <c r="I77" s="24">
        <f t="shared" si="15"/>
        <v>1</v>
      </c>
      <c r="J77" s="720"/>
      <c r="K77" s="24">
        <f t="shared" si="16"/>
        <v>1</v>
      </c>
      <c r="L77" s="720"/>
      <c r="M77" s="24">
        <f t="shared" si="17"/>
        <v>1</v>
      </c>
      <c r="N77" s="720" t="s">
        <v>3088</v>
      </c>
      <c r="O77" s="24">
        <f t="shared" si="18"/>
        <v>1</v>
      </c>
      <c r="P77" s="720"/>
      <c r="Q77" s="24">
        <f t="shared" si="19"/>
        <v>1</v>
      </c>
      <c r="R77" s="716">
        <f t="shared" ca="1" si="20"/>
        <v>76262</v>
      </c>
      <c r="S77" s="361">
        <f t="shared" ca="1" si="21"/>
        <v>496</v>
      </c>
    </row>
    <row r="78" spans="1:19">
      <c r="A78" s="718" t="str">
        <f>Sheet1!A56</f>
        <v>青年公寓605</v>
      </c>
      <c r="B78" s="718">
        <f>Sheet1!C56</f>
        <v>65</v>
      </c>
      <c r="C78" s="24">
        <f t="shared" si="12"/>
        <v>1</v>
      </c>
      <c r="D78" s="720"/>
      <c r="E78" s="24">
        <f t="shared" si="13"/>
        <v>1</v>
      </c>
      <c r="F78" s="720"/>
      <c r="G78" s="24">
        <f t="shared" si="14"/>
        <v>1</v>
      </c>
      <c r="H78" s="720"/>
      <c r="I78" s="24">
        <f t="shared" si="15"/>
        <v>1</v>
      </c>
      <c r="J78" s="720"/>
      <c r="K78" s="24">
        <f t="shared" si="16"/>
        <v>1</v>
      </c>
      <c r="L78" s="720"/>
      <c r="M78" s="24">
        <f t="shared" si="17"/>
        <v>1</v>
      </c>
      <c r="N78" s="720" t="s">
        <v>3088</v>
      </c>
      <c r="O78" s="24">
        <f t="shared" si="18"/>
        <v>1</v>
      </c>
      <c r="P78" s="720"/>
      <c r="Q78" s="24">
        <f t="shared" si="19"/>
        <v>1</v>
      </c>
      <c r="R78" s="716">
        <f t="shared" ca="1" si="20"/>
        <v>76262</v>
      </c>
      <c r="S78" s="361">
        <f t="shared" ref="S78:S122" ca="1" si="22">ROUND(R78*B78/10000,0)</f>
        <v>496</v>
      </c>
    </row>
    <row r="79" spans="1:19">
      <c r="A79" s="718" t="str">
        <f>Sheet1!A57</f>
        <v>青年公寓606</v>
      </c>
      <c r="B79" s="718">
        <f>Sheet1!C57</f>
        <v>65</v>
      </c>
      <c r="C79" s="24">
        <f t="shared" si="12"/>
        <v>1</v>
      </c>
      <c r="D79" s="720"/>
      <c r="E79" s="24">
        <f t="shared" si="13"/>
        <v>1</v>
      </c>
      <c r="F79" s="720"/>
      <c r="G79" s="24">
        <f t="shared" si="14"/>
        <v>1</v>
      </c>
      <c r="H79" s="720"/>
      <c r="I79" s="24">
        <f t="shared" si="15"/>
        <v>1</v>
      </c>
      <c r="J79" s="720"/>
      <c r="K79" s="24">
        <f t="shared" si="16"/>
        <v>1</v>
      </c>
      <c r="L79" s="720"/>
      <c r="M79" s="24">
        <f t="shared" si="17"/>
        <v>1</v>
      </c>
      <c r="N79" s="720" t="s">
        <v>3088</v>
      </c>
      <c r="O79" s="24">
        <f t="shared" si="18"/>
        <v>1</v>
      </c>
      <c r="P79" s="720"/>
      <c r="Q79" s="24">
        <f t="shared" si="19"/>
        <v>1</v>
      </c>
      <c r="R79" s="716">
        <f t="shared" ca="1" si="20"/>
        <v>76262</v>
      </c>
      <c r="S79" s="361">
        <f t="shared" ca="1" si="22"/>
        <v>496</v>
      </c>
    </row>
    <row r="80" spans="1:19">
      <c r="A80" s="718" t="str">
        <f>Sheet1!A58</f>
        <v>青年公寓607</v>
      </c>
      <c r="B80" s="718">
        <f>Sheet1!C58</f>
        <v>65</v>
      </c>
      <c r="C80" s="24">
        <f t="shared" si="12"/>
        <v>1</v>
      </c>
      <c r="D80" s="720"/>
      <c r="E80" s="24">
        <f t="shared" si="13"/>
        <v>1</v>
      </c>
      <c r="F80" s="720"/>
      <c r="G80" s="24">
        <f t="shared" si="14"/>
        <v>1</v>
      </c>
      <c r="H80" s="720"/>
      <c r="I80" s="24">
        <f t="shared" si="15"/>
        <v>1</v>
      </c>
      <c r="J80" s="720"/>
      <c r="K80" s="24">
        <f t="shared" si="16"/>
        <v>1</v>
      </c>
      <c r="L80" s="720"/>
      <c r="M80" s="24">
        <f t="shared" si="17"/>
        <v>1</v>
      </c>
      <c r="N80" s="720" t="s">
        <v>3088</v>
      </c>
      <c r="O80" s="24">
        <f t="shared" si="18"/>
        <v>1</v>
      </c>
      <c r="P80" s="720"/>
      <c r="Q80" s="24">
        <f t="shared" si="19"/>
        <v>1</v>
      </c>
      <c r="R80" s="716">
        <f t="shared" ca="1" si="20"/>
        <v>76262</v>
      </c>
      <c r="S80" s="361">
        <f t="shared" ca="1" si="22"/>
        <v>496</v>
      </c>
    </row>
    <row r="81" spans="1:19">
      <c r="A81" s="718" t="str">
        <f>Sheet1!A59</f>
        <v>青年公寓608</v>
      </c>
      <c r="B81" s="718">
        <f>Sheet1!C59</f>
        <v>65</v>
      </c>
      <c r="C81" s="24">
        <f t="shared" si="12"/>
        <v>1</v>
      </c>
      <c r="D81" s="720"/>
      <c r="E81" s="24">
        <f t="shared" si="13"/>
        <v>1</v>
      </c>
      <c r="F81" s="720"/>
      <c r="G81" s="24">
        <f t="shared" si="14"/>
        <v>1</v>
      </c>
      <c r="H81" s="720"/>
      <c r="I81" s="24">
        <f t="shared" si="15"/>
        <v>1</v>
      </c>
      <c r="J81" s="720"/>
      <c r="K81" s="24">
        <f t="shared" si="16"/>
        <v>1</v>
      </c>
      <c r="L81" s="720"/>
      <c r="M81" s="24">
        <f t="shared" si="17"/>
        <v>1</v>
      </c>
      <c r="N81" s="720" t="s">
        <v>3088</v>
      </c>
      <c r="O81" s="24">
        <f t="shared" si="18"/>
        <v>1</v>
      </c>
      <c r="P81" s="720"/>
      <c r="Q81" s="24">
        <f t="shared" si="19"/>
        <v>1</v>
      </c>
      <c r="R81" s="716">
        <f t="shared" ca="1" si="20"/>
        <v>76262</v>
      </c>
      <c r="S81" s="361">
        <f t="shared" ca="1" si="22"/>
        <v>496</v>
      </c>
    </row>
    <row r="82" spans="1:19">
      <c r="A82" s="718" t="str">
        <f>Sheet1!A60</f>
        <v>青年公寓609</v>
      </c>
      <c r="B82" s="718">
        <f>Sheet1!C60</f>
        <v>65</v>
      </c>
      <c r="C82" s="24">
        <f t="shared" si="12"/>
        <v>1</v>
      </c>
      <c r="D82" s="720"/>
      <c r="E82" s="24">
        <f t="shared" si="13"/>
        <v>1</v>
      </c>
      <c r="F82" s="720"/>
      <c r="G82" s="24">
        <f t="shared" si="14"/>
        <v>1</v>
      </c>
      <c r="H82" s="720"/>
      <c r="I82" s="24">
        <f t="shared" si="15"/>
        <v>1</v>
      </c>
      <c r="J82" s="720"/>
      <c r="K82" s="24">
        <f t="shared" si="16"/>
        <v>1</v>
      </c>
      <c r="L82" s="720"/>
      <c r="M82" s="24">
        <f t="shared" si="17"/>
        <v>1</v>
      </c>
      <c r="N82" s="720" t="s">
        <v>3088</v>
      </c>
      <c r="O82" s="24">
        <f t="shared" si="18"/>
        <v>1</v>
      </c>
      <c r="P82" s="720"/>
      <c r="Q82" s="24">
        <f t="shared" si="19"/>
        <v>1</v>
      </c>
      <c r="R82" s="716">
        <f t="shared" ca="1" si="20"/>
        <v>76262</v>
      </c>
      <c r="S82" s="361">
        <f t="shared" ca="1" si="22"/>
        <v>496</v>
      </c>
    </row>
    <row r="83" spans="1:19">
      <c r="A83" s="718" t="str">
        <f>Sheet1!A61</f>
        <v>青年公寓610</v>
      </c>
      <c r="B83" s="718">
        <f>Sheet1!C61</f>
        <v>65</v>
      </c>
      <c r="C83" s="24">
        <f t="shared" si="12"/>
        <v>1</v>
      </c>
      <c r="D83" s="720"/>
      <c r="E83" s="24">
        <f t="shared" si="13"/>
        <v>1</v>
      </c>
      <c r="F83" s="720"/>
      <c r="G83" s="24">
        <f t="shared" si="14"/>
        <v>1</v>
      </c>
      <c r="H83" s="720"/>
      <c r="I83" s="24">
        <f t="shared" si="15"/>
        <v>1</v>
      </c>
      <c r="J83" s="720"/>
      <c r="K83" s="24">
        <f t="shared" si="16"/>
        <v>1</v>
      </c>
      <c r="L83" s="720"/>
      <c r="M83" s="24">
        <f t="shared" si="17"/>
        <v>1</v>
      </c>
      <c r="N83" s="720" t="s">
        <v>3088</v>
      </c>
      <c r="O83" s="24">
        <f t="shared" si="18"/>
        <v>1</v>
      </c>
      <c r="P83" s="720"/>
      <c r="Q83" s="24">
        <f t="shared" si="19"/>
        <v>1</v>
      </c>
      <c r="R83" s="716">
        <f t="shared" ca="1" si="20"/>
        <v>76262</v>
      </c>
      <c r="S83" s="361">
        <f t="shared" ca="1" si="22"/>
        <v>496</v>
      </c>
    </row>
    <row r="84" spans="1:19">
      <c r="A84" s="718" t="str">
        <f>Sheet1!A62</f>
        <v>青年公寓611</v>
      </c>
      <c r="B84" s="718">
        <f>Sheet1!C62</f>
        <v>65</v>
      </c>
      <c r="C84" s="24">
        <f t="shared" si="12"/>
        <v>1</v>
      </c>
      <c r="D84" s="720"/>
      <c r="E84" s="24">
        <f t="shared" si="13"/>
        <v>1</v>
      </c>
      <c r="F84" s="720"/>
      <c r="G84" s="24">
        <f t="shared" si="14"/>
        <v>1</v>
      </c>
      <c r="H84" s="720"/>
      <c r="I84" s="24">
        <f t="shared" si="15"/>
        <v>1</v>
      </c>
      <c r="J84" s="720"/>
      <c r="K84" s="24">
        <f t="shared" si="16"/>
        <v>1</v>
      </c>
      <c r="L84" s="720"/>
      <c r="M84" s="24">
        <f t="shared" si="17"/>
        <v>1</v>
      </c>
      <c r="N84" s="720" t="s">
        <v>3088</v>
      </c>
      <c r="O84" s="24">
        <f t="shared" si="18"/>
        <v>1</v>
      </c>
      <c r="P84" s="720"/>
      <c r="Q84" s="24">
        <f t="shared" si="19"/>
        <v>1</v>
      </c>
      <c r="R84" s="716">
        <f t="shared" ca="1" si="20"/>
        <v>76262</v>
      </c>
      <c r="S84" s="361">
        <f t="shared" ca="1" si="22"/>
        <v>496</v>
      </c>
    </row>
    <row r="85" spans="1:19">
      <c r="A85" s="718" t="str">
        <f>Sheet1!A63</f>
        <v>青年公寓612</v>
      </c>
      <c r="B85" s="718">
        <f>Sheet1!C63</f>
        <v>65</v>
      </c>
      <c r="C85" s="24">
        <f t="shared" si="12"/>
        <v>1</v>
      </c>
      <c r="D85" s="720"/>
      <c r="E85" s="24">
        <f t="shared" si="13"/>
        <v>1</v>
      </c>
      <c r="F85" s="720"/>
      <c r="G85" s="24">
        <f t="shared" si="14"/>
        <v>1</v>
      </c>
      <c r="H85" s="720"/>
      <c r="I85" s="24">
        <f t="shared" si="15"/>
        <v>1</v>
      </c>
      <c r="J85" s="720"/>
      <c r="K85" s="24">
        <f t="shared" si="16"/>
        <v>1</v>
      </c>
      <c r="L85" s="720"/>
      <c r="M85" s="24">
        <f t="shared" si="17"/>
        <v>1</v>
      </c>
      <c r="N85" s="720" t="s">
        <v>3088</v>
      </c>
      <c r="O85" s="24">
        <f t="shared" si="18"/>
        <v>1</v>
      </c>
      <c r="P85" s="720"/>
      <c r="Q85" s="24">
        <f t="shared" si="19"/>
        <v>1</v>
      </c>
      <c r="R85" s="716">
        <f t="shared" ca="1" si="20"/>
        <v>76262</v>
      </c>
      <c r="S85" s="361">
        <f t="shared" ca="1" si="22"/>
        <v>496</v>
      </c>
    </row>
    <row r="86" spans="1:19">
      <c r="A86" s="718" t="str">
        <f>Sheet1!A64</f>
        <v>青年公寓613</v>
      </c>
      <c r="B86" s="718">
        <f>Sheet1!C64</f>
        <v>65</v>
      </c>
      <c r="C86" s="24">
        <f t="shared" si="12"/>
        <v>1</v>
      </c>
      <c r="D86" s="720"/>
      <c r="E86" s="24">
        <f t="shared" si="13"/>
        <v>1</v>
      </c>
      <c r="F86" s="720"/>
      <c r="G86" s="24">
        <f t="shared" si="14"/>
        <v>1</v>
      </c>
      <c r="H86" s="720"/>
      <c r="I86" s="24">
        <f t="shared" si="15"/>
        <v>1</v>
      </c>
      <c r="J86" s="720"/>
      <c r="K86" s="24">
        <f t="shared" si="16"/>
        <v>1</v>
      </c>
      <c r="L86" s="720"/>
      <c r="M86" s="24">
        <f t="shared" si="17"/>
        <v>1</v>
      </c>
      <c r="N86" s="2977" t="s">
        <v>3173</v>
      </c>
      <c r="O86" s="24">
        <f t="shared" si="18"/>
        <v>0.94</v>
      </c>
      <c r="P86" s="720"/>
      <c r="Q86" s="24">
        <f t="shared" si="19"/>
        <v>1</v>
      </c>
      <c r="R86" s="716">
        <f t="shared" ca="1" si="20"/>
        <v>71686</v>
      </c>
      <c r="S86" s="361">
        <f t="shared" ca="1" si="22"/>
        <v>466</v>
      </c>
    </row>
    <row r="87" spans="1:19">
      <c r="A87" s="718" t="str">
        <f>Sheet1!A65</f>
        <v>青年公寓614</v>
      </c>
      <c r="B87" s="718">
        <f>Sheet1!C65</f>
        <v>82.2</v>
      </c>
      <c r="C87" s="24">
        <f t="shared" si="12"/>
        <v>1</v>
      </c>
      <c r="D87" s="720"/>
      <c r="E87" s="24">
        <f t="shared" si="13"/>
        <v>1</v>
      </c>
      <c r="F87" s="720"/>
      <c r="G87" s="24">
        <f t="shared" si="14"/>
        <v>1</v>
      </c>
      <c r="H87" s="720"/>
      <c r="I87" s="24">
        <f t="shared" si="15"/>
        <v>1</v>
      </c>
      <c r="J87" s="720"/>
      <c r="K87" s="24">
        <f t="shared" si="16"/>
        <v>1</v>
      </c>
      <c r="L87" s="720"/>
      <c r="M87" s="24">
        <f t="shared" si="17"/>
        <v>1</v>
      </c>
      <c r="N87" s="2977" t="s">
        <v>3173</v>
      </c>
      <c r="O87" s="24">
        <f t="shared" si="18"/>
        <v>0.94</v>
      </c>
      <c r="P87" s="720"/>
      <c r="Q87" s="24">
        <f t="shared" si="19"/>
        <v>1</v>
      </c>
      <c r="R87" s="716">
        <f t="shared" ca="1" si="20"/>
        <v>71686</v>
      </c>
      <c r="S87" s="361">
        <f t="shared" ca="1" si="22"/>
        <v>589</v>
      </c>
    </row>
    <row r="88" spans="1:19">
      <c r="A88" s="718" t="str">
        <f>Sheet1!A66</f>
        <v>青年公寓615</v>
      </c>
      <c r="B88" s="718">
        <f>Sheet1!C66</f>
        <v>85</v>
      </c>
      <c r="C88" s="24">
        <f t="shared" si="12"/>
        <v>1</v>
      </c>
      <c r="D88" s="720"/>
      <c r="E88" s="24">
        <f t="shared" si="13"/>
        <v>1</v>
      </c>
      <c r="F88" s="720"/>
      <c r="G88" s="24">
        <f t="shared" si="14"/>
        <v>1</v>
      </c>
      <c r="H88" s="720"/>
      <c r="I88" s="24">
        <f t="shared" si="15"/>
        <v>1</v>
      </c>
      <c r="J88" s="720"/>
      <c r="K88" s="24">
        <f t="shared" si="16"/>
        <v>1</v>
      </c>
      <c r="L88" s="720"/>
      <c r="M88" s="24">
        <f t="shared" si="17"/>
        <v>1</v>
      </c>
      <c r="N88" s="2977" t="s">
        <v>3173</v>
      </c>
      <c r="O88" s="24">
        <f t="shared" si="18"/>
        <v>0.94</v>
      </c>
      <c r="P88" s="720"/>
      <c r="Q88" s="24">
        <f t="shared" si="19"/>
        <v>1</v>
      </c>
      <c r="R88" s="716">
        <f t="shared" ca="1" si="20"/>
        <v>71686</v>
      </c>
      <c r="S88" s="361">
        <f t="shared" ca="1" si="22"/>
        <v>609</v>
      </c>
    </row>
    <row r="89" spans="1:19">
      <c r="A89" s="718" t="str">
        <f>Sheet1!A67</f>
        <v>青年公寓616</v>
      </c>
      <c r="B89" s="718">
        <f>Sheet1!C67</f>
        <v>65</v>
      </c>
      <c r="C89" s="24">
        <f t="shared" si="12"/>
        <v>1</v>
      </c>
      <c r="D89" s="720"/>
      <c r="E89" s="24">
        <f t="shared" si="13"/>
        <v>1</v>
      </c>
      <c r="F89" s="720"/>
      <c r="G89" s="24">
        <f t="shared" si="14"/>
        <v>1</v>
      </c>
      <c r="H89" s="720"/>
      <c r="I89" s="24">
        <f t="shared" si="15"/>
        <v>1</v>
      </c>
      <c r="J89" s="720"/>
      <c r="K89" s="24">
        <f t="shared" si="16"/>
        <v>1</v>
      </c>
      <c r="L89" s="720"/>
      <c r="M89" s="24">
        <f t="shared" si="17"/>
        <v>1</v>
      </c>
      <c r="N89" s="2977" t="s">
        <v>3173</v>
      </c>
      <c r="O89" s="24">
        <f t="shared" si="18"/>
        <v>0.94</v>
      </c>
      <c r="P89" s="720"/>
      <c r="Q89" s="24">
        <f t="shared" si="19"/>
        <v>1</v>
      </c>
      <c r="R89" s="716">
        <f t="shared" ca="1" si="20"/>
        <v>71686</v>
      </c>
      <c r="S89" s="361">
        <f t="shared" ca="1" si="22"/>
        <v>466</v>
      </c>
    </row>
    <row r="90" spans="1:19">
      <c r="A90" s="718" t="str">
        <f>Sheet1!A68</f>
        <v>青年公寓617</v>
      </c>
      <c r="B90" s="718">
        <f>Sheet1!C68</f>
        <v>65</v>
      </c>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2977" t="s">
        <v>3173</v>
      </c>
      <c r="O90" s="24">
        <f t="shared" ref="O90:O153" si="29">(SUMIF($15:$15,N90,$16:$16)-SUMIF($15:$15,$N$24,$16:$16)+100)/100</f>
        <v>0.94</v>
      </c>
      <c r="P90" s="720"/>
      <c r="Q90" s="24">
        <f t="shared" ref="Q90:Q153" si="30">(SUMIF($17:$17,P90,$18:$18)-SUMIF($17:$17,$P$24,$18:$18)+100)/100</f>
        <v>1</v>
      </c>
      <c r="R90" s="716">
        <f t="shared" ref="R90:R153" ca="1" si="31">IF(B90="",0,ROUND($R$24*C90*E90*G90*I90*K90*M90*O90*Q90,0))</f>
        <v>71686</v>
      </c>
      <c r="S90" s="361">
        <f t="shared" ca="1" si="22"/>
        <v>466</v>
      </c>
    </row>
    <row r="91" spans="1:19">
      <c r="A91" s="718" t="str">
        <f>Sheet1!A69</f>
        <v>青年公寓618</v>
      </c>
      <c r="B91" s="718">
        <f>Sheet1!C69</f>
        <v>65</v>
      </c>
      <c r="C91" s="24">
        <f t="shared" si="23"/>
        <v>1</v>
      </c>
      <c r="D91" s="720"/>
      <c r="E91" s="24">
        <f t="shared" si="24"/>
        <v>1</v>
      </c>
      <c r="F91" s="720"/>
      <c r="G91" s="24">
        <f t="shared" si="25"/>
        <v>1</v>
      </c>
      <c r="H91" s="720"/>
      <c r="I91" s="24">
        <f t="shared" si="26"/>
        <v>1</v>
      </c>
      <c r="J91" s="720"/>
      <c r="K91" s="24">
        <f t="shared" si="27"/>
        <v>1</v>
      </c>
      <c r="L91" s="720"/>
      <c r="M91" s="24">
        <f t="shared" si="28"/>
        <v>1</v>
      </c>
      <c r="N91" s="2977" t="s">
        <v>3173</v>
      </c>
      <c r="O91" s="24">
        <f t="shared" si="29"/>
        <v>0.94</v>
      </c>
      <c r="P91" s="720"/>
      <c r="Q91" s="24">
        <f t="shared" si="30"/>
        <v>1</v>
      </c>
      <c r="R91" s="716">
        <f t="shared" ca="1" si="31"/>
        <v>71686</v>
      </c>
      <c r="S91" s="361">
        <f t="shared" ca="1" si="22"/>
        <v>466</v>
      </c>
    </row>
    <row r="92" spans="1:19">
      <c r="A92" s="718"/>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0</v>
      </c>
      <c r="P92" s="720"/>
      <c r="Q92" s="24">
        <f t="shared" si="30"/>
        <v>1</v>
      </c>
      <c r="R92" s="716">
        <f t="shared" si="31"/>
        <v>0</v>
      </c>
      <c r="S92" s="361">
        <f t="shared" si="22"/>
        <v>0</v>
      </c>
    </row>
    <row r="93" spans="1:19">
      <c r="A93" s="718"/>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0</v>
      </c>
      <c r="P93" s="720"/>
      <c r="Q93" s="24">
        <f t="shared" si="30"/>
        <v>1</v>
      </c>
      <c r="R93" s="716">
        <f t="shared" si="31"/>
        <v>0</v>
      </c>
      <c r="S93" s="361">
        <f t="shared" si="22"/>
        <v>0</v>
      </c>
    </row>
    <row r="94" spans="1:19">
      <c r="A94" s="718"/>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0</v>
      </c>
      <c r="P94" s="720"/>
      <c r="Q94" s="24">
        <f t="shared" si="30"/>
        <v>1</v>
      </c>
      <c r="R94" s="716">
        <f t="shared" si="31"/>
        <v>0</v>
      </c>
      <c r="S94" s="361">
        <f t="shared" si="22"/>
        <v>0</v>
      </c>
    </row>
    <row r="95" spans="1:19">
      <c r="A95" s="718"/>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0</v>
      </c>
      <c r="P95" s="720"/>
      <c r="Q95" s="24">
        <f t="shared" si="30"/>
        <v>1</v>
      </c>
      <c r="R95" s="716">
        <f t="shared" si="31"/>
        <v>0</v>
      </c>
      <c r="S95" s="361">
        <f t="shared" si="22"/>
        <v>0</v>
      </c>
    </row>
    <row r="96" spans="1:19">
      <c r="A96" s="718"/>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0</v>
      </c>
      <c r="P96" s="720"/>
      <c r="Q96" s="24">
        <f t="shared" si="30"/>
        <v>1</v>
      </c>
      <c r="R96" s="716">
        <f t="shared" si="31"/>
        <v>0</v>
      </c>
      <c r="S96" s="361">
        <f t="shared" si="22"/>
        <v>0</v>
      </c>
    </row>
    <row r="97" spans="1:19">
      <c r="A97" s="718"/>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0</v>
      </c>
      <c r="P97" s="720"/>
      <c r="Q97" s="24">
        <f t="shared" si="30"/>
        <v>1</v>
      </c>
      <c r="R97" s="716">
        <f t="shared" si="31"/>
        <v>0</v>
      </c>
      <c r="S97" s="361">
        <f t="shared" si="22"/>
        <v>0</v>
      </c>
    </row>
    <row r="98" spans="1:19">
      <c r="A98" s="718"/>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0</v>
      </c>
      <c r="P98" s="720"/>
      <c r="Q98" s="24">
        <f t="shared" si="30"/>
        <v>1</v>
      </c>
      <c r="R98" s="716">
        <f t="shared" si="31"/>
        <v>0</v>
      </c>
      <c r="S98" s="361">
        <f t="shared" si="22"/>
        <v>0</v>
      </c>
    </row>
    <row r="99" spans="1:19">
      <c r="A99" s="718"/>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0</v>
      </c>
      <c r="P99" s="720"/>
      <c r="Q99" s="24">
        <f t="shared" si="30"/>
        <v>1</v>
      </c>
      <c r="R99" s="716">
        <f t="shared" si="31"/>
        <v>0</v>
      </c>
      <c r="S99" s="361">
        <f t="shared" si="22"/>
        <v>0</v>
      </c>
    </row>
    <row r="100" spans="1:19">
      <c r="A100" s="718"/>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0</v>
      </c>
      <c r="P100" s="720"/>
      <c r="Q100" s="24">
        <f t="shared" si="30"/>
        <v>1</v>
      </c>
      <c r="R100" s="716">
        <f t="shared" si="31"/>
        <v>0</v>
      </c>
      <c r="S100" s="361">
        <f t="shared" si="22"/>
        <v>0</v>
      </c>
    </row>
    <row r="101" spans="1:19">
      <c r="A101" s="718"/>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0</v>
      </c>
      <c r="P101" s="720"/>
      <c r="Q101" s="24">
        <f t="shared" si="30"/>
        <v>1</v>
      </c>
      <c r="R101" s="716">
        <f t="shared" si="31"/>
        <v>0</v>
      </c>
      <c r="S101" s="361">
        <f t="shared" si="22"/>
        <v>0</v>
      </c>
    </row>
    <row r="102" spans="1:19">
      <c r="A102" s="718"/>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0</v>
      </c>
      <c r="P102" s="720"/>
      <c r="Q102" s="24">
        <f t="shared" si="30"/>
        <v>1</v>
      </c>
      <c r="R102" s="716">
        <f t="shared" si="31"/>
        <v>0</v>
      </c>
      <c r="S102" s="361">
        <f t="shared" si="22"/>
        <v>0</v>
      </c>
    </row>
    <row r="103" spans="1:19">
      <c r="A103" s="718"/>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0</v>
      </c>
      <c r="P103" s="720"/>
      <c r="Q103" s="24">
        <f t="shared" si="30"/>
        <v>1</v>
      </c>
      <c r="R103" s="716">
        <f t="shared" si="31"/>
        <v>0</v>
      </c>
      <c r="S103" s="361">
        <f t="shared" si="22"/>
        <v>0</v>
      </c>
    </row>
    <row r="104" spans="1:19">
      <c r="A104" s="718"/>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0</v>
      </c>
      <c r="P104" s="720"/>
      <c r="Q104" s="24">
        <f t="shared" si="30"/>
        <v>1</v>
      </c>
      <c r="R104" s="716">
        <f t="shared" si="31"/>
        <v>0</v>
      </c>
      <c r="S104" s="361">
        <f t="shared" si="22"/>
        <v>0</v>
      </c>
    </row>
    <row r="105" spans="1:19">
      <c r="A105" s="718"/>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0</v>
      </c>
      <c r="P105" s="720"/>
      <c r="Q105" s="24">
        <f t="shared" si="30"/>
        <v>1</v>
      </c>
      <c r="R105" s="716">
        <f t="shared" si="31"/>
        <v>0</v>
      </c>
      <c r="S105" s="361">
        <f t="shared" si="22"/>
        <v>0</v>
      </c>
    </row>
    <row r="106" spans="1:19">
      <c r="A106" s="718"/>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0</v>
      </c>
      <c r="P106" s="720"/>
      <c r="Q106" s="24">
        <f t="shared" si="30"/>
        <v>1</v>
      </c>
      <c r="R106" s="716">
        <f t="shared" si="31"/>
        <v>0</v>
      </c>
      <c r="S106" s="361">
        <f t="shared" si="22"/>
        <v>0</v>
      </c>
    </row>
    <row r="107" spans="1:19">
      <c r="A107" s="718"/>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0</v>
      </c>
      <c r="P107" s="720"/>
      <c r="Q107" s="24">
        <f t="shared" si="30"/>
        <v>1</v>
      </c>
      <c r="R107" s="716">
        <f t="shared" si="31"/>
        <v>0</v>
      </c>
      <c r="S107" s="361">
        <f t="shared" si="22"/>
        <v>0</v>
      </c>
    </row>
    <row r="108" spans="1:19">
      <c r="A108" s="718"/>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0</v>
      </c>
      <c r="P108" s="720"/>
      <c r="Q108" s="24">
        <f t="shared" si="30"/>
        <v>1</v>
      </c>
      <c r="R108" s="716">
        <f t="shared" si="31"/>
        <v>0</v>
      </c>
      <c r="S108" s="361">
        <f t="shared" si="22"/>
        <v>0</v>
      </c>
    </row>
    <row r="109" spans="1:19">
      <c r="A109" s="718"/>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0</v>
      </c>
      <c r="P109" s="720"/>
      <c r="Q109" s="24">
        <f t="shared" si="30"/>
        <v>1</v>
      </c>
      <c r="R109" s="716">
        <f t="shared" si="31"/>
        <v>0</v>
      </c>
      <c r="S109" s="361">
        <f t="shared" si="22"/>
        <v>0</v>
      </c>
    </row>
    <row r="110" spans="1:19">
      <c r="A110" s="718"/>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0</v>
      </c>
      <c r="P110" s="720"/>
      <c r="Q110" s="24">
        <f t="shared" si="30"/>
        <v>1</v>
      </c>
      <c r="R110" s="716">
        <f t="shared" si="31"/>
        <v>0</v>
      </c>
      <c r="S110" s="361">
        <f t="shared" si="22"/>
        <v>0</v>
      </c>
    </row>
    <row r="111" spans="1:19">
      <c r="A111" s="718"/>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0</v>
      </c>
      <c r="P111" s="720"/>
      <c r="Q111" s="24">
        <f t="shared" si="30"/>
        <v>1</v>
      </c>
      <c r="R111" s="716">
        <f t="shared" si="31"/>
        <v>0</v>
      </c>
      <c r="S111" s="361">
        <f t="shared" si="22"/>
        <v>0</v>
      </c>
    </row>
    <row r="112" spans="1:19">
      <c r="A112" s="718"/>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0</v>
      </c>
      <c r="P112" s="720"/>
      <c r="Q112" s="24">
        <f t="shared" si="30"/>
        <v>1</v>
      </c>
      <c r="R112" s="716">
        <f t="shared" si="31"/>
        <v>0</v>
      </c>
      <c r="S112" s="361">
        <f t="shared" si="22"/>
        <v>0</v>
      </c>
    </row>
    <row r="113" spans="1:19">
      <c r="A113" s="718"/>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0</v>
      </c>
      <c r="P113" s="720"/>
      <c r="Q113" s="24">
        <f t="shared" si="30"/>
        <v>1</v>
      </c>
      <c r="R113" s="716">
        <f t="shared" si="31"/>
        <v>0</v>
      </c>
      <c r="S113" s="361">
        <f t="shared" si="22"/>
        <v>0</v>
      </c>
    </row>
    <row r="114" spans="1:19">
      <c r="A114" s="718"/>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0</v>
      </c>
      <c r="P114" s="720"/>
      <c r="Q114" s="24">
        <f t="shared" si="30"/>
        <v>1</v>
      </c>
      <c r="R114" s="716">
        <f t="shared" si="31"/>
        <v>0</v>
      </c>
      <c r="S114" s="361">
        <f t="shared" si="22"/>
        <v>0</v>
      </c>
    </row>
    <row r="115" spans="1:19">
      <c r="A115" s="718"/>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0</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0</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0</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0</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0</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0</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0</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0</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0</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0</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0</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0</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0</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0</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0</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0</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0</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0</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0</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0</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0</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0</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0</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0</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0</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0</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0</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0</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0</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0</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0</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0</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0</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0</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0</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0</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0</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0</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0</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0</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0</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0</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0</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0</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0</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0</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0</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0</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0</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0</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0</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0</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0</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0</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0</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0</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0</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0</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0</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0</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0</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0</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0</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0</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0</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0</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0</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0</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0</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0</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0</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0</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0</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0</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0</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0</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0</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0</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0</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0</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0</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0</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0</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0</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0</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0</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0</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0</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0</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0</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0</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0</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0</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0</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0</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0</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0</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0</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0</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0</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0</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0</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0</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0</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0</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0</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0</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0</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0</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0</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0</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0</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0</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0</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0</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0</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0</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0</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0</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0</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0</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0</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0</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0</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0</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0</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0</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0</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0</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0</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0</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0</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0</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0</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0</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0</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0</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0</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0</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0</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0</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0</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0</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0</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0</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0</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0</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0</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0</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0</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0</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0</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0</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0</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0</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0</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0</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0</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0</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0</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0</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0</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0</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0</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0</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0</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0</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0</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0</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0</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0</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0</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0</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0</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0</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0</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0</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0</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0</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0</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0</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0</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0</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0</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0</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0</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0</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0</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0</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0</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0</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0</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0</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0</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0</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0</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0</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0</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0</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0</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0</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0</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0</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0</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0</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0</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0</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0</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0</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0</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0</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0</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0</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0</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0</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0</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0</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0</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0</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0</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0</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0</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0</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0</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0</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0</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0</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0</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0</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0</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0</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0</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0</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0</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0</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0</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0</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0</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0</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0</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0</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0</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0</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0</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0</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0</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0</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0</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0</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0</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0</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0</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0</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0</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0</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0</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0</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0</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0</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0</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0</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0</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0</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0</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0</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0</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0</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0</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0</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0</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0</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0</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0</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0</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0</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0</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0</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0</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0</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0</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0</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0</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0</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0</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0</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0</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0</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0</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0</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0</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0</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0</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0</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0</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0</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0</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0</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0</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0</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0</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0</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0</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0</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0</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0</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0</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0</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0</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0</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0</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0</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0</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0</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0</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0</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0</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0</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0</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0</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0</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0</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0</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0</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0</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0</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0</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0</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0</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0</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0</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0</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0</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0</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0</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0</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0</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0</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0</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0</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0</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0</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0</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0</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0</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0</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0</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0</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0</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0</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0</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0</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0</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0</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0</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0</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0</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0</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0</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0</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0</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0</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0</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0</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0</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0</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0</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0</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0</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0</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0</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0</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0</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0</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0</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0</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0</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0</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0</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0</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0</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0</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0</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0</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0</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0</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0</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0</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0</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0</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0</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0</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0</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0</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0</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0</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0</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0</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0</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0</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0</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0</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0</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0</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0</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0</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0</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0</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0</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0</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0</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29670</v>
      </c>
      <c r="C2" s="2" t="s">
        <v>133</v>
      </c>
      <c r="D2" s="243"/>
      <c r="E2" s="243"/>
      <c r="F2" s="243"/>
      <c r="G2" s="243"/>
    </row>
    <row r="3" spans="1:7" s="244" customFormat="1" ht="18" customHeight="1" thickBot="1">
      <c r="A3" s="247" t="s">
        <v>85</v>
      </c>
      <c r="B3" s="248">
        <f ca="1">ROUND(B2*10000/'数据-汇总表'!E3,0)</f>
        <v>66566</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89</v>
      </c>
      <c r="D10" s="1032">
        <f>'数据-汇总表'!E6</f>
        <v>4457.2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0</v>
      </c>
      <c r="D19" s="1036">
        <f>'数据-汇总表'!E3</f>
        <v>4457.2</v>
      </c>
      <c r="E19" s="255">
        <f>'数据-取费表'!B31</f>
        <v>0</v>
      </c>
      <c r="F19" s="275"/>
      <c r="G19" s="1" t="s">
        <v>1070</v>
      </c>
    </row>
    <row r="20" spans="1:7" s="258" customFormat="1" ht="13.5" customHeight="1">
      <c r="A20" s="948" t="s">
        <v>1053</v>
      </c>
      <c r="B20" s="254" t="s">
        <v>104</v>
      </c>
      <c r="C20" s="276">
        <f>ROUND((C5+C19)*F20,0)</f>
        <v>412</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2024</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2004</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4">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6.4">
      <c r="A27" s="948" t="s">
        <v>787</v>
      </c>
      <c r="B27" s="288" t="s">
        <v>112</v>
      </c>
      <c r="C27" s="289">
        <f>C28</f>
        <v>4204</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4204</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29566</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109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v>
      </c>
      <c r="D36" s="264"/>
      <c r="E36" s="264"/>
      <c r="F36" s="303">
        <f>'数据-取费表'!B34</f>
        <v>0.05</v>
      </c>
      <c r="G36" s="304" t="s">
        <v>62</v>
      </c>
    </row>
    <row r="37" spans="1:7" s="302" customFormat="1" ht="13.5" customHeight="1">
      <c r="A37" s="951" t="s">
        <v>798</v>
      </c>
      <c r="B37" s="259" t="s">
        <v>118</v>
      </c>
      <c r="C37" s="293">
        <f>ROUND(E37*D37*F34/10000,0)</f>
        <v>89</v>
      </c>
      <c r="D37" s="261">
        <f>'数据-汇总表'!E3</f>
        <v>4457.2</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2</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v>
      </c>
      <c r="D41" s="279">
        <f ca="1">C44</f>
        <v>1E-3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5</v>
      </c>
      <c r="D42" s="282"/>
      <c r="E42" s="282"/>
      <c r="F42" s="283"/>
      <c r="G42" s="3170" t="s">
        <v>121</v>
      </c>
    </row>
    <row r="43" spans="1:7" ht="13.5" customHeight="1">
      <c r="A43" s="951" t="s">
        <v>792</v>
      </c>
      <c r="B43" s="259" t="s">
        <v>1060</v>
      </c>
      <c r="C43" s="282">
        <f ca="1">ROUND(IF('数据-取费表'!B22&lt;=1,C39*F22*'数据-取费表'!B21/2,C39*(POWER((1+F22),'数据-取费表'!B21/2)-1)),0)</f>
        <v>0</v>
      </c>
      <c r="D43" s="282"/>
      <c r="E43" s="282"/>
      <c r="F43" s="283"/>
      <c r="G43" s="3171"/>
    </row>
    <row r="44" spans="1:7" ht="13.5" customHeight="1">
      <c r="A44" s="951" t="s">
        <v>793</v>
      </c>
      <c r="B44" s="259" t="s">
        <v>1062</v>
      </c>
      <c r="C44" s="282">
        <f ca="1">ROUND(IF('数据-取费表'!B22&lt;=1,C40*F22*'数据-取费表'!B21/2,C40*(POWER((1+F22),'数据-取费表'!B21/2)-1)),4)</f>
        <v>1E-3</v>
      </c>
      <c r="D44" s="282"/>
      <c r="E44" s="282"/>
      <c r="F44" s="283"/>
      <c r="G44" s="3172"/>
    </row>
    <row r="45" spans="1:7" s="258" customFormat="1" ht="13.5" customHeight="1">
      <c r="A45" s="948" t="s">
        <v>786</v>
      </c>
      <c r="B45" s="288" t="s">
        <v>112</v>
      </c>
      <c r="C45" s="289">
        <f>C46</f>
        <v>22</v>
      </c>
      <c r="D45" s="279">
        <f>C47</f>
        <v>4.0000000000000001E-3</v>
      </c>
      <c r="E45" s="280" t="s">
        <v>129</v>
      </c>
      <c r="F45" s="290"/>
      <c r="G45" s="291" t="s">
        <v>1068</v>
      </c>
    </row>
    <row r="46" spans="1:7" s="258" customFormat="1" ht="13.5" customHeight="1">
      <c r="A46" s="951" t="s">
        <v>794</v>
      </c>
      <c r="B46" s="292" t="s">
        <v>1061</v>
      </c>
      <c r="C46" s="293">
        <f>ROUND((C33+C39)*F27,0)</f>
        <v>22</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150</v>
      </c>
      <c r="D49" s="276"/>
      <c r="E49" s="276"/>
      <c r="F49" s="308"/>
      <c r="G49" s="278" t="s">
        <v>1069</v>
      </c>
    </row>
    <row r="50" spans="1:7" s="302" customFormat="1" ht="24">
      <c r="A50" s="948" t="s">
        <v>789</v>
      </c>
      <c r="B50" s="254" t="s">
        <v>124</v>
      </c>
      <c r="C50" s="276"/>
      <c r="D50" s="276"/>
      <c r="E50" s="276"/>
      <c r="F50" s="308">
        <f>IF('数据-取费表'!B24=0,'数据-取费表'!N16,1)</f>
        <v>0.69</v>
      </c>
      <c r="G50" s="291" t="s">
        <v>125</v>
      </c>
    </row>
    <row r="51" spans="1:7" ht="16.5" customHeight="1">
      <c r="A51" s="948" t="s">
        <v>790</v>
      </c>
      <c r="B51" s="254" t="s">
        <v>132</v>
      </c>
      <c r="C51" s="276">
        <f ca="1">ROUND(C49*F50,0)</f>
        <v>104</v>
      </c>
      <c r="D51" s="276"/>
      <c r="E51" s="276"/>
      <c r="F51" s="308"/>
      <c r="G51" s="278" t="s">
        <v>64</v>
      </c>
    </row>
    <row r="52" spans="1:7" s="252" customFormat="1" ht="16.8" thickBot="1">
      <c r="A52" s="309" t="s">
        <v>65</v>
      </c>
      <c r="B52" s="310"/>
      <c r="C52" s="311">
        <f ca="1">C31+C51</f>
        <v>29670</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09" t="s">
        <v>156</v>
      </c>
      <c r="B1" s="3309"/>
      <c r="C1" s="3309"/>
      <c r="D1" s="3309"/>
      <c r="E1" s="3309"/>
      <c r="F1" s="330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10" t="s">
        <v>169</v>
      </c>
      <c r="B2" s="3310"/>
      <c r="C2" s="3310"/>
      <c r="D2" s="3310"/>
      <c r="E2" s="3310"/>
      <c r="F2" s="331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09" t="s">
        <v>867</v>
      </c>
      <c r="B1" s="3309"/>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1295</v>
      </c>
      <c r="C1" s="1693">
        <f>项目基本情况!D3</f>
        <v>43915</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1367</v>
      </c>
      <c r="E1" s="1775" t="s">
        <v>1371</v>
      </c>
      <c r="F1" s="1776" t="s">
        <v>1375</v>
      </c>
    </row>
    <row r="2" spans="1:13" ht="19.8">
      <c r="A2" s="1782" t="s">
        <v>1368</v>
      </c>
    </row>
    <row r="3" spans="1:13" ht="15.6">
      <c r="A3" s="1783" t="s">
        <v>1369</v>
      </c>
    </row>
    <row r="4" spans="1:13">
      <c r="A4" s="1773" t="s">
        <v>1370</v>
      </c>
      <c r="B4" s="1778" t="s">
        <v>1372</v>
      </c>
      <c r="C4" s="1779"/>
      <c r="D4" s="1780"/>
      <c r="E4" s="1778" t="s">
        <v>27</v>
      </c>
      <c r="F4" s="1779"/>
      <c r="G4" s="1780"/>
      <c r="H4" s="1778" t="s">
        <v>1373</v>
      </c>
      <c r="I4" s="1779"/>
      <c r="J4" s="1780"/>
      <c r="K4" s="1778" t="s">
        <v>6</v>
      </c>
      <c r="L4" s="1779"/>
      <c r="M4" s="1780"/>
    </row>
    <row r="5" spans="1:13">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0"/>
  <sheetViews>
    <sheetView workbookViewId="0">
      <selection activeCell="I27" sqref="I27"/>
    </sheetView>
  </sheetViews>
  <sheetFormatPr defaultRowHeight="14.4"/>
  <cols>
    <col min="1" max="1" width="12.77734375" bestFit="1" customWidth="1"/>
  </cols>
  <sheetData>
    <row r="1" spans="1:3">
      <c r="A1" s="2975" t="s">
        <v>3099</v>
      </c>
      <c r="B1" s="2975" t="s">
        <v>3100</v>
      </c>
      <c r="C1" s="2975" t="s">
        <v>3101</v>
      </c>
    </row>
    <row r="2" spans="1:3">
      <c r="A2" s="2976" t="s">
        <v>3102</v>
      </c>
      <c r="B2" s="2976" t="s">
        <v>3103</v>
      </c>
      <c r="C2" s="2976">
        <v>65</v>
      </c>
    </row>
    <row r="3" spans="1:3">
      <c r="A3" s="2976" t="s">
        <v>3104</v>
      </c>
      <c r="B3" s="2976" t="s">
        <v>3103</v>
      </c>
      <c r="C3" s="2976">
        <v>65</v>
      </c>
    </row>
    <row r="4" spans="1:3">
      <c r="A4" s="2976" t="s">
        <v>3105</v>
      </c>
      <c r="B4" s="2976" t="s">
        <v>3103</v>
      </c>
      <c r="C4" s="2976">
        <v>65</v>
      </c>
    </row>
    <row r="5" spans="1:3">
      <c r="A5" s="2976" t="s">
        <v>3106</v>
      </c>
      <c r="B5" s="2976" t="s">
        <v>3103</v>
      </c>
      <c r="C5" s="2976">
        <v>65</v>
      </c>
    </row>
    <row r="6" spans="1:3">
      <c r="A6" s="2976" t="s">
        <v>3107</v>
      </c>
      <c r="B6" s="2976" t="s">
        <v>3103</v>
      </c>
      <c r="C6" s="2976">
        <v>65</v>
      </c>
    </row>
    <row r="7" spans="1:3">
      <c r="A7" s="2976" t="s">
        <v>3108</v>
      </c>
      <c r="B7" s="2976" t="s">
        <v>3103</v>
      </c>
      <c r="C7" s="2976">
        <v>65</v>
      </c>
    </row>
    <row r="8" spans="1:3">
      <c r="A8" s="2976" t="s">
        <v>3109</v>
      </c>
      <c r="B8" s="2976" t="s">
        <v>3103</v>
      </c>
      <c r="C8" s="2976">
        <v>65</v>
      </c>
    </row>
    <row r="9" spans="1:3">
      <c r="A9" s="2976" t="s">
        <v>3110</v>
      </c>
      <c r="B9" s="2976" t="s">
        <v>3103</v>
      </c>
      <c r="C9" s="2976">
        <v>65</v>
      </c>
    </row>
    <row r="10" spans="1:3">
      <c r="A10" s="2976" t="s">
        <v>3111</v>
      </c>
      <c r="B10" s="2976" t="s">
        <v>3103</v>
      </c>
      <c r="C10" s="2976">
        <v>65</v>
      </c>
    </row>
    <row r="11" spans="1:3">
      <c r="A11" s="2976" t="s">
        <v>3112</v>
      </c>
      <c r="B11" s="2976" t="s">
        <v>3103</v>
      </c>
      <c r="C11" s="2976">
        <v>65</v>
      </c>
    </row>
    <row r="12" spans="1:3">
      <c r="A12" s="2976" t="s">
        <v>3113</v>
      </c>
      <c r="B12" s="2976" t="s">
        <v>3103</v>
      </c>
      <c r="C12" s="2976">
        <v>65</v>
      </c>
    </row>
    <row r="13" spans="1:3">
      <c r="A13" s="2976" t="s">
        <v>3114</v>
      </c>
      <c r="B13" s="2976" t="s">
        <v>3103</v>
      </c>
      <c r="C13" s="2976">
        <v>65</v>
      </c>
    </row>
    <row r="14" spans="1:3">
      <c r="A14" s="2976" t="s">
        <v>3115</v>
      </c>
      <c r="B14" s="2976" t="s">
        <v>3103</v>
      </c>
      <c r="C14" s="2976">
        <v>65</v>
      </c>
    </row>
    <row r="15" spans="1:3">
      <c r="A15" s="2976" t="s">
        <v>3116</v>
      </c>
      <c r="B15" s="2976" t="s">
        <v>3103</v>
      </c>
      <c r="C15" s="2976">
        <v>65</v>
      </c>
    </row>
    <row r="16" spans="1:3">
      <c r="A16" s="2976" t="s">
        <v>3117</v>
      </c>
      <c r="B16" s="2976" t="s">
        <v>3103</v>
      </c>
      <c r="C16" s="2976">
        <v>65</v>
      </c>
    </row>
    <row r="17" spans="1:3">
      <c r="A17" s="2976" t="s">
        <v>3118</v>
      </c>
      <c r="B17" s="2976" t="s">
        <v>3103</v>
      </c>
      <c r="C17" s="2976">
        <v>65</v>
      </c>
    </row>
    <row r="18" spans="1:3">
      <c r="A18" s="2976" t="s">
        <v>3119</v>
      </c>
      <c r="B18" s="2976" t="s">
        <v>3103</v>
      </c>
      <c r="C18" s="2976">
        <v>65</v>
      </c>
    </row>
    <row r="19" spans="1:3">
      <c r="A19" s="2976" t="s">
        <v>3120</v>
      </c>
      <c r="B19" s="2976" t="s">
        <v>3103</v>
      </c>
      <c r="C19" s="2976">
        <v>65</v>
      </c>
    </row>
    <row r="20" spans="1:3">
      <c r="A20" s="2976" t="s">
        <v>3121</v>
      </c>
      <c r="B20" s="2976" t="s">
        <v>3103</v>
      </c>
      <c r="C20" s="2976">
        <v>65</v>
      </c>
    </row>
    <row r="21" spans="1:3">
      <c r="A21" s="2976" t="s">
        <v>3122</v>
      </c>
      <c r="B21" s="2976" t="s">
        <v>3103</v>
      </c>
      <c r="C21" s="2976">
        <v>65</v>
      </c>
    </row>
    <row r="22" spans="1:3">
      <c r="A22" s="2976" t="s">
        <v>3123</v>
      </c>
      <c r="B22" s="2976" t="s">
        <v>3103</v>
      </c>
      <c r="C22" s="2976">
        <v>65</v>
      </c>
    </row>
    <row r="23" spans="1:3">
      <c r="A23" s="2976" t="s">
        <v>3124</v>
      </c>
      <c r="B23" s="2976" t="s">
        <v>3103</v>
      </c>
      <c r="C23" s="2976">
        <v>65</v>
      </c>
    </row>
    <row r="24" spans="1:3">
      <c r="A24" s="2976" t="s">
        <v>3125</v>
      </c>
      <c r="B24" s="2976" t="s">
        <v>3103</v>
      </c>
      <c r="C24" s="2976">
        <v>65</v>
      </c>
    </row>
    <row r="25" spans="1:3">
      <c r="A25" s="2976" t="s">
        <v>3126</v>
      </c>
      <c r="B25" s="2976" t="s">
        <v>3103</v>
      </c>
      <c r="C25" s="2976">
        <v>65</v>
      </c>
    </row>
    <row r="26" spans="1:3">
      <c r="A26" s="2976" t="s">
        <v>3127</v>
      </c>
      <c r="B26" s="2976" t="s">
        <v>3103</v>
      </c>
      <c r="C26" s="2976">
        <v>65</v>
      </c>
    </row>
    <row r="27" spans="1:3">
      <c r="A27" s="2976" t="s">
        <v>3128</v>
      </c>
      <c r="B27" s="2976" t="s">
        <v>3103</v>
      </c>
      <c r="C27" s="2976">
        <v>65</v>
      </c>
    </row>
    <row r="28" spans="1:3">
      <c r="A28" s="2976" t="s">
        <v>3129</v>
      </c>
      <c r="B28" s="2976" t="s">
        <v>3103</v>
      </c>
      <c r="C28" s="2976">
        <v>65</v>
      </c>
    </row>
    <row r="29" spans="1:3">
      <c r="A29" s="2976" t="s">
        <v>3130</v>
      </c>
      <c r="B29" s="2976" t="s">
        <v>3103</v>
      </c>
      <c r="C29" s="2976">
        <v>65</v>
      </c>
    </row>
    <row r="30" spans="1:3">
      <c r="A30" s="2976" t="s">
        <v>3131</v>
      </c>
      <c r="B30" s="2976" t="s">
        <v>3103</v>
      </c>
      <c r="C30" s="2976">
        <v>65</v>
      </c>
    </row>
    <row r="31" spans="1:3">
      <c r="A31" s="2976" t="s">
        <v>3132</v>
      </c>
      <c r="B31" s="2976" t="s">
        <v>3103</v>
      </c>
      <c r="C31" s="2976">
        <v>65</v>
      </c>
    </row>
    <row r="32" spans="1:3">
      <c r="A32" s="2976" t="s">
        <v>3133</v>
      </c>
      <c r="B32" s="2976" t="s">
        <v>3103</v>
      </c>
      <c r="C32" s="2976">
        <v>65</v>
      </c>
    </row>
    <row r="33" spans="1:3">
      <c r="A33" s="2976" t="s">
        <v>3134</v>
      </c>
      <c r="B33" s="2976" t="s">
        <v>3103</v>
      </c>
      <c r="C33" s="2976">
        <v>65</v>
      </c>
    </row>
    <row r="34" spans="1:3">
      <c r="A34" s="2976" t="s">
        <v>3135</v>
      </c>
      <c r="B34" s="2976" t="s">
        <v>3103</v>
      </c>
      <c r="C34" s="2976">
        <v>65</v>
      </c>
    </row>
    <row r="35" spans="1:3">
      <c r="A35" s="2976" t="s">
        <v>3136</v>
      </c>
      <c r="B35" s="2976" t="s">
        <v>3103</v>
      </c>
      <c r="C35" s="2976">
        <v>65</v>
      </c>
    </row>
    <row r="36" spans="1:3">
      <c r="A36" s="2976" t="s">
        <v>3137</v>
      </c>
      <c r="B36" s="2976" t="s">
        <v>3103</v>
      </c>
      <c r="C36" s="2976">
        <v>65</v>
      </c>
    </row>
    <row r="37" spans="1:3">
      <c r="A37" s="2976" t="s">
        <v>3138</v>
      </c>
      <c r="B37" s="2976" t="s">
        <v>3103</v>
      </c>
      <c r="C37" s="2976">
        <v>65</v>
      </c>
    </row>
    <row r="38" spans="1:3">
      <c r="A38" s="2976" t="s">
        <v>3139</v>
      </c>
      <c r="B38" s="2976" t="s">
        <v>3103</v>
      </c>
      <c r="C38" s="2976">
        <v>65</v>
      </c>
    </row>
    <row r="39" spans="1:3">
      <c r="A39" s="2976" t="s">
        <v>3140</v>
      </c>
      <c r="B39" s="2976" t="s">
        <v>3103</v>
      </c>
      <c r="C39" s="2976">
        <v>65</v>
      </c>
    </row>
    <row r="40" spans="1:3">
      <c r="A40" s="2976" t="s">
        <v>3141</v>
      </c>
      <c r="B40" s="2976" t="s">
        <v>3103</v>
      </c>
      <c r="C40" s="2976">
        <v>65</v>
      </c>
    </row>
    <row r="41" spans="1:3">
      <c r="A41" s="2976" t="s">
        <v>3142</v>
      </c>
      <c r="B41" s="2976" t="s">
        <v>3103</v>
      </c>
      <c r="C41" s="2976">
        <v>65</v>
      </c>
    </row>
    <row r="42" spans="1:3">
      <c r="A42" s="2976" t="s">
        <v>3143</v>
      </c>
      <c r="B42" s="2976" t="s">
        <v>3103</v>
      </c>
      <c r="C42" s="2976">
        <v>65</v>
      </c>
    </row>
    <row r="43" spans="1:3">
      <c r="A43" s="2976" t="s">
        <v>3144</v>
      </c>
      <c r="B43" s="2976" t="s">
        <v>3145</v>
      </c>
      <c r="C43" s="2976">
        <v>65</v>
      </c>
    </row>
    <row r="44" spans="1:3">
      <c r="A44" s="2976" t="s">
        <v>3146</v>
      </c>
      <c r="B44" s="2976" t="s">
        <v>3145</v>
      </c>
      <c r="C44" s="2976">
        <v>65</v>
      </c>
    </row>
    <row r="45" spans="1:3">
      <c r="A45" s="2976" t="s">
        <v>3147</v>
      </c>
      <c r="B45" s="2976" t="s">
        <v>3145</v>
      </c>
      <c r="C45" s="2976">
        <v>65</v>
      </c>
    </row>
    <row r="46" spans="1:3">
      <c r="A46" s="2976" t="s">
        <v>3148</v>
      </c>
      <c r="B46" s="2976" t="s">
        <v>3145</v>
      </c>
      <c r="C46" s="2976">
        <v>65</v>
      </c>
    </row>
    <row r="47" spans="1:3">
      <c r="A47" s="2976" t="s">
        <v>3149</v>
      </c>
      <c r="B47" s="2976" t="s">
        <v>3145</v>
      </c>
      <c r="C47" s="2976">
        <v>65</v>
      </c>
    </row>
    <row r="48" spans="1:3">
      <c r="A48" s="2976" t="s">
        <v>3150</v>
      </c>
      <c r="B48" s="2976" t="s">
        <v>3145</v>
      </c>
      <c r="C48" s="2976">
        <v>65</v>
      </c>
    </row>
    <row r="49" spans="1:3">
      <c r="A49" s="2976" t="s">
        <v>3151</v>
      </c>
      <c r="B49" s="2976" t="s">
        <v>3145</v>
      </c>
      <c r="C49" s="2976">
        <v>65</v>
      </c>
    </row>
    <row r="50" spans="1:3">
      <c r="A50" s="2976" t="s">
        <v>3152</v>
      </c>
      <c r="B50" s="2976" t="s">
        <v>3145</v>
      </c>
      <c r="C50" s="2976">
        <v>65</v>
      </c>
    </row>
    <row r="51" spans="1:3">
      <c r="A51" s="2976" t="s">
        <v>3153</v>
      </c>
      <c r="B51" s="2976" t="s">
        <v>3145</v>
      </c>
      <c r="C51" s="2976">
        <v>65</v>
      </c>
    </row>
    <row r="52" spans="1:3">
      <c r="A52" s="2976" t="s">
        <v>3154</v>
      </c>
      <c r="B52" s="2976" t="s">
        <v>3145</v>
      </c>
      <c r="C52" s="2976">
        <v>65</v>
      </c>
    </row>
    <row r="53" spans="1:3">
      <c r="A53" s="2976" t="s">
        <v>3155</v>
      </c>
      <c r="B53" s="2976" t="s">
        <v>3145</v>
      </c>
      <c r="C53" s="2976">
        <v>65</v>
      </c>
    </row>
    <row r="54" spans="1:3">
      <c r="A54" s="2976" t="s">
        <v>3156</v>
      </c>
      <c r="B54" s="2976" t="s">
        <v>3145</v>
      </c>
      <c r="C54" s="2976">
        <v>65</v>
      </c>
    </row>
    <row r="55" spans="1:3">
      <c r="A55" s="2976" t="s">
        <v>3157</v>
      </c>
      <c r="B55" s="2976" t="s">
        <v>3145</v>
      </c>
      <c r="C55" s="2976">
        <v>65</v>
      </c>
    </row>
    <row r="56" spans="1:3">
      <c r="A56" s="2976" t="s">
        <v>3158</v>
      </c>
      <c r="B56" s="2976" t="s">
        <v>3145</v>
      </c>
      <c r="C56" s="2976">
        <v>65</v>
      </c>
    </row>
    <row r="57" spans="1:3">
      <c r="A57" s="2976" t="s">
        <v>3159</v>
      </c>
      <c r="B57" s="2976" t="s">
        <v>3145</v>
      </c>
      <c r="C57" s="2976">
        <v>65</v>
      </c>
    </row>
    <row r="58" spans="1:3">
      <c r="A58" s="2976" t="s">
        <v>3160</v>
      </c>
      <c r="B58" s="2976" t="s">
        <v>3145</v>
      </c>
      <c r="C58" s="2976">
        <v>65</v>
      </c>
    </row>
    <row r="59" spans="1:3">
      <c r="A59" s="2976" t="s">
        <v>3161</v>
      </c>
      <c r="B59" s="2976" t="s">
        <v>3145</v>
      </c>
      <c r="C59" s="2976">
        <v>65</v>
      </c>
    </row>
    <row r="60" spans="1:3">
      <c r="A60" s="2976" t="s">
        <v>3162</v>
      </c>
      <c r="B60" s="2976" t="s">
        <v>3145</v>
      </c>
      <c r="C60" s="2976">
        <v>65</v>
      </c>
    </row>
    <row r="61" spans="1:3">
      <c r="A61" s="2976" t="s">
        <v>3163</v>
      </c>
      <c r="B61" s="2976" t="s">
        <v>3145</v>
      </c>
      <c r="C61" s="2976">
        <v>65</v>
      </c>
    </row>
    <row r="62" spans="1:3">
      <c r="A62" s="2976" t="s">
        <v>3164</v>
      </c>
      <c r="B62" s="2976" t="s">
        <v>3145</v>
      </c>
      <c r="C62" s="2976">
        <v>65</v>
      </c>
    </row>
    <row r="63" spans="1:3">
      <c r="A63" s="2976" t="s">
        <v>3165</v>
      </c>
      <c r="B63" s="2976" t="s">
        <v>3145</v>
      </c>
      <c r="C63" s="2976">
        <v>65</v>
      </c>
    </row>
    <row r="64" spans="1:3">
      <c r="A64" s="2976" t="s">
        <v>3166</v>
      </c>
      <c r="B64" s="2976" t="s">
        <v>3145</v>
      </c>
      <c r="C64" s="2976">
        <v>65</v>
      </c>
    </row>
    <row r="65" spans="1:3">
      <c r="A65" s="2976" t="s">
        <v>3167</v>
      </c>
      <c r="B65" s="2976" t="s">
        <v>3145</v>
      </c>
      <c r="C65" s="2976">
        <v>82.2</v>
      </c>
    </row>
    <row r="66" spans="1:3">
      <c r="A66" s="2976" t="s">
        <v>3168</v>
      </c>
      <c r="B66" s="2976" t="s">
        <v>3145</v>
      </c>
      <c r="C66" s="2976">
        <v>85</v>
      </c>
    </row>
    <row r="67" spans="1:3">
      <c r="A67" s="2976" t="s">
        <v>3169</v>
      </c>
      <c r="B67" s="2976" t="s">
        <v>3145</v>
      </c>
      <c r="C67" s="2976">
        <v>65</v>
      </c>
    </row>
    <row r="68" spans="1:3">
      <c r="A68" s="2976" t="s">
        <v>3170</v>
      </c>
      <c r="B68" s="2976" t="s">
        <v>3145</v>
      </c>
      <c r="C68" s="2976">
        <v>65</v>
      </c>
    </row>
    <row r="69" spans="1:3">
      <c r="A69" s="2976" t="s">
        <v>3171</v>
      </c>
      <c r="B69" s="2976" t="s">
        <v>3145</v>
      </c>
      <c r="C69" s="2976">
        <v>65</v>
      </c>
    </row>
    <row r="70" spans="1:3">
      <c r="A70" s="2976" t="s">
        <v>3172</v>
      </c>
      <c r="C70" s="2976">
        <f>SUM(C2:C69)</f>
        <v>4457.2</v>
      </c>
    </row>
  </sheetData>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22" sqref="T22"/>
    </sheetView>
  </sheetViews>
  <sheetFormatPr defaultRowHeight="14.4"/>
  <sheetData/>
  <phoneticPr fontId="14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1635</v>
      </c>
      <c r="B2" s="2996" t="s">
        <v>1636</v>
      </c>
      <c r="C2" s="2996" t="s">
        <v>1637</v>
      </c>
      <c r="D2" s="2996" t="str">
        <f>结果表!D116</f>
        <v>出让国有建设用地使用权价值</v>
      </c>
      <c r="E2" s="2996"/>
      <c r="F2" s="2996" t="str">
        <f>结果表!F116</f>
        <v>在建建筑物价值</v>
      </c>
      <c r="G2" s="2996"/>
      <c r="H2" s="2996" t="str">
        <f>IF(项目基本情况!B9="房地产市场价值","房地产市场价值","房地产价值")</f>
        <v>房地产价值</v>
      </c>
      <c r="I2" s="2996"/>
    </row>
    <row r="3" spans="1:9" ht="15.6">
      <c r="A3" s="2997"/>
      <c r="B3" s="2997"/>
      <c r="C3" s="2997"/>
      <c r="D3" s="1044" t="s">
        <v>1632</v>
      </c>
      <c r="E3" s="1044" t="s">
        <v>1638</v>
      </c>
      <c r="F3" s="1044" t="s">
        <v>1632</v>
      </c>
      <c r="G3" s="1044" t="s">
        <v>1633</v>
      </c>
      <c r="H3" s="1044" t="s">
        <v>1632</v>
      </c>
      <c r="I3" s="1044" t="s">
        <v>1633</v>
      </c>
    </row>
    <row r="4" spans="1:9" ht="15">
      <c r="A4" s="1971" t="str">
        <f>项目基本情况!S2</f>
        <v>北京市房地产</v>
      </c>
      <c r="B4" s="1044">
        <f>项目基本情况!C17</f>
        <v>4457.2</v>
      </c>
      <c r="C4" s="1044">
        <f>项目基本情况!C18</f>
        <v>1587.11</v>
      </c>
      <c r="D4" s="1044">
        <f ca="1">结果表!D118</f>
        <v>22250</v>
      </c>
      <c r="E4" s="1044">
        <f ca="1">结果表!E118</f>
        <v>49919</v>
      </c>
      <c r="F4" s="1044">
        <f ca="1">结果表!F118</f>
        <v>11564</v>
      </c>
      <c r="G4" s="1044">
        <f ca="1">结果表!G118</f>
        <v>25945</v>
      </c>
      <c r="H4" s="1044">
        <f ca="1">结果表!H118</f>
        <v>33814</v>
      </c>
      <c r="I4" s="1044">
        <f ca="1">结果表!I118</f>
        <v>75864</v>
      </c>
    </row>
    <row r="5" spans="1:9" ht="30" customHeight="1">
      <c r="A5" s="2997" t="s">
        <v>1634</v>
      </c>
      <c r="B5" s="2997"/>
      <c r="C5" s="2997"/>
      <c r="D5" s="2998" t="str">
        <f ca="1">结果表!D119</f>
        <v>贰亿贰仟贰佰伍拾万元整</v>
      </c>
      <c r="E5" s="2998"/>
      <c r="F5" s="2998" t="str">
        <f ca="1">结果表!F119</f>
        <v>壹亿壹仟伍佰陆拾肆万元整</v>
      </c>
      <c r="G5" s="2998"/>
      <c r="H5" s="2998" t="str">
        <f ca="1">结果表!H119</f>
        <v>叁亿叁仟捌佰壹拾肆万元整</v>
      </c>
      <c r="I5" s="2998"/>
    </row>
    <row r="6" spans="1:9" ht="15.6">
      <c r="A6" s="2999" t="str">
        <f>结果表!A120</f>
        <v>估价师知悉的法定优先受偿款</v>
      </c>
      <c r="B6" s="2999"/>
      <c r="C6" s="2999"/>
      <c r="D6" s="2999">
        <f>结果表!D120</f>
        <v>0</v>
      </c>
      <c r="E6" s="2999"/>
      <c r="F6" s="2999"/>
      <c r="G6" s="2999"/>
      <c r="H6" s="2999"/>
      <c r="I6" s="2999"/>
    </row>
    <row r="7" spans="1:9" ht="15">
      <c r="A7" s="2997" t="s">
        <v>1634</v>
      </c>
      <c r="B7" s="2997"/>
      <c r="C7" s="2997"/>
      <c r="D7" s="3000" t="str">
        <f>结果表!D121</f>
        <v>零元整</v>
      </c>
      <c r="E7" s="3001"/>
      <c r="F7" s="3001"/>
      <c r="G7" s="3001"/>
      <c r="H7" s="3001"/>
      <c r="I7" s="3002"/>
    </row>
    <row r="8" spans="1:9" ht="15.6">
      <c r="A8" s="2999" t="str">
        <f>结果表!A122</f>
        <v>房地产抵押价值</v>
      </c>
      <c r="B8" s="2999"/>
      <c r="C8" s="2999"/>
      <c r="D8" s="2999">
        <f ca="1">结果表!D122</f>
        <v>33814</v>
      </c>
      <c r="E8" s="2999"/>
      <c r="F8" s="2999"/>
      <c r="G8" s="2999"/>
      <c r="H8" s="2999"/>
      <c r="I8" s="2999"/>
    </row>
    <row r="9" spans="1:9" ht="15">
      <c r="A9" s="2997" t="s">
        <v>1634</v>
      </c>
      <c r="B9" s="2997"/>
      <c r="C9" s="2997"/>
      <c r="D9" s="2998" t="str">
        <f ca="1">结果表!D123</f>
        <v>叁亿叁仟捌佰壹拾肆万元整</v>
      </c>
      <c r="E9" s="2998"/>
      <c r="F9" s="2998"/>
      <c r="G9" s="2998"/>
      <c r="H9" s="2998"/>
      <c r="I9" s="2998"/>
    </row>
    <row r="10" spans="1:9" ht="15.6">
      <c r="A10" s="2999" t="str">
        <f>结果表!A124</f>
        <v/>
      </c>
      <c r="B10" s="2999"/>
      <c r="C10" s="2999"/>
      <c r="D10" s="2999" t="str">
        <f>结果表!D124</f>
        <v>——</v>
      </c>
      <c r="E10" s="2999"/>
      <c r="F10" s="2999"/>
      <c r="G10" s="2999"/>
      <c r="H10" s="2999"/>
      <c r="I10" s="2999"/>
    </row>
    <row r="11" spans="1:9" ht="15">
      <c r="A11" s="2997" t="s">
        <v>1634</v>
      </c>
      <c r="B11" s="2997"/>
      <c r="C11" s="2997"/>
      <c r="D11" s="2998" t="e">
        <f>结果表!D125</f>
        <v>#VALUE!</v>
      </c>
      <c r="E11" s="2998"/>
      <c r="F11" s="2998"/>
      <c r="G11" s="2998"/>
      <c r="H11" s="2998"/>
      <c r="I11" s="2998"/>
    </row>
    <row r="12" spans="1:9" ht="15.6">
      <c r="A12" s="2999" t="str">
        <f>结果表!A126</f>
        <v/>
      </c>
      <c r="B12" s="2999"/>
      <c r="C12" s="2999"/>
      <c r="D12" s="2999" t="str">
        <f>结果表!D126</f>
        <v>——</v>
      </c>
      <c r="E12" s="2999"/>
      <c r="F12" s="2999"/>
      <c r="G12" s="2999"/>
      <c r="H12" s="2999"/>
      <c r="I12" s="2999"/>
    </row>
    <row r="13" spans="1:9" ht="15.6" thickBot="1">
      <c r="A13" s="3003" t="s">
        <v>1634</v>
      </c>
      <c r="B13" s="3003"/>
      <c r="C13" s="3003"/>
      <c r="D13" s="3004" t="e">
        <f>结果表!D127</f>
        <v>#VALUE!</v>
      </c>
      <c r="E13" s="3004"/>
      <c r="F13" s="3004"/>
      <c r="G13" s="3004"/>
      <c r="H13" s="3004"/>
      <c r="I13" s="3004"/>
    </row>
    <row r="14" spans="1:9" ht="14.4" thickTop="1">
      <c r="A14" s="3005" t="s">
        <v>1639</v>
      </c>
      <c r="B14" s="3005"/>
      <c r="C14" s="3005"/>
      <c r="D14" s="3005"/>
      <c r="E14" s="3005"/>
      <c r="F14" s="3005"/>
      <c r="G14" s="3005"/>
      <c r="H14" s="3005"/>
      <c r="I14" s="3005"/>
    </row>
    <row r="16" spans="1:9" ht="17.399999999999999">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06" t="s">
        <v>1656</v>
      </c>
      <c r="B1" s="3006"/>
      <c r="C1" s="3006"/>
      <c r="D1" s="3006"/>
    </row>
    <row r="2" spans="1:4" ht="17.399999999999999">
      <c r="A2" s="3007" t="s">
        <v>1640</v>
      </c>
      <c r="B2" s="3007"/>
      <c r="C2" s="3007"/>
      <c r="D2" s="3007"/>
    </row>
    <row r="3" spans="1:4" ht="17.399999999999999">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7.399999999999999">
      <c r="A6" s="3007" t="s">
        <v>1646</v>
      </c>
      <c r="B6" s="3007"/>
      <c r="C6" s="3007"/>
      <c r="D6" s="3007"/>
    </row>
    <row r="7" spans="1:4" ht="17.399999999999999">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7.399999999999999">
      <c r="A10" s="1982" t="s">
        <v>1648</v>
      </c>
      <c r="B10" s="728"/>
      <c r="C10" s="728"/>
      <c r="D10" s="728"/>
    </row>
    <row r="11" spans="1:4" ht="30" customHeight="1">
      <c r="A11" s="3008" t="s">
        <v>1649</v>
      </c>
      <c r="B11" s="3009"/>
      <c r="C11" s="3009"/>
      <c r="D11" s="3009"/>
    </row>
    <row r="12" spans="1:4" ht="15.6">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9" t="str">
        <f>IF(项目基本情况!B8="抵押","4.本次评估估价师所知悉的法定优先受偿款情况说明如下：","——")</f>
        <v>4.本次评估估价师所知悉的法定优先受偿款情况说明如下：</v>
      </c>
      <c r="B14" s="3010"/>
      <c r="C14" s="3010"/>
      <c r="D14" s="3010"/>
    </row>
    <row r="15" spans="1:4" ht="42" customHeight="1">
      <c r="A15" s="30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9"/>
      <c r="C15" s="3009"/>
      <c r="D15" s="3009"/>
    </row>
    <row r="16" spans="1:4" ht="30" customHeight="1">
      <c r="A16" s="3012" t="s">
        <v>1650</v>
      </c>
      <c r="B16" s="3012"/>
      <c r="C16" s="3012"/>
      <c r="D16" s="3012"/>
    </row>
    <row r="17" spans="1:4" ht="144" customHeight="1">
      <c r="A17" s="3012" t="s">
        <v>1651</v>
      </c>
      <c r="B17" s="3012"/>
      <c r="C17" s="3012"/>
      <c r="D17" s="3012"/>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9"/>
      <c r="C20" s="3009"/>
      <c r="D20" s="3009"/>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3"/>
      <c r="C21" s="3013"/>
      <c r="D21" s="3013"/>
    </row>
    <row r="22" spans="1:4" ht="18.75" customHeight="1">
      <c r="A22" s="3014" t="s">
        <v>1652</v>
      </c>
      <c r="B22" s="3014"/>
      <c r="C22" s="3014"/>
      <c r="D22" s="3014"/>
    </row>
    <row r="23" spans="1:4">
      <c r="A23" s="1983"/>
      <c r="B23" s="1955"/>
      <c r="C23" s="1955"/>
      <c r="D23" s="1955"/>
    </row>
    <row r="24" spans="1:4">
      <c r="A24" s="1983"/>
      <c r="B24" s="1955"/>
      <c r="C24" s="1955"/>
      <c r="D24" s="1955"/>
    </row>
    <row r="25" spans="1:4" ht="17.399999999999999">
      <c r="A25" s="1984" t="s">
        <v>1653</v>
      </c>
    </row>
    <row r="26" spans="1:4" ht="17.399999999999999">
      <c r="A26" s="1953"/>
    </row>
    <row r="27" spans="1:4" ht="17.399999999999999">
      <c r="A27" s="1953" t="s">
        <v>1654</v>
      </c>
    </row>
    <row r="30" spans="1:4" ht="17.399999999999999">
      <c r="D30" s="1984" t="s">
        <v>1655</v>
      </c>
    </row>
    <row r="31" spans="1:4" ht="13.5" customHeight="1">
      <c r="C31" s="3011">
        <v>42551</v>
      </c>
      <c r="D31" s="30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866</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4.4">
      <c r="A15" s="3020" t="s">
        <v>1663</v>
      </c>
      <c r="B15" s="3015" t="s">
        <v>136</v>
      </c>
      <c r="C15" s="3016"/>
    </row>
    <row r="16" spans="1:7" ht="14.4">
      <c r="A16" s="3021"/>
      <c r="B16" s="3015" t="s">
        <v>69</v>
      </c>
      <c r="C16" s="3016"/>
    </row>
    <row r="17" spans="1:3" ht="14.4">
      <c r="A17" s="3021"/>
      <c r="B17" s="3018" t="s">
        <v>1664</v>
      </c>
      <c r="C17" s="1998" t="s">
        <v>1663</v>
      </c>
    </row>
    <row r="18" spans="1:3" ht="14.4">
      <c r="A18" s="3021"/>
      <c r="B18" s="3018"/>
      <c r="C18" s="1998" t="s">
        <v>1665</v>
      </c>
    </row>
    <row r="19" spans="1:3" ht="14.4">
      <c r="A19" s="3021"/>
      <c r="B19" s="3018"/>
      <c r="C19" s="1998" t="s">
        <v>1666</v>
      </c>
    </row>
    <row r="20" spans="1:3" ht="14.4">
      <c r="A20" s="3022"/>
      <c r="B20" s="3017" t="s">
        <v>1667</v>
      </c>
      <c r="C20" s="3016"/>
    </row>
    <row r="21" spans="1:3" ht="14.4">
      <c r="A21" s="1999" t="s">
        <v>1668</v>
      </c>
      <c r="B21" s="2000"/>
      <c r="C21" s="2001"/>
    </row>
    <row r="22" spans="1:3" ht="14.4">
      <c r="A22" s="3019" t="s">
        <v>1669</v>
      </c>
      <c r="B22" s="3017" t="s">
        <v>1670</v>
      </c>
      <c r="C22" s="3016"/>
    </row>
    <row r="23" spans="1:3" ht="14.4">
      <c r="A23" s="3019"/>
      <c r="B23" s="3017" t="s">
        <v>1671</v>
      </c>
      <c r="C23" s="3016"/>
    </row>
    <row r="24" spans="1:3" ht="14.4">
      <c r="A24" s="3019"/>
      <c r="B24" s="3017" t="s">
        <v>1672</v>
      </c>
      <c r="C24" s="3016"/>
    </row>
    <row r="25" spans="1:3" ht="14.4">
      <c r="A25" s="3019"/>
      <c r="B25" s="3018" t="s">
        <v>1673</v>
      </c>
      <c r="C25" s="1998" t="s">
        <v>1674</v>
      </c>
    </row>
    <row r="26" spans="1:3" ht="14.4">
      <c r="A26" s="3019"/>
      <c r="B26" s="3018"/>
      <c r="C26" s="1998" t="s">
        <v>1675</v>
      </c>
    </row>
    <row r="27" spans="1:3" ht="14.4">
      <c r="A27" s="3019"/>
      <c r="B27" s="3018"/>
      <c r="C27" s="1998" t="s">
        <v>1676</v>
      </c>
    </row>
    <row r="28" spans="1:3" ht="14.4">
      <c r="A28" s="3019"/>
      <c r="B28" s="3018"/>
      <c r="C28" s="1998" t="s">
        <v>1677</v>
      </c>
    </row>
    <row r="29" spans="1:3" ht="14.4">
      <c r="A29" s="3019"/>
      <c r="B29" s="3018"/>
      <c r="C29" s="1998" t="s">
        <v>1678</v>
      </c>
    </row>
    <row r="30" spans="1:3" ht="14.4">
      <c r="A30" s="3019"/>
      <c r="B30" s="3018"/>
      <c r="C30" s="1998" t="s">
        <v>1679</v>
      </c>
    </row>
    <row r="31" spans="1:3" ht="14.4">
      <c r="A31" s="3019"/>
      <c r="B31" s="3018"/>
      <c r="C31" s="1998" t="s">
        <v>1680</v>
      </c>
    </row>
    <row r="32" spans="1:3" ht="14.4">
      <c r="A32" s="3019"/>
      <c r="B32" s="3018"/>
      <c r="C32" s="1998" t="s">
        <v>1681</v>
      </c>
    </row>
    <row r="33" spans="1:3" ht="14.4">
      <c r="A33" s="3019"/>
      <c r="B33" s="3018"/>
      <c r="C33" s="1998" t="s">
        <v>1682</v>
      </c>
    </row>
    <row r="34" spans="1:3">
      <c r="A34" s="2002" t="s">
        <v>76</v>
      </c>
    </row>
    <row r="37" spans="1:3">
      <c r="A37" s="2002" t="s">
        <v>1683</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43920</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928">
        <v>44876</v>
      </c>
      <c r="D4" s="2350" t="s">
        <v>832</v>
      </c>
      <c r="E4" s="1022">
        <f ca="1">IF(F4&lt;B2,"已过期",96010014)</f>
        <v>96010014</v>
      </c>
      <c r="F4" s="1030">
        <v>47118</v>
      </c>
    </row>
    <row r="5" spans="1:6" ht="24" customHeight="1">
      <c r="A5" s="1701"/>
      <c r="B5" s="1022"/>
      <c r="C5" s="2347"/>
      <c r="D5" s="2350"/>
      <c r="E5" s="1022"/>
      <c r="F5" s="1030"/>
    </row>
    <row r="6" spans="1:6" ht="24" customHeight="1">
      <c r="A6" s="1701" t="s">
        <v>833</v>
      </c>
      <c r="B6" s="1022">
        <f ca="1">IF(C6&lt;B2,"已过期",1119970111)</f>
        <v>1119970111</v>
      </c>
      <c r="C6" s="2347">
        <v>44876</v>
      </c>
      <c r="D6" s="2350" t="s">
        <v>833</v>
      </c>
      <c r="E6" s="1022">
        <f ca="1">IF(F6&lt;B2,"已过期",94010078)</f>
        <v>94010078</v>
      </c>
      <c r="F6" s="1030">
        <v>46387</v>
      </c>
    </row>
    <row r="7" spans="1:6" ht="24" customHeight="1">
      <c r="A7" s="1701" t="s">
        <v>834</v>
      </c>
      <c r="B7" s="1022">
        <f ca="1">IF(C7&lt;B2,"已过期",1120050019)</f>
        <v>1120050019</v>
      </c>
      <c r="C7" s="2347">
        <v>44395</v>
      </c>
      <c r="D7" s="2350" t="s">
        <v>834</v>
      </c>
      <c r="E7" s="1022">
        <f ca="1">IF(F7&lt;B2,"已过期",2002110030)</f>
        <v>2002110030</v>
      </c>
      <c r="F7" s="1030">
        <v>46387</v>
      </c>
    </row>
    <row r="8" spans="1:6" ht="24" customHeight="1">
      <c r="A8" s="1701" t="s">
        <v>835</v>
      </c>
      <c r="B8" s="1022">
        <f ca="1">IF(C8&lt;B2,"已过期",1120000080)</f>
        <v>1120000080</v>
      </c>
      <c r="C8" s="2928">
        <v>44876</v>
      </c>
      <c r="D8" s="2350" t="s">
        <v>835</v>
      </c>
      <c r="E8" s="1022">
        <f ca="1">IF(F8&lt;B2,"已过期",2000110082)</f>
        <v>2000110082</v>
      </c>
      <c r="F8" s="1030">
        <v>46387</v>
      </c>
    </row>
    <row r="9" spans="1:6" ht="24" customHeight="1">
      <c r="A9" s="1701" t="s">
        <v>836</v>
      </c>
      <c r="B9" s="1022">
        <f ca="1">IF(C9&lt;B2,"已过期",1419970001)</f>
        <v>1419970001</v>
      </c>
      <c r="C9" s="2928">
        <v>44899</v>
      </c>
      <c r="D9" s="2350" t="s">
        <v>836</v>
      </c>
      <c r="E9" s="1022">
        <f ca="1">IF(F9&lt;B2,"已过期",2002110125)</f>
        <v>2002110125</v>
      </c>
      <c r="F9" s="1030">
        <v>47118</v>
      </c>
    </row>
    <row r="10" spans="1:6" ht="24" customHeight="1">
      <c r="A10" s="1701" t="s">
        <v>837</v>
      </c>
      <c r="B10" s="1022">
        <f ca="1">IF(C10&lt;B2,"已过期",1120060040)</f>
        <v>1120060040</v>
      </c>
      <c r="C10" s="2347">
        <v>44554</v>
      </c>
      <c r="D10" s="2350" t="s">
        <v>837</v>
      </c>
      <c r="E10" s="1022">
        <f ca="1">IF(F10&lt;B2,"已过期",2004110096)</f>
        <v>2004110096</v>
      </c>
      <c r="F10" s="1030">
        <v>47118</v>
      </c>
    </row>
    <row r="11" spans="1:6" ht="24" customHeight="1">
      <c r="A11" s="1701" t="s">
        <v>838</v>
      </c>
      <c r="B11" s="1022">
        <f ca="1">IF(C11&lt;B2,"已过期",1120100036)</f>
        <v>1120100036</v>
      </c>
      <c r="C11" s="2347">
        <v>44675</v>
      </c>
      <c r="D11" s="2350"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7">
        <v>44849</v>
      </c>
      <c r="D13" s="2350" t="s">
        <v>839</v>
      </c>
      <c r="E13" s="1022">
        <f ca="1">IF(F13&lt;B2,"已过期",2014110011)</f>
        <v>2014110011</v>
      </c>
      <c r="F13" s="1030">
        <v>49302</v>
      </c>
    </row>
    <row r="14" spans="1:6" ht="24" customHeight="1">
      <c r="A14" s="1701" t="s">
        <v>3037</v>
      </c>
      <c r="B14" s="1022">
        <f ca="1">IF(C14&lt;B2,"已过期",1120040230)</f>
        <v>1120040230</v>
      </c>
      <c r="C14" s="2347">
        <v>44864</v>
      </c>
      <c r="D14" s="2350" t="s">
        <v>3037</v>
      </c>
      <c r="E14" s="1022">
        <f ca="1">IF(F14&lt;B2,"已过期",98030020)</f>
        <v>98030020</v>
      </c>
      <c r="F14" s="1030">
        <v>47118</v>
      </c>
    </row>
    <row r="15" spans="1:6" ht="24" customHeight="1">
      <c r="A15" s="1702"/>
      <c r="B15" s="1022"/>
      <c r="C15" s="2347"/>
      <c r="D15" s="2351"/>
      <c r="E15" s="1022"/>
      <c r="F15" s="1023"/>
    </row>
    <row r="16" spans="1:6" ht="24" customHeight="1">
      <c r="A16" s="1701"/>
      <c r="B16" s="1022"/>
      <c r="C16" s="2928"/>
      <c r="D16" s="2350"/>
      <c r="E16" s="1022"/>
      <c r="F16" s="1030"/>
    </row>
    <row r="17" spans="1:7" ht="24" customHeight="1">
      <c r="A17" s="1701"/>
      <c r="B17" s="1022"/>
      <c r="C17" s="2347"/>
      <c r="D17" s="2350"/>
      <c r="E17" s="1022"/>
      <c r="F17" s="1030"/>
    </row>
    <row r="18" spans="1:7" ht="24" customHeight="1">
      <c r="A18" s="1701" t="s">
        <v>3044</v>
      </c>
      <c r="B18" s="1022">
        <v>1120190079</v>
      </c>
      <c r="C18" s="2928">
        <v>44826</v>
      </c>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840</v>
      </c>
      <c r="E21" s="1022">
        <f ca="1">IF(F21&lt;B2,"已过期",2011110090)</f>
        <v>2011110090</v>
      </c>
      <c r="F21" s="1030">
        <v>48302</v>
      </c>
    </row>
    <row r="22" spans="1:7" ht="24" customHeight="1">
      <c r="A22" s="1701" t="s">
        <v>841</v>
      </c>
      <c r="B22" s="1022">
        <f ca="1">IF(C22&lt;B2,"已过期",1120020033)</f>
        <v>1120020033</v>
      </c>
      <c r="C22" s="2928">
        <v>44339</v>
      </c>
      <c r="D22" s="2350" t="s">
        <v>841</v>
      </c>
      <c r="E22" s="1022">
        <f ca="1">IF(F22&lt;B2,"已过期",2000110137)</f>
        <v>2000110137</v>
      </c>
      <c r="F22" s="1030">
        <v>46387</v>
      </c>
    </row>
    <row r="23" spans="1:7" ht="24" customHeight="1">
      <c r="A23" s="1701" t="s">
        <v>3046</v>
      </c>
      <c r="B23" s="1022">
        <v>1119980106</v>
      </c>
      <c r="C23" s="2347">
        <v>43916</v>
      </c>
      <c r="D23" s="1701" t="s">
        <v>3049</v>
      </c>
      <c r="E23" s="1022">
        <v>96010063</v>
      </c>
      <c r="F23" s="1030">
        <v>47118</v>
      </c>
    </row>
    <row r="24" spans="1:7" s="1024" customFormat="1" ht="24" customHeight="1">
      <c r="A24" s="1702" t="s">
        <v>1328</v>
      </c>
      <c r="B24" s="1702" t="s">
        <v>1328</v>
      </c>
      <c r="C24" s="2348" t="s">
        <v>1328</v>
      </c>
      <c r="D24" s="2351" t="s">
        <v>1328</v>
      </c>
      <c r="E24" s="1702" t="s">
        <v>1328</v>
      </c>
      <c r="F24" s="1702" t="s">
        <v>1328</v>
      </c>
    </row>
    <row r="25" spans="1:7" ht="24" customHeight="1">
      <c r="A25" s="3023" t="s">
        <v>842</v>
      </c>
      <c r="B25" s="3023"/>
      <c r="C25" s="3023"/>
      <c r="D25" s="3023"/>
      <c r="E25" s="3023"/>
      <c r="F25" s="3023"/>
      <c r="G25" s="3023"/>
    </row>
    <row r="26" spans="1:7" s="1025" customFormat="1" ht="24" customHeight="1">
      <c r="A26" s="3024" t="s">
        <v>843</v>
      </c>
      <c r="B26" s="3024"/>
      <c r="C26" s="3025"/>
      <c r="D26" s="3026" t="s">
        <v>844</v>
      </c>
      <c r="E26" s="3024"/>
      <c r="F26" s="3024"/>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3045</v>
      </c>
      <c r="F29" s="1203">
        <v>44012</v>
      </c>
    </row>
    <row r="30" spans="1:7" ht="24" customHeight="1">
      <c r="C30" s="1031"/>
      <c r="D30" s="1031"/>
    </row>
  </sheetData>
  <sheetProtection sheet="1" objects="1" scenarios="1"/>
  <mergeCells count="3">
    <mergeCell ref="A25:G25"/>
    <mergeCell ref="A26:C26"/>
    <mergeCell ref="D26:F26"/>
  </mergeCells>
  <phoneticPr fontId="87" type="noConversion"/>
  <conditionalFormatting sqref="F4">
    <cfRule type="cellIs" dxfId="229" priority="105" stopIfTrue="1" operator="lessThan">
      <formula>$B$2</formula>
    </cfRule>
  </conditionalFormatting>
  <conditionalFormatting sqref="C5">
    <cfRule type="expression" dxfId="228" priority="100">
      <formula>AND($C5-TODAY()&lt;30,TODAY()&lt;$C5)</formula>
    </cfRule>
  </conditionalFormatting>
  <conditionalFormatting sqref="C5 F5">
    <cfRule type="cellIs" dxfId="227" priority="101" stopIfTrue="1" operator="lessThan">
      <formula>$B$2</formula>
    </cfRule>
  </conditionalFormatting>
  <conditionalFormatting sqref="F6 F8 F10">
    <cfRule type="cellIs" dxfId="226" priority="99" stopIfTrue="1" operator="lessThan">
      <formula>$B$2</formula>
    </cfRule>
  </conditionalFormatting>
  <conditionalFormatting sqref="C5:C7 C13 C23 C17 C19:C21 C10:C11">
    <cfRule type="expression" dxfId="225" priority="97">
      <formula>AND($C5-TODAY()&lt;30,TODAY()&lt;$C5)</formula>
    </cfRule>
  </conditionalFormatting>
  <conditionalFormatting sqref="F7 F9 F11 C5:C7 C13 C23 C17 C19:C21 C10:C11">
    <cfRule type="cellIs" dxfId="224" priority="98" stopIfTrue="1" operator="lessThan">
      <formula>$B$2</formula>
    </cfRule>
  </conditionalFormatting>
  <conditionalFormatting sqref="C20">
    <cfRule type="expression" dxfId="223" priority="85">
      <formula>AND($C20-TODAY()&lt;30,TODAY()&lt;$C20)</formula>
    </cfRule>
  </conditionalFormatting>
  <conditionalFormatting sqref="C20">
    <cfRule type="cellIs" dxfId="222" priority="86" stopIfTrue="1" operator="lessThan">
      <formula>$B$2</formula>
    </cfRule>
  </conditionalFormatting>
  <conditionalFormatting sqref="C17">
    <cfRule type="expression" dxfId="221" priority="79">
      <formula>AND($C17-TODAY()&lt;30,TODAY()&lt;$C17)</formula>
    </cfRule>
  </conditionalFormatting>
  <conditionalFormatting sqref="C17">
    <cfRule type="cellIs" dxfId="220" priority="80" stopIfTrue="1" operator="lessThan">
      <formula>$B$2</formula>
    </cfRule>
  </conditionalFormatting>
  <conditionalFormatting sqref="C19">
    <cfRule type="expression" dxfId="219" priority="77">
      <formula>AND($C19-TODAY()&lt;30,TODAY()&lt;$C19)</formula>
    </cfRule>
  </conditionalFormatting>
  <conditionalFormatting sqref="C19">
    <cfRule type="cellIs" dxfId="218" priority="78" stopIfTrue="1" operator="lessThan">
      <formula>$B$2</formula>
    </cfRule>
  </conditionalFormatting>
  <conditionalFormatting sqref="C21">
    <cfRule type="expression" dxfId="217" priority="75">
      <formula>AND($C21-TODAY()&lt;30,TODAY()&lt;$C21)</formula>
    </cfRule>
  </conditionalFormatting>
  <conditionalFormatting sqref="C21">
    <cfRule type="cellIs" dxfId="216" priority="76" stopIfTrue="1" operator="lessThan">
      <formula>$B$2</formula>
    </cfRule>
  </conditionalFormatting>
  <conditionalFormatting sqref="C23">
    <cfRule type="expression" dxfId="215" priority="73">
      <formula>AND($C23-TODAY()&lt;30,TODAY()&lt;$C23)</formula>
    </cfRule>
  </conditionalFormatting>
  <conditionalFormatting sqref="C23">
    <cfRule type="cellIs" dxfId="214" priority="74" stopIfTrue="1" operator="lessThan">
      <formula>$B$2</formula>
    </cfRule>
  </conditionalFormatting>
  <conditionalFormatting sqref="F18">
    <cfRule type="cellIs" dxfId="213" priority="70" stopIfTrue="1" operator="lessThan">
      <formula>$B$2</formula>
    </cfRule>
  </conditionalFormatting>
  <conditionalFormatting sqref="F22">
    <cfRule type="cellIs" dxfId="212" priority="69" stopIfTrue="1" operator="lessThan">
      <formula>$B$2</formula>
    </cfRule>
  </conditionalFormatting>
  <conditionalFormatting sqref="F21">
    <cfRule type="cellIs" dxfId="211" priority="68" stopIfTrue="1" operator="lessThan">
      <formula>$B$2</formula>
    </cfRule>
  </conditionalFormatting>
  <conditionalFormatting sqref="B4:B11 E4:E11 B17 E18:E22 B13 E13 B19:B23">
    <cfRule type="cellIs" dxfId="210" priority="66" stopIfTrue="1" operator="equal">
      <formula>"已过期"</formula>
    </cfRule>
  </conditionalFormatting>
  <conditionalFormatting sqref="A24:F24">
    <cfRule type="cellIs" dxfId="209" priority="62" stopIfTrue="1" operator="equal">
      <formula>"已过期"</formula>
    </cfRule>
  </conditionalFormatting>
  <conditionalFormatting sqref="F28">
    <cfRule type="expression" dxfId="208" priority="60">
      <formula>AND($E28-TODAY()&lt;30,TODAY()&lt;$E28)</formula>
    </cfRule>
  </conditionalFormatting>
  <conditionalFormatting sqref="F28">
    <cfRule type="cellIs" dxfId="207" priority="61" stopIfTrue="1" operator="lessThan">
      <formula>$B$2</formula>
    </cfRule>
  </conditionalFormatting>
  <conditionalFormatting sqref="F29">
    <cfRule type="expression" dxfId="206" priority="56" stopIfTrue="1">
      <formula>AND($E29-TODAY()&lt;30,TODAY()&lt;$E29)</formula>
    </cfRule>
  </conditionalFormatting>
  <conditionalFormatting sqref="F29">
    <cfRule type="cellIs" dxfId="205" priority="57" stopIfTrue="1" operator="lessThan">
      <formula>$B$2</formula>
    </cfRule>
  </conditionalFormatting>
  <conditionalFormatting sqref="F13">
    <cfRule type="cellIs" dxfId="204" priority="49"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2">
    <cfRule type="expression" dxfId="201" priority="45">
      <formula>AND($C12-TODAY()&lt;30,TODAY()&lt;$C12)</formula>
    </cfRule>
  </conditionalFormatting>
  <conditionalFormatting sqref="C12">
    <cfRule type="cellIs" dxfId="200" priority="46" stopIfTrue="1" operator="lessThan">
      <formula>$B$2</formula>
    </cfRule>
  </conditionalFormatting>
  <conditionalFormatting sqref="B12">
    <cfRule type="cellIs" dxfId="199" priority="44" stopIfTrue="1" operator="equal">
      <formula>"已过期"</formula>
    </cfRule>
  </conditionalFormatting>
  <conditionalFormatting sqref="E12">
    <cfRule type="cellIs" dxfId="198" priority="43" stopIfTrue="1" operator="equal">
      <formula>"已过期"</formula>
    </cfRule>
  </conditionalFormatting>
  <conditionalFormatting sqref="F12">
    <cfRule type="cellIs" dxfId="197" priority="42"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22">
    <cfRule type="expression" dxfId="194" priority="38">
      <formula>AND($C22-TODAY()&lt;30,TODAY()&lt;$C22)</formula>
    </cfRule>
  </conditionalFormatting>
  <conditionalFormatting sqref="C22">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C16">
    <cfRule type="expression" dxfId="190" priority="34">
      <formula>AND($C16-TODAY()&lt;30,TODAY()&lt;$C16)</formula>
    </cfRule>
  </conditionalFormatting>
  <conditionalFormatting sqref="C16">
    <cfRule type="cellIs" dxfId="189" priority="35" stopIfTrue="1" operator="lessThan">
      <formula>$B$2</formula>
    </cfRule>
  </conditionalFormatting>
  <conditionalFormatting sqref="B16">
    <cfRule type="cellIs" dxfId="188" priority="33" stopIfTrue="1" operator="equal">
      <formula>"已过期"</formula>
    </cfRule>
  </conditionalFormatting>
  <conditionalFormatting sqref="C14:C15">
    <cfRule type="expression" dxfId="187" priority="31">
      <formula>AND($C14-TODAY()&lt;30,TODAY()&lt;$C14)</formula>
    </cfRule>
  </conditionalFormatting>
  <conditionalFormatting sqref="C14:C15">
    <cfRule type="cellIs" dxfId="186" priority="32" stopIfTrue="1" operator="lessThan">
      <formula>$B$2</formula>
    </cfRule>
  </conditionalFormatting>
  <conditionalFormatting sqref="C14">
    <cfRule type="expression" dxfId="185" priority="29">
      <formula>AND($C14-TODAY()&lt;30,TODAY()&lt;$C14)</formula>
    </cfRule>
  </conditionalFormatting>
  <conditionalFormatting sqref="C14">
    <cfRule type="cellIs" dxfId="184" priority="30" stopIfTrue="1" operator="lessThan">
      <formula>$B$2</formula>
    </cfRule>
  </conditionalFormatting>
  <conditionalFormatting sqref="C15">
    <cfRule type="expression" dxfId="183" priority="27">
      <formula>AND($C15-TODAY()&lt;30,TODAY()&lt;$C15)</formula>
    </cfRule>
  </conditionalFormatting>
  <conditionalFormatting sqref="C15">
    <cfRule type="cellIs" dxfId="182" priority="28" stopIfTrue="1" operator="lessThan">
      <formula>$B$2</formula>
    </cfRule>
  </conditionalFormatting>
  <conditionalFormatting sqref="B14">
    <cfRule type="cellIs" dxfId="181" priority="26" stopIfTrue="1" operator="equal">
      <formula>"已过期"</formula>
    </cfRule>
  </conditionalFormatting>
  <conditionalFormatting sqref="B15">
    <cfRule type="cellIs" dxfId="180" priority="25" stopIfTrue="1" operator="equal">
      <formula>"已过期"</formula>
    </cfRule>
  </conditionalFormatting>
  <conditionalFormatting sqref="A15">
    <cfRule type="cellIs" dxfId="179" priority="24" stopIfTrue="1" operator="equal">
      <formula>"已过期"</formula>
    </cfRule>
  </conditionalFormatting>
  <conditionalFormatting sqref="C15">
    <cfRule type="expression" dxfId="178" priority="23">
      <formula>AND($C15-TODAY()&lt;30,TODAY()&lt;$C15)</formula>
    </cfRule>
  </conditionalFormatting>
  <conditionalFormatting sqref="F16">
    <cfRule type="cellIs" dxfId="177" priority="22" stopIfTrue="1" operator="lessThan">
      <formula>$B$2</formula>
    </cfRule>
  </conditionalFormatting>
  <conditionalFormatting sqref="E16 E14">
    <cfRule type="cellIs" dxfId="176" priority="21" stopIfTrue="1" operator="equal">
      <formula>"已过期"</formula>
    </cfRule>
  </conditionalFormatting>
  <conditionalFormatting sqref="E15">
    <cfRule type="cellIs" dxfId="175" priority="20" stopIfTrue="1" operator="equal">
      <formula>"已过期"</formula>
    </cfRule>
  </conditionalFormatting>
  <conditionalFormatting sqref="D15">
    <cfRule type="cellIs" dxfId="174" priority="19" stopIfTrue="1" operator="equal">
      <formula>"已过期"</formula>
    </cfRule>
  </conditionalFormatting>
  <conditionalFormatting sqref="F17">
    <cfRule type="cellIs" dxfId="173" priority="18" stopIfTrue="1" operator="lessThan">
      <formula>$B$2</formula>
    </cfRule>
  </conditionalFormatting>
  <conditionalFormatting sqref="E17">
    <cfRule type="cellIs" dxfId="172" priority="17" stopIfTrue="1" operator="equal">
      <formula>"已过期"</formula>
    </cfRule>
  </conditionalFormatting>
  <conditionalFormatting sqref="F14">
    <cfRule type="cellIs" dxfId="171" priority="16"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C18">
    <cfRule type="expression" dxfId="168" priority="12">
      <formula>AND($C18-TODAY()&lt;30,TODAY()&lt;$C18)</formula>
    </cfRule>
  </conditionalFormatting>
  <conditionalFormatting sqref="C18">
    <cfRule type="cellIs" dxfId="167" priority="13" stopIfTrue="1" operator="lessThan">
      <formula>$B$2</formula>
    </cfRule>
  </conditionalFormatting>
  <conditionalFormatting sqref="B18">
    <cfRule type="cellIs" dxfId="166" priority="11" stopIfTrue="1" operator="equal">
      <formula>"已过期"</formula>
    </cfRule>
  </conditionalFormatting>
  <conditionalFormatting sqref="C28">
    <cfRule type="expression" dxfId="165" priority="9">
      <formula>AND($C28-TODAY()&lt;30,TODAY()&lt;$C28)</formula>
    </cfRule>
  </conditionalFormatting>
  <conditionalFormatting sqref="C28">
    <cfRule type="cellIs" dxfId="164" priority="10" stopIfTrue="1" operator="lessThan">
      <formula>$B$2</formula>
    </cfRule>
  </conditionalFormatting>
  <conditionalFormatting sqref="C4">
    <cfRule type="expression" dxfId="163" priority="7">
      <formula>AND($C4-TODAY()&lt;30,TODAY()&lt;$C4)</formula>
    </cfRule>
  </conditionalFormatting>
  <conditionalFormatting sqref="C4">
    <cfRule type="cellIs" dxfId="162" priority="8" stopIfTrue="1" operator="lessThan">
      <formula>$B$2</formula>
    </cfRule>
  </conditionalFormatting>
  <conditionalFormatting sqref="C8">
    <cfRule type="expression" dxfId="161" priority="5">
      <formula>AND($C8-TODAY()&lt;30,TODAY()&lt;$C8)</formula>
    </cfRule>
  </conditionalFormatting>
  <conditionalFormatting sqref="C8">
    <cfRule type="cellIs" dxfId="160" priority="6" stopIfTrue="1" operator="lessThan">
      <formula>$B$2</formula>
    </cfRule>
  </conditionalFormatting>
  <conditionalFormatting sqref="C9">
    <cfRule type="expression" dxfId="159" priority="3">
      <formula>AND($C9-TODAY()&lt;30,TODAY()&lt;$C9)</formula>
    </cfRule>
  </conditionalFormatting>
  <conditionalFormatting sqref="C9">
    <cfRule type="cellIs" dxfId="158" priority="4" stopIfTrue="1" operator="lessThan">
      <formula>$B$2</formula>
    </cfRule>
  </conditionalFormatting>
  <conditionalFormatting sqref="F23">
    <cfRule type="cellIs" dxfId="157" priority="2" stopIfTrue="1" operator="lessThan">
      <formula>$B$2</formula>
    </cfRule>
  </conditionalFormatting>
  <conditionalFormatting sqref="E23">
    <cfRule type="cellIs" dxfId="156" priority="1" stopIfTrue="1" operator="equal">
      <formula>"已过期"</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结果表 (典型)</vt:lpstr>
      <vt:lpstr>成本法 (元)</vt:lpstr>
      <vt:lpstr>假设开发法</vt:lpstr>
      <vt:lpstr>基准地价修正</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2020-03-30T02:50:01Z</dcterms:modified>
</cp:coreProperties>
</file>