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codeName="ThisWorkbook" defaultThemeVersion="124226"/>
  <mc:AlternateContent xmlns:mc="http://schemas.openxmlformats.org/markup-compatibility/2006">
    <mc:Choice Requires="x15">
      <x15ac:absPath xmlns:x15ac="http://schemas.microsoft.com/office/spreadsheetml/2010/11/ac" url="D:\桌面\吴姐华澳板湖询价\"/>
    </mc:Choice>
  </mc:AlternateContent>
  <xr:revisionPtr revIDLastSave="0" documentId="13_ncr:1_{8142AB8C-B481-45E0-AD4D-08F7DC69998A}" xr6:coauthVersionLast="47" xr6:coauthVersionMax="47" xr10:uidLastSave="{00000000-0000-0000-0000-000000000000}"/>
  <bookViews>
    <workbookView xWindow="-120" yWindow="-120" windowWidth="19440" windowHeight="15000" tabRatio="875" firstSheet="14"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信息"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69" r:id="rId20"/>
    <sheet name="剩余法-待开发" sheetId="12" r:id="rId21"/>
    <sheet name="不动产收益法" sheetId="15" r:id="rId22"/>
    <sheet name="比较法-工业" sheetId="40" r:id="rId23"/>
    <sheet name="基准地价" sheetId="46" r:id="rId24"/>
    <sheet name="修正" sheetId="49" state="hidden" r:id="rId25"/>
    <sheet name="区片价" sheetId="48" state="hidden" r:id="rId26"/>
    <sheet name="容积率修正" sheetId="45" state="hidden" r:id="rId27"/>
    <sheet name="因素修正幅度" sheetId="56" state="hidden" r:id="rId28"/>
    <sheet name="剩余法-现房" sheetId="43" r:id="rId29"/>
    <sheet name="地价" sheetId="59" r:id="rId30"/>
    <sheet name="基准地价（汇总）" sheetId="67" r:id="rId31"/>
    <sheet name="收益还原法" sheetId="44" r:id="rId32"/>
    <sheet name="酒店收入计算" sheetId="57" r:id="rId33"/>
    <sheet name="成本逼近法" sheetId="11" r:id="rId34"/>
    <sheet name="不动产比较法-住宅" sheetId="21" r:id="rId35"/>
    <sheet name="不动产比较法-商业" sheetId="33" r:id="rId36"/>
    <sheet name="不动产比较法-办公" sheetId="34" r:id="rId37"/>
    <sheet name="不动产比较法-工业" sheetId="37" r:id="rId38"/>
    <sheet name="不动产比较法-车位" sheetId="35" r:id="rId39"/>
    <sheet name="不动产比较法-仓储" sheetId="36" r:id="rId40"/>
    <sheet name="典型户型修正" sheetId="31" r:id="rId41"/>
    <sheet name="存贷款利率" sheetId="65" r:id="rId42"/>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1">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20">'剩余法-待开发'!$A$1:$K$36</definedName>
    <definedName name="_xlnm.Print_Area" localSheetId="28">'剩余法-现房'!$A$1:$K$32</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52" i="39" l="1"/>
  <c r="G52" i="39"/>
  <c r="E52" i="39"/>
  <c r="H5" i="68"/>
  <c r="H6" i="68"/>
  <c r="G5" i="68"/>
  <c r="I40" i="39"/>
  <c r="G40" i="39"/>
  <c r="E40" i="39"/>
  <c r="C40" i="39"/>
  <c r="C106" i="9"/>
  <c r="H2" i="68"/>
  <c r="I51" i="39" l="1"/>
  <c r="G51" i="39"/>
  <c r="E51" i="39"/>
  <c r="J22" i="1"/>
  <c r="J20" i="1"/>
  <c r="D14" i="9"/>
  <c r="I48" i="39"/>
  <c r="G48" i="39"/>
  <c r="E48" i="39"/>
  <c r="N73" i="39"/>
  <c r="E73" i="39"/>
  <c r="F73" i="39"/>
  <c r="G73" i="39"/>
  <c r="H73" i="39"/>
  <c r="I73" i="39" s="1"/>
  <c r="J73" i="39" s="1"/>
  <c r="K73" i="39" s="1"/>
  <c r="L73" i="39" s="1"/>
  <c r="M73" i="39" s="1"/>
  <c r="D73" i="39"/>
  <c r="C13" i="39"/>
  <c r="I9" i="39"/>
  <c r="G9" i="39"/>
  <c r="E9" i="39"/>
  <c r="F19" i="6" l="1"/>
  <c r="I13" i="3"/>
  <c r="A3" i="3"/>
  <c r="P3" i="69"/>
  <c r="P4" i="69"/>
  <c r="P2" i="69"/>
  <c r="O4" i="69"/>
  <c r="O3" i="69"/>
  <c r="O2" i="69"/>
  <c r="I2" i="68"/>
  <c r="D3" i="4" l="1"/>
  <c r="F2" i="68"/>
  <c r="E20" i="46"/>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s="1"/>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c r="AD16" i="59"/>
  <c r="Q17" i="59"/>
  <c r="P17" i="59"/>
  <c r="O17" i="59"/>
  <c r="N17" i="59"/>
  <c r="M19" i="46"/>
  <c r="J50" i="15"/>
  <c r="J51" i="15" s="1"/>
  <c r="D19" i="59"/>
  <c r="AH17" i="59"/>
  <c r="AG17" i="59"/>
  <c r="AE17" i="59"/>
  <c r="AF17" i="59" s="1"/>
  <c r="AD17" i="59"/>
  <c r="AE18" i="59"/>
  <c r="AF18" i="59"/>
  <c r="AG18" i="59"/>
  <c r="AH18" i="59"/>
  <c r="AD18" i="59"/>
  <c r="Q18" i="59"/>
  <c r="P18" i="59"/>
  <c r="O18" i="59"/>
  <c r="N18" i="59"/>
  <c r="N19" i="59"/>
  <c r="Q19" i="59"/>
  <c r="P19" i="59"/>
  <c r="O19" i="59"/>
  <c r="K59" i="15"/>
  <c r="P62" i="15" s="1"/>
  <c r="Q74" i="44"/>
  <c r="Q61" i="44"/>
  <c r="Q60" i="44"/>
  <c r="Q53" i="44"/>
  <c r="J51" i="44"/>
  <c r="J52" i="44" s="1"/>
  <c r="M48" i="44"/>
  <c r="A16" i="55"/>
  <c r="A15" i="55"/>
  <c r="B66" i="63" s="1"/>
  <c r="A10" i="55"/>
  <c r="B61" i="63" s="1"/>
  <c r="A9" i="55"/>
  <c r="B60" i="63" s="1"/>
  <c r="A8" i="55"/>
  <c r="A6" i="54"/>
  <c r="B49" i="63" s="1"/>
  <c r="A8" i="54"/>
  <c r="B53" i="63" s="1"/>
  <c r="A7" i="54"/>
  <c r="A27" i="51"/>
  <c r="B20" i="63" s="1"/>
  <c r="Q20" i="59"/>
  <c r="O20" i="59"/>
  <c r="N21" i="59"/>
  <c r="O21" i="59"/>
  <c r="P21" i="59"/>
  <c r="Q21" i="59"/>
  <c r="N20" i="59"/>
  <c r="P20" i="59"/>
  <c r="K75" i="9"/>
  <c r="K6" i="4"/>
  <c r="O76" i="9"/>
  <c r="L76" i="9"/>
  <c r="K76" i="9"/>
  <c r="B22" i="31"/>
  <c r="E15" i="66"/>
  <c r="F15" i="66"/>
  <c r="E16" i="66"/>
  <c r="F16" i="66"/>
  <c r="E17" i="66"/>
  <c r="F17" i="66"/>
  <c r="E18" i="66"/>
  <c r="F18" i="66"/>
  <c r="E19" i="66"/>
  <c r="F19" i="66"/>
  <c r="E20" i="66"/>
  <c r="F20" i="66"/>
  <c r="E21" i="66"/>
  <c r="F21" i="66"/>
  <c r="E22" i="66"/>
  <c r="F22" i="66"/>
  <c r="E23" i="66"/>
  <c r="F23" i="66"/>
  <c r="B3" i="66"/>
  <c r="B18" i="59"/>
  <c r="B17" i="59"/>
  <c r="B16" i="59" s="1"/>
  <c r="E18" i="59"/>
  <c r="E17" i="59" s="1"/>
  <c r="E16" i="59"/>
  <c r="E15" i="59" s="1"/>
  <c r="E14" i="59" s="1"/>
  <c r="E13" i="59" s="1"/>
  <c r="E12" i="59" s="1"/>
  <c r="E11" i="59" s="1"/>
  <c r="F18" i="59"/>
  <c r="V18" i="59" s="1"/>
  <c r="U18" i="59"/>
  <c r="S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c r="C3" i="65"/>
  <c r="C1" i="65"/>
  <c r="N1" i="65" s="1"/>
  <c r="T18" i="59"/>
  <c r="D18"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N4" i="63" s="1"/>
  <c r="C56" i="10"/>
  <c r="C55" i="10"/>
  <c r="C54" i="10"/>
  <c r="B44" i="63"/>
  <c r="B40" i="63"/>
  <c r="B30" i="63"/>
  <c r="B27" i="63"/>
  <c r="B25" i="63"/>
  <c r="A11" i="51"/>
  <c r="B10" i="63" s="1"/>
  <c r="A26" i="64"/>
  <c r="A26" i="51"/>
  <c r="K39" i="9"/>
  <c r="K40" i="9"/>
  <c r="B58"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19" i="63"/>
  <c r="B49" i="50"/>
  <c r="B5" i="63"/>
  <c r="B40" i="50"/>
  <c r="B3" i="63"/>
  <c r="B21" i="63"/>
  <c r="B67" i="63"/>
  <c r="I19" i="46"/>
  <c r="Q22" i="59"/>
  <c r="P22" i="59"/>
  <c r="E22" i="59" s="1"/>
  <c r="O22" i="59"/>
  <c r="N22" i="59"/>
  <c r="B22" i="59" s="1"/>
  <c r="B21" i="59" s="1"/>
  <c r="B20" i="59" s="1"/>
  <c r="D83" i="59"/>
  <c r="F82" i="59"/>
  <c r="F81" i="59" s="1"/>
  <c r="F80" i="59" s="1"/>
  <c r="E82" i="59"/>
  <c r="E81" i="59"/>
  <c r="E80" i="59" s="1"/>
  <c r="C82" i="59"/>
  <c r="D82" i="59" s="1"/>
  <c r="B82" i="59"/>
  <c r="B81" i="59" s="1"/>
  <c r="B80" i="59" s="1"/>
  <c r="D79" i="59"/>
  <c r="F78" i="59"/>
  <c r="F77" i="59" s="1"/>
  <c r="F76" i="59" s="1"/>
  <c r="E78" i="59"/>
  <c r="E77" i="59"/>
  <c r="E76" i="59" s="1"/>
  <c r="C78" i="59"/>
  <c r="D78" i="59" s="1"/>
  <c r="B78" i="59"/>
  <c r="B77" i="59" s="1"/>
  <c r="B76" i="59" s="1"/>
  <c r="D75" i="59"/>
  <c r="Q74" i="59"/>
  <c r="P74" i="59"/>
  <c r="O74" i="59"/>
  <c r="N74" i="59"/>
  <c r="F74" i="59"/>
  <c r="V74" i="59" s="1"/>
  <c r="E74" i="59"/>
  <c r="U74" i="59" s="1"/>
  <c r="C74" i="59"/>
  <c r="T74" i="59" s="1"/>
  <c r="B74" i="59"/>
  <c r="S74" i="59" s="1"/>
  <c r="Q73" i="59"/>
  <c r="P73" i="59"/>
  <c r="O73" i="59"/>
  <c r="N73" i="59"/>
  <c r="F73" i="59"/>
  <c r="F72" i="59" s="1"/>
  <c r="B73" i="59"/>
  <c r="B72" i="59" s="1"/>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F62" i="59"/>
  <c r="V62" i="59"/>
  <c r="E62" i="59"/>
  <c r="E61" i="59"/>
  <c r="P61" i="59" s="1"/>
  <c r="C62" i="59"/>
  <c r="B62" i="59"/>
  <c r="N62" i="59"/>
  <c r="F61" i="59"/>
  <c r="F60" i="59"/>
  <c r="Q60" i="59" s="1"/>
  <c r="B61" i="59"/>
  <c r="D59" i="59"/>
  <c r="Q58" i="59"/>
  <c r="P58" i="59"/>
  <c r="O58" i="59"/>
  <c r="N58" i="59"/>
  <c r="Q57" i="59"/>
  <c r="P57" i="59"/>
  <c r="O57" i="59"/>
  <c r="N57" i="59"/>
  <c r="Q56" i="59"/>
  <c r="P56" i="59"/>
  <c r="O56" i="59"/>
  <c r="N56" i="59"/>
  <c r="Q55" i="59"/>
  <c r="F56" i="59"/>
  <c r="P55" i="59"/>
  <c r="E56" i="59"/>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c r="N51" i="59"/>
  <c r="B52" i="59"/>
  <c r="B53" i="59" s="1"/>
  <c r="B54" i="59" s="1"/>
  <c r="S54" i="59" s="1"/>
  <c r="D51" i="59"/>
  <c r="Q50" i="59"/>
  <c r="P50" i="59"/>
  <c r="O50" i="59"/>
  <c r="N50" i="59"/>
  <c r="Q49" i="59"/>
  <c r="P49" i="59"/>
  <c r="O49" i="59"/>
  <c r="N49" i="59"/>
  <c r="Q48" i="59"/>
  <c r="P48" i="59"/>
  <c r="O48" i="59"/>
  <c r="N48" i="59"/>
  <c r="Q47" i="59"/>
  <c r="F48" i="59"/>
  <c r="P47" i="59"/>
  <c r="E48" i="59"/>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c r="O43" i="59"/>
  <c r="C44" i="59"/>
  <c r="N43" i="59"/>
  <c r="B44" i="59"/>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c r="P35" i="59"/>
  <c r="E36" i="59"/>
  <c r="E37" i="59" s="1"/>
  <c r="E38" i="59" s="1"/>
  <c r="U38" i="59" s="1"/>
  <c r="O35" i="59"/>
  <c r="C36" i="59" s="1"/>
  <c r="N35" i="59"/>
  <c r="B36" i="59" s="1"/>
  <c r="B37" i="59" s="1"/>
  <c r="B38" i="59" s="1"/>
  <c r="S38" i="59" s="1"/>
  <c r="D35" i="59"/>
  <c r="Q34" i="59"/>
  <c r="P34" i="59"/>
  <c r="O34" i="59"/>
  <c r="N34" i="59"/>
  <c r="Q33" i="59"/>
  <c r="AB33" i="59" s="1"/>
  <c r="P33" i="59"/>
  <c r="O33" i="59"/>
  <c r="Y33" i="59"/>
  <c r="Z33" i="59" s="1"/>
  <c r="N33" i="59"/>
  <c r="X33" i="59" s="1"/>
  <c r="Q32" i="59"/>
  <c r="AB32" i="59" s="1"/>
  <c r="P32" i="59"/>
  <c r="AA32" i="59" s="1"/>
  <c r="O32" i="59"/>
  <c r="Y32" i="59" s="1"/>
  <c r="N32" i="59"/>
  <c r="X32" i="59" s="1"/>
  <c r="Q31" i="59"/>
  <c r="AB31" i="59" s="1"/>
  <c r="P31" i="59"/>
  <c r="AA31" i="59" s="1"/>
  <c r="O31" i="59"/>
  <c r="C32" i="59"/>
  <c r="N31" i="59"/>
  <c r="X31" i="59" s="1"/>
  <c r="B32" i="59"/>
  <c r="B33" i="59" s="1"/>
  <c r="B34" i="59" s="1"/>
  <c r="S34" i="59" s="1"/>
  <c r="D31" i="59"/>
  <c r="Q30" i="59"/>
  <c r="P30" i="59"/>
  <c r="AA30" i="59" s="1"/>
  <c r="O30" i="59"/>
  <c r="Y30" i="59" s="1"/>
  <c r="Z30" i="59" s="1"/>
  <c r="N30" i="59"/>
  <c r="X30" i="59" s="1"/>
  <c r="Q29" i="59"/>
  <c r="AB29" i="59" s="1"/>
  <c r="P29" i="59"/>
  <c r="AA29" i="59" s="1"/>
  <c r="O29" i="59"/>
  <c r="N29" i="59"/>
  <c r="X29" i="59" s="1"/>
  <c r="Q28" i="59"/>
  <c r="P28" i="59"/>
  <c r="AA28" i="59" s="1"/>
  <c r="O28" i="59"/>
  <c r="Y28" i="59" s="1"/>
  <c r="Z28" i="59" s="1"/>
  <c r="N28" i="59"/>
  <c r="X28" i="59" s="1"/>
  <c r="Q27" i="59"/>
  <c r="AB27" i="59" s="1"/>
  <c r="F28" i="59"/>
  <c r="P27" i="59"/>
  <c r="E28" i="59"/>
  <c r="E29" i="59" s="1"/>
  <c r="E30" i="59" s="1"/>
  <c r="U30" i="59" s="1"/>
  <c r="O27" i="59"/>
  <c r="Y27" i="59" s="1"/>
  <c r="Z27" i="59" s="1"/>
  <c r="N27" i="59"/>
  <c r="X27" i="59" s="1"/>
  <c r="D27" i="59"/>
  <c r="Q26" i="59"/>
  <c r="AB26" i="59" s="1"/>
  <c r="P26" i="59"/>
  <c r="AA26" i="59" s="1"/>
  <c r="O26" i="59"/>
  <c r="Y26" i="59" s="1"/>
  <c r="Z26" i="59" s="1"/>
  <c r="N26" i="59"/>
  <c r="Q25" i="59"/>
  <c r="AB25" i="59" s="1"/>
  <c r="P25" i="59"/>
  <c r="O25" i="59"/>
  <c r="Y25" i="59" s="1"/>
  <c r="Z25" i="59" s="1"/>
  <c r="N25" i="59"/>
  <c r="X25" i="59" s="1"/>
  <c r="Q24" i="59"/>
  <c r="AB24" i="59" s="1"/>
  <c r="P24" i="59"/>
  <c r="AA24" i="59" s="1"/>
  <c r="O24" i="59"/>
  <c r="Y24" i="59" s="1"/>
  <c r="Z24" i="59" s="1"/>
  <c r="N24" i="59"/>
  <c r="Q23" i="59"/>
  <c r="AB23" i="59" s="1"/>
  <c r="P23" i="59"/>
  <c r="AA23" i="59" s="1"/>
  <c r="O23" i="59"/>
  <c r="C24" i="59"/>
  <c r="N23" i="59"/>
  <c r="X23" i="59" s="1"/>
  <c r="B24" i="59"/>
  <c r="D23" i="59"/>
  <c r="X3" i="59"/>
  <c r="X20" i="59"/>
  <c r="X22" i="59"/>
  <c r="AA19" i="59"/>
  <c r="AA21" i="59"/>
  <c r="Y19" i="59"/>
  <c r="Z19" i="59" s="1"/>
  <c r="Y20" i="59"/>
  <c r="Z20" i="59" s="1"/>
  <c r="Y21" i="59"/>
  <c r="Z21" i="59" s="1"/>
  <c r="Y22" i="59"/>
  <c r="Z22" i="59" s="1"/>
  <c r="AB22" i="59"/>
  <c r="AB19" i="59"/>
  <c r="AB20" i="59"/>
  <c r="AB21" i="59"/>
  <c r="B25" i="59"/>
  <c r="B26" i="59"/>
  <c r="S26" i="59" s="1"/>
  <c r="E24" i="59"/>
  <c r="E25" i="59" s="1"/>
  <c r="E26" i="59" s="1"/>
  <c r="U26" i="59" s="1"/>
  <c r="B45" i="59"/>
  <c r="B46" i="59" s="1"/>
  <c r="S46" i="59" s="1"/>
  <c r="E45" i="59"/>
  <c r="E46" i="59"/>
  <c r="U46" i="59" s="1"/>
  <c r="S62" i="59"/>
  <c r="Z32" i="59"/>
  <c r="AA33" i="59"/>
  <c r="F29" i="59"/>
  <c r="F30" i="59" s="1"/>
  <c r="V30" i="59" s="1"/>
  <c r="F37" i="59"/>
  <c r="F38" i="59" s="1"/>
  <c r="V38" i="59" s="1"/>
  <c r="F49" i="59"/>
  <c r="F50" i="59" s="1"/>
  <c r="V50" i="59" s="1"/>
  <c r="F57" i="59"/>
  <c r="F58" i="59" s="1"/>
  <c r="V58" i="59" s="1"/>
  <c r="C25" i="59"/>
  <c r="D24" i="59"/>
  <c r="C33" i="59"/>
  <c r="D32" i="59"/>
  <c r="C41" i="59"/>
  <c r="D41" i="59"/>
  <c r="D40" i="59"/>
  <c r="C45" i="59"/>
  <c r="C46" i="59" s="1"/>
  <c r="D44" i="59"/>
  <c r="C53" i="59"/>
  <c r="D53" i="59" s="1"/>
  <c r="D52" i="59"/>
  <c r="E60" i="59"/>
  <c r="P59" i="59" s="1"/>
  <c r="N61" i="59"/>
  <c r="B60" i="59"/>
  <c r="N59" i="59" s="1"/>
  <c r="Q61" i="59"/>
  <c r="T62" i="59"/>
  <c r="O62" i="59"/>
  <c r="D62" i="59"/>
  <c r="C61" i="59"/>
  <c r="P62" i="59"/>
  <c r="U62" i="59"/>
  <c r="Q62" i="59"/>
  <c r="C65" i="59"/>
  <c r="E65" i="59"/>
  <c r="E64" i="59" s="1"/>
  <c r="D66" i="59"/>
  <c r="C69" i="59"/>
  <c r="E69" i="59"/>
  <c r="E68" i="59" s="1"/>
  <c r="D70" i="59"/>
  <c r="C73" i="59"/>
  <c r="E73" i="59"/>
  <c r="E72" i="59" s="1"/>
  <c r="D74" i="59"/>
  <c r="C77" i="59"/>
  <c r="C81" i="59"/>
  <c r="D81" i="59" s="1"/>
  <c r="U16" i="4"/>
  <c r="S16" i="4"/>
  <c r="Q16" i="4"/>
  <c r="O16" i="4"/>
  <c r="M16" i="4"/>
  <c r="K16" i="4"/>
  <c r="P60" i="59"/>
  <c r="C80" i="59"/>
  <c r="D80" i="59" s="1"/>
  <c r="D73" i="59"/>
  <c r="C72" i="59"/>
  <c r="D72" i="59"/>
  <c r="D65" i="59"/>
  <c r="C64" i="59"/>
  <c r="D64" i="59" s="1"/>
  <c r="C60" i="59"/>
  <c r="O60" i="59" s="1"/>
  <c r="O61" i="59"/>
  <c r="D61" i="59"/>
  <c r="D77" i="59"/>
  <c r="C76" i="59"/>
  <c r="D76" i="59" s="1"/>
  <c r="D69" i="59"/>
  <c r="C68" i="59"/>
  <c r="D68" i="59"/>
  <c r="N60" i="59"/>
  <c r="C54" i="59"/>
  <c r="T54" i="59" s="1"/>
  <c r="D45" i="59"/>
  <c r="C34" i="59"/>
  <c r="D33" i="59"/>
  <c r="C26" i="59"/>
  <c r="D25" i="59"/>
  <c r="L16" i="4"/>
  <c r="D54" i="59"/>
  <c r="T26" i="59"/>
  <c r="D26" i="59"/>
  <c r="T34" i="59"/>
  <c r="D34" i="59"/>
  <c r="D60"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c r="Q21" i="37"/>
  <c r="Z21" i="37" s="1"/>
  <c r="F21" i="37"/>
  <c r="AA21" i="37"/>
  <c r="C21" i="37"/>
  <c r="D77" i="37"/>
  <c r="E77" i="37" s="1"/>
  <c r="F77" i="37" s="1"/>
  <c r="G77" i="37" s="1"/>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34"/>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K1" i="43"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C18" i="9"/>
  <c r="D18" i="9" s="1"/>
  <c r="M44"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c r="H10" i="39"/>
  <c r="AB10" i="39" s="1"/>
  <c r="H11" i="39"/>
  <c r="AB11" i="39"/>
  <c r="H36" i="39"/>
  <c r="AB36" i="39"/>
  <c r="H40" i="39"/>
  <c r="AB40" i="39" s="1"/>
  <c r="H42" i="39"/>
  <c r="AB42" i="39"/>
  <c r="J10" i="39"/>
  <c r="AC10" i="39" s="1"/>
  <c r="J11" i="39"/>
  <c r="AC11" i="39"/>
  <c r="J36" i="39"/>
  <c r="AC36" i="39"/>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s="1"/>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c r="H111" i="39" s="1"/>
  <c r="I111" i="39" s="1"/>
  <c r="J111" i="39" s="1"/>
  <c r="K111" i="39" s="1"/>
  <c r="L111" i="39" s="1"/>
  <c r="M111" i="39" s="1"/>
  <c r="D109" i="39"/>
  <c r="E109" i="39"/>
  <c r="F109" i="39" s="1"/>
  <c r="G109" i="39"/>
  <c r="H109" i="39" s="1"/>
  <c r="I109" i="39" s="1"/>
  <c r="J109" i="39" s="1"/>
  <c r="K109" i="39" s="1"/>
  <c r="L109" i="39" s="1"/>
  <c r="M109" i="39" s="1"/>
  <c r="D107" i="39"/>
  <c r="E107" i="39"/>
  <c r="F107" i="39" s="1"/>
  <c r="G107" i="39"/>
  <c r="H107" i="39" s="1"/>
  <c r="I107" i="39" s="1"/>
  <c r="J107" i="39" s="1"/>
  <c r="K107" i="39" s="1"/>
  <c r="L107" i="39" s="1"/>
  <c r="M107" i="39" s="1"/>
  <c r="D103" i="39"/>
  <c r="E103" i="39" s="1"/>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S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H5" i="3" s="1"/>
  <c r="BI13" i="3"/>
  <c r="BI5" i="3" s="1"/>
  <c r="BJ13" i="3"/>
  <c r="BJ5" i="3" s="1"/>
  <c r="BK13" i="3"/>
  <c r="BM13" i="3"/>
  <c r="BN13" i="3"/>
  <c r="BO13" i="3"/>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W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F125" i="21"/>
  <c r="G125" i="21" s="1"/>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AB28" i="33" s="1"/>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BA487" i="3"/>
  <c r="BA19" i="3"/>
  <c r="BA572" i="3"/>
  <c r="AZ572" i="3" s="1"/>
  <c r="BA566" i="3"/>
  <c r="BA562" i="3"/>
  <c r="AZ562" i="3" s="1"/>
  <c r="BA560" i="3"/>
  <c r="BA558" i="3"/>
  <c r="AZ558" i="3" s="1"/>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AZ546" i="3" s="1"/>
  <c r="BQ544" i="3"/>
  <c r="BL544" i="3"/>
  <c r="G544" i="3"/>
  <c r="G538" i="3"/>
  <c r="G534" i="3"/>
  <c r="G530" i="3"/>
  <c r="G526" i="3"/>
  <c r="G522" i="3"/>
  <c r="BQ540" i="3"/>
  <c r="BL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U43" i="33"/>
  <c r="H17" i="37"/>
  <c r="U17" i="37"/>
  <c r="F23" i="37"/>
  <c r="S23" i="37"/>
  <c r="F79" i="37"/>
  <c r="AB27" i="37"/>
  <c r="F39" i="33"/>
  <c r="AA39" i="33"/>
  <c r="E123"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U39" i="37"/>
  <c r="AC8" i="37"/>
  <c r="S25" i="37"/>
  <c r="AC36" i="34"/>
  <c r="AB8" i="34"/>
  <c r="AA13" i="33"/>
  <c r="AC45" i="33"/>
  <c r="U19"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c r="I60" i="40"/>
  <c r="C60" i="40"/>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AZ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G346" i="3"/>
  <c r="BA348" i="3"/>
  <c r="AZ348" i="3" s="1"/>
  <c r="BL349" i="3"/>
  <c r="AZ349" i="3" s="1"/>
  <c r="G350" i="3"/>
  <c r="BA352" i="3"/>
  <c r="AZ352" i="3" s="1"/>
  <c r="BL353" i="3"/>
  <c r="G354" i="3"/>
  <c r="BA356" i="3"/>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s="1"/>
  <c r="H78" i="40" s="1"/>
  <c r="I78" i="40" s="1"/>
  <c r="J78" i="40" s="1"/>
  <c r="K78" i="40" s="1"/>
  <c r="L78" i="40" s="1"/>
  <c r="M78" i="40" s="1"/>
  <c r="R16" i="4"/>
  <c r="P16" i="4"/>
  <c r="D3" i="35"/>
  <c r="G4" i="4"/>
  <c r="S37" i="34"/>
  <c r="J16" i="35"/>
  <c r="W16" i="35" s="1"/>
  <c r="U42" i="21"/>
  <c r="AC26" i="36"/>
  <c r="W25" i="35"/>
  <c r="AZ354" i="3"/>
  <c r="H13" i="39"/>
  <c r="AB13" i="39" s="1"/>
  <c r="F13" i="39"/>
  <c r="S13" i="39" s="1"/>
  <c r="J13" i="39"/>
  <c r="AC13" i="39" s="1"/>
  <c r="AA36" i="35"/>
  <c r="H11" i="37"/>
  <c r="AB11" i="37" s="1"/>
  <c r="W37" i="37"/>
  <c r="AA30" i="33"/>
  <c r="AA36" i="37"/>
  <c r="U32" i="33"/>
  <c r="AB17" i="37"/>
  <c r="AZ488" i="3"/>
  <c r="AZ516" i="3"/>
  <c r="AZ532" i="3"/>
  <c r="AC29" i="33"/>
  <c r="AA45" i="33"/>
  <c r="AC11" i="36"/>
  <c r="AC10" i="36"/>
  <c r="AB45" i="34"/>
  <c r="AB35" i="35"/>
  <c r="W44" i="33"/>
  <c r="AC30" i="33"/>
  <c r="W30" i="33"/>
  <c r="AC29" i="37"/>
  <c r="W32" i="36"/>
  <c r="AC32" i="36"/>
  <c r="U28" i="33"/>
  <c r="J33" i="34"/>
  <c r="AC33" i="34" s="1"/>
  <c r="AB36" i="34"/>
  <c r="J40" i="34"/>
  <c r="W40" i="34"/>
  <c r="F16" i="35"/>
  <c r="AA16" i="35"/>
  <c r="S24" i="36"/>
  <c r="W42" i="33"/>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43" i="39"/>
  <c r="H43" i="39"/>
  <c r="U43" i="39" s="1"/>
  <c r="J43" i="39"/>
  <c r="F99" i="37"/>
  <c r="AC27" i="37"/>
  <c r="S45" i="34"/>
  <c r="AC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A481" i="3"/>
  <c r="AZ481" i="3"/>
  <c r="BB5"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E97" i="39"/>
  <c r="H23" i="39" s="1"/>
  <c r="AB23" i="39" s="1"/>
  <c r="F27" i="39"/>
  <c r="AA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s="1"/>
  <c r="G92" i="40"/>
  <c r="F23" i="40"/>
  <c r="S23" i="40"/>
  <c r="AC15" i="40"/>
  <c r="W15" i="40"/>
  <c r="W27"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17"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J23" i="39"/>
  <c r="AC23"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S17" i="39"/>
  <c r="U11" i="36"/>
  <c r="F80" i="35"/>
  <c r="G80" i="35" s="1"/>
  <c r="H80" i="35" s="1"/>
  <c r="I80" i="35" s="1"/>
  <c r="J80" i="35" s="1"/>
  <c r="K80" i="35" s="1"/>
  <c r="L80" i="35" s="1"/>
  <c r="M80" i="35" s="1"/>
  <c r="W14" i="35"/>
  <c r="F90" i="34"/>
  <c r="G90" i="34"/>
  <c r="H90" i="34" s="1"/>
  <c r="I90" i="34" s="1"/>
  <c r="J90" i="34" s="1"/>
  <c r="K90" i="34" s="1"/>
  <c r="L90" i="34" s="1"/>
  <c r="M90" i="34" s="1"/>
  <c r="F27" i="34"/>
  <c r="S27" i="34"/>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U13" i="39"/>
  <c r="AC16" i="35"/>
  <c r="AC13" i="40"/>
  <c r="J11" i="34"/>
  <c r="W11" i="34" s="1"/>
  <c r="S17" i="34"/>
  <c r="AC36" i="33"/>
  <c r="F25" i="40"/>
  <c r="AA25" i="40" s="1"/>
  <c r="J11" i="33"/>
  <c r="W11" i="33" s="1"/>
  <c r="H33" i="37"/>
  <c r="AB33" i="37" s="1"/>
  <c r="W15" i="34"/>
  <c r="AC15" i="34"/>
  <c r="U20" i="35"/>
  <c r="AB20" i="35"/>
  <c r="W23" i="40"/>
  <c r="B11" i="1"/>
  <c r="E11" i="1" s="1"/>
  <c r="K11" i="1"/>
  <c r="M11" i="1" s="1"/>
  <c r="B9" i="1"/>
  <c r="E9" i="1" s="1"/>
  <c r="K9" i="1"/>
  <c r="M9" i="1" s="1"/>
  <c r="B7" i="1"/>
  <c r="E7" i="1" s="1"/>
  <c r="K7" i="1"/>
  <c r="M7" i="1" s="1"/>
  <c r="C20" i="43"/>
  <c r="F6" i="1"/>
  <c r="AP6" i="1" s="1"/>
  <c r="G11" i="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AC44" i="39"/>
  <c r="S11" i="39"/>
  <c r="AB45" i="39"/>
  <c r="AA21" i="39"/>
  <c r="AC38" i="39"/>
  <c r="AC21" i="39"/>
  <c r="AC17" i="39"/>
  <c r="S14" i="39"/>
  <c r="AB15" i="39"/>
  <c r="U11" i="39"/>
  <c r="U41" i="39"/>
  <c r="AB38" i="39"/>
  <c r="U31" i="39"/>
  <c r="AB31" i="39"/>
  <c r="S25" i="39"/>
  <c r="S38" i="39"/>
  <c r="S22" i="31"/>
  <c r="F28" i="15"/>
  <c r="A18" i="64"/>
  <c r="B74" i="63"/>
  <c r="C53" i="10"/>
  <c r="A25" i="64" s="1"/>
  <c r="A18" i="51"/>
  <c r="B14" i="63" s="1"/>
  <c r="BA16" i="3"/>
  <c r="BA17" i="3"/>
  <c r="AZ17" i="3"/>
  <c r="F3" i="35"/>
  <c r="K1" i="12"/>
  <c r="I4" i="6"/>
  <c r="G3" i="46"/>
  <c r="AZ15" i="3"/>
  <c r="BK5" i="3"/>
  <c r="BO5" i="3"/>
  <c r="BP5" i="3"/>
  <c r="BN5" i="3"/>
  <c r="BL18" i="3"/>
  <c r="AZ18" i="3"/>
  <c r="BC5" i="3"/>
  <c r="E8" i="6"/>
  <c r="E53" i="40" s="1"/>
  <c r="BD5" i="3"/>
  <c r="BR5" i="3"/>
  <c r="G28" i="6" s="1"/>
  <c r="BS5" i="3"/>
  <c r="F28" i="6" s="1"/>
  <c r="F30" i="6" s="1"/>
  <c r="BQ5" i="3"/>
  <c r="BL16" i="3"/>
  <c r="BL5" i="3" s="1"/>
  <c r="BM5" i="3"/>
  <c r="G22" i="43"/>
  <c r="D24" i="44"/>
  <c r="D26" i="44"/>
  <c r="G27" i="12"/>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s="1"/>
  <c r="K5" i="54"/>
  <c r="B38" i="63" s="1"/>
  <c r="T41" i="4"/>
  <c r="A17" i="64" s="1"/>
  <c r="B46" i="50"/>
  <c r="B4" i="63" s="1"/>
  <c r="H86" i="46"/>
  <c r="H82" i="46"/>
  <c r="H10" i="48"/>
  <c r="H87" i="46"/>
  <c r="H85" i="46"/>
  <c r="H83" i="46"/>
  <c r="K10" i="1"/>
  <c r="M10" i="1" s="1"/>
  <c r="S11" i="1"/>
  <c r="R11" i="1"/>
  <c r="S13" i="1"/>
  <c r="R13" i="1"/>
  <c r="B6" i="1"/>
  <c r="E6" i="1" s="1"/>
  <c r="B10" i="1"/>
  <c r="E10" i="1" s="1"/>
  <c r="S10" i="1"/>
  <c r="B8" i="1"/>
  <c r="E8" i="1"/>
  <c r="B12" i="1"/>
  <c r="E12" i="1"/>
  <c r="S12" i="1"/>
  <c r="K6" i="1"/>
  <c r="M6" i="1" s="1"/>
  <c r="F66" i="36"/>
  <c r="H18" i="36"/>
  <c r="AB18" i="36" s="1"/>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F27" i="6"/>
  <c r="E5" i="6"/>
  <c r="D12" i="11" s="1"/>
  <c r="AT6" i="3"/>
  <c r="G29" i="6"/>
  <c r="AZ16" i="3"/>
  <c r="A9" i="64"/>
  <c r="A9" i="51"/>
  <c r="B9" i="63" s="1"/>
  <c r="A3" i="55"/>
  <c r="B56" i="63" s="1"/>
  <c r="E4" i="4"/>
  <c r="B21" i="55" s="1"/>
  <c r="B72" i="63" s="1"/>
  <c r="C4" i="4"/>
  <c r="G66" i="36"/>
  <c r="J18" i="36"/>
  <c r="AE8" i="1"/>
  <c r="AE7" i="1"/>
  <c r="W18" i="36"/>
  <c r="AC18" i="36"/>
  <c r="AG6" i="1"/>
  <c r="L20" i="6"/>
  <c r="L19" i="6"/>
  <c r="B20" i="55"/>
  <c r="B70" i="63"/>
  <c r="S7" i="1"/>
  <c r="S8" i="1"/>
  <c r="S9" i="1"/>
  <c r="R9" i="1"/>
  <c r="R7" i="1"/>
  <c r="R8" i="1"/>
  <c r="C45" i="9"/>
  <c r="H14" i="66" s="1"/>
  <c r="B7" i="66" s="1"/>
  <c r="N76" i="9"/>
  <c r="H58" i="46"/>
  <c r="J17" i="46"/>
  <c r="C17" i="46"/>
  <c r="F34" i="46"/>
  <c r="F38" i="46"/>
  <c r="F37" i="46"/>
  <c r="H113" i="46"/>
  <c r="H49" i="46"/>
  <c r="H53" i="46"/>
  <c r="D17" i="59"/>
  <c r="C16" i="59"/>
  <c r="D16" i="59"/>
  <c r="U14" i="59"/>
  <c r="F17" i="59"/>
  <c r="F16" i="59" s="1"/>
  <c r="F15" i="59" s="1"/>
  <c r="F14" i="59" s="1"/>
  <c r="Y16" i="59"/>
  <c r="Z16" i="59" s="1"/>
  <c r="AA16" i="59"/>
  <c r="AB16" i="59"/>
  <c r="Y15" i="59"/>
  <c r="Z15" i="59" s="1"/>
  <c r="Y14" i="59"/>
  <c r="Z14" i="59" s="1"/>
  <c r="Y13" i="59"/>
  <c r="Z13" i="59" s="1"/>
  <c r="AB15" i="59"/>
  <c r="AB14" i="59"/>
  <c r="AB13" i="59"/>
  <c r="AA18" i="59"/>
  <c r="X16" i="59"/>
  <c r="X14" i="59"/>
  <c r="X13" i="59"/>
  <c r="AA14" i="59"/>
  <c r="AA13" i="59"/>
  <c r="H1" i="65"/>
  <c r="H51" i="46"/>
  <c r="X7" i="46"/>
  <c r="E17" i="46"/>
  <c r="N17" i="46"/>
  <c r="O17" i="46"/>
  <c r="M17" i="46"/>
  <c r="L17" i="46"/>
  <c r="H22" i="46"/>
  <c r="Y11" i="46"/>
  <c r="Y13" i="46" s="1"/>
  <c r="H101" i="46"/>
  <c r="H102" i="46" s="1"/>
  <c r="G22" i="46"/>
  <c r="J22" i="46"/>
  <c r="F101" i="46"/>
  <c r="F106" i="46" s="1"/>
  <c r="D101" i="46"/>
  <c r="D106" i="46" s="1"/>
  <c r="O13" i="1"/>
  <c r="P13" i="1" s="1"/>
  <c r="O12" i="1"/>
  <c r="AP7" i="1"/>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6" i="46" s="1"/>
  <c r="J101" i="46"/>
  <c r="J107" i="46" s="1"/>
  <c r="B113" i="46"/>
  <c r="I115" i="46" s="1"/>
  <c r="J115" i="46" s="1"/>
  <c r="K115" i="46" s="1"/>
  <c r="L115" i="46" s="1"/>
  <c r="M115" i="46" s="1"/>
  <c r="N104" i="45"/>
  <c r="L101" i="46"/>
  <c r="L105" i="46" s="1"/>
  <c r="F22" i="46"/>
  <c r="E101" i="46"/>
  <c r="E106" i="46" s="1"/>
  <c r="Z7" i="46"/>
  <c r="K101" i="46"/>
  <c r="K103" i="46" s="1"/>
  <c r="E22" i="46"/>
  <c r="AG11" i="46"/>
  <c r="AG13" i="46" s="1"/>
  <c r="Z11" i="46"/>
  <c r="Z13" i="46" s="1"/>
  <c r="AH11" i="46"/>
  <c r="AA11" i="46"/>
  <c r="AA13" i="46" s="1"/>
  <c r="AI11" i="46"/>
  <c r="AI13" i="46" s="1"/>
  <c r="AF11" i="46"/>
  <c r="AF13" i="46" s="1"/>
  <c r="AE11" i="46"/>
  <c r="AE13" i="46" s="1"/>
  <c r="H60" i="46"/>
  <c r="H59" i="46"/>
  <c r="H74" i="46"/>
  <c r="H65" i="46"/>
  <c r="AB11" i="46"/>
  <c r="AB13" i="46" s="1"/>
  <c r="H75" i="46"/>
  <c r="E10" i="46"/>
  <c r="C7" i="46" s="1"/>
  <c r="E9" i="46"/>
  <c r="E11" i="46"/>
  <c r="E8" i="46"/>
  <c r="H72" i="46"/>
  <c r="H69" i="46"/>
  <c r="H77" i="46"/>
  <c r="H76" i="46"/>
  <c r="H55" i="46"/>
  <c r="H54" i="46"/>
  <c r="H52" i="46"/>
  <c r="H47" i="46"/>
  <c r="AD12" i="46"/>
  <c r="AH12" i="46"/>
  <c r="AH13" i="46"/>
  <c r="C15" i="59"/>
  <c r="C14" i="59"/>
  <c r="C13" i="59" s="1"/>
  <c r="C12" i="59" s="1"/>
  <c r="C11" i="59" s="1"/>
  <c r="B15" i="59"/>
  <c r="B14" i="59" s="1"/>
  <c r="D15" i="59"/>
  <c r="H109" i="46"/>
  <c r="H106" i="46"/>
  <c r="I109" i="46"/>
  <c r="N104" i="46"/>
  <c r="N109" i="46"/>
  <c r="I105" i="46"/>
  <c r="K102" i="46"/>
  <c r="E104" i="46"/>
  <c r="E102" i="46"/>
  <c r="L104" i="46"/>
  <c r="C23" i="46"/>
  <c r="I116" i="46"/>
  <c r="J116" i="46" s="1"/>
  <c r="K116" i="46" s="1"/>
  <c r="L116" i="46" s="1"/>
  <c r="M116" i="46" s="1"/>
  <c r="B116" i="46"/>
  <c r="C116" i="46" s="1"/>
  <c r="D118" i="46"/>
  <c r="E118" i="46" s="1"/>
  <c r="F118" i="46" s="1"/>
  <c r="B117" i="46"/>
  <c r="C117" i="46" s="1"/>
  <c r="G103" i="46"/>
  <c r="G105" i="46"/>
  <c r="J109" i="46"/>
  <c r="D13" i="59"/>
  <c r="G20" i="46"/>
  <c r="E41" i="46" s="1"/>
  <c r="C41" i="46" s="1"/>
  <c r="S5" i="46"/>
  <c r="S2" i="46"/>
  <c r="S3" i="46"/>
  <c r="S7" i="46"/>
  <c r="S6" i="46"/>
  <c r="S4" i="46"/>
  <c r="I5" i="65"/>
  <c r="E11" i="67"/>
  <c r="N5" i="65"/>
  <c r="B14" i="67"/>
  <c r="J3" i="65"/>
  <c r="N6" i="65"/>
  <c r="E10" i="67"/>
  <c r="J5" i="65"/>
  <c r="F9" i="67"/>
  <c r="B12" i="67"/>
  <c r="N7" i="65"/>
  <c r="N3" i="65"/>
  <c r="J7" i="65"/>
  <c r="B10" i="67"/>
  <c r="F10" i="67"/>
  <c r="I4" i="65"/>
  <c r="I7" i="65"/>
  <c r="I3" i="65"/>
  <c r="J6" i="65"/>
  <c r="F11" i="67"/>
  <c r="F8" i="67"/>
  <c r="E8" i="67"/>
  <c r="E13" i="67"/>
  <c r="F12" i="67"/>
  <c r="B9" i="67"/>
  <c r="N4" i="65"/>
  <c r="B11" i="67"/>
  <c r="I6" i="65"/>
  <c r="J4" i="65"/>
  <c r="B8" i="67"/>
  <c r="E12" i="67"/>
  <c r="F14" i="67"/>
  <c r="F13" i="67"/>
  <c r="B13" i="67"/>
  <c r="E14" i="67"/>
  <c r="E9" i="67"/>
  <c r="AA19" i="39" l="1"/>
  <c r="H27" i="39"/>
  <c r="AB27" i="39" s="1"/>
  <c r="S27" i="39"/>
  <c r="U27" i="39"/>
  <c r="F103" i="39"/>
  <c r="G103" i="39" s="1"/>
  <c r="F29" i="39"/>
  <c r="AA29" i="39" s="1"/>
  <c r="H29" i="39"/>
  <c r="J29" i="39"/>
  <c r="F23" i="39"/>
  <c r="W23" i="39"/>
  <c r="F97" i="39"/>
  <c r="G97" i="39" s="1"/>
  <c r="U23" i="39"/>
  <c r="AC19" i="39"/>
  <c r="AB19" i="39"/>
  <c r="M43" i="9"/>
  <c r="U40" i="39"/>
  <c r="S40" i="39"/>
  <c r="W40" i="39"/>
  <c r="W13" i="39"/>
  <c r="AA13" i="39"/>
  <c r="G23" i="43"/>
  <c r="G26" i="12"/>
  <c r="G28" i="12"/>
  <c r="M20" i="15"/>
  <c r="M22" i="44"/>
  <c r="P75" i="15"/>
  <c r="M18" i="15"/>
  <c r="D96" i="9"/>
  <c r="F30" i="44"/>
  <c r="M20" i="44"/>
  <c r="F70" i="9"/>
  <c r="F32" i="15"/>
  <c r="F59" i="15" s="1"/>
  <c r="F71" i="9"/>
  <c r="C12" i="11"/>
  <c r="J105" i="46"/>
  <c r="D109" i="46"/>
  <c r="D102" i="46"/>
  <c r="H107" i="46"/>
  <c r="L27" i="6"/>
  <c r="G1" i="15"/>
  <c r="G1" i="44"/>
  <c r="D21" i="12"/>
  <c r="C21" i="12" s="1"/>
  <c r="E14" i="6"/>
  <c r="E66" i="39" s="1"/>
  <c r="E13" i="6"/>
  <c r="F31" i="6"/>
  <c r="E29" i="6"/>
  <c r="K15" i="1" s="1"/>
  <c r="G109" i="46"/>
  <c r="G102" i="46"/>
  <c r="B118" i="46"/>
  <c r="C118" i="46" s="1"/>
  <c r="G118" i="46"/>
  <c r="H118" i="46" s="1"/>
  <c r="D117" i="46"/>
  <c r="E117" i="46" s="1"/>
  <c r="F117" i="46" s="1"/>
  <c r="G117" i="46" s="1"/>
  <c r="H117" i="46" s="1"/>
  <c r="B115" i="46"/>
  <c r="C115" i="46" s="1"/>
  <c r="L107" i="46"/>
  <c r="L109" i="46"/>
  <c r="L102" i="46"/>
  <c r="E105" i="46"/>
  <c r="K104" i="46"/>
  <c r="K107" i="46"/>
  <c r="N103" i="46"/>
  <c r="D104" i="46"/>
  <c r="D105" i="46"/>
  <c r="H104" i="46"/>
  <c r="D103" i="46"/>
  <c r="H105" i="46"/>
  <c r="D107" i="46"/>
  <c r="H103" i="46"/>
  <c r="D22" i="46"/>
  <c r="C21" i="46" s="1"/>
  <c r="F105" i="46"/>
  <c r="F104" i="46"/>
  <c r="F107" i="46"/>
  <c r="E10" i="6"/>
  <c r="E15" i="6"/>
  <c r="E62" i="40" s="1"/>
  <c r="BA13" i="3"/>
  <c r="BA5" i="3" s="1"/>
  <c r="E27" i="6" s="1"/>
  <c r="P12" i="1"/>
  <c r="Q16" i="1"/>
  <c r="F24" i="43" s="1"/>
  <c r="C26" i="43" s="1"/>
  <c r="D24" i="43" s="1"/>
  <c r="C102" i="46"/>
  <c r="J106" i="46"/>
  <c r="E61" i="40"/>
  <c r="E58" i="39"/>
  <c r="E67" i="39"/>
  <c r="AZ13" i="3"/>
  <c r="C105" i="46"/>
  <c r="C107" i="46"/>
  <c r="J104" i="46"/>
  <c r="M104" i="46"/>
  <c r="E11" i="6"/>
  <c r="E12" i="6"/>
  <c r="H16" i="1"/>
  <c r="E109" i="46"/>
  <c r="C106" i="46"/>
  <c r="C103" i="46"/>
  <c r="C104" i="46"/>
  <c r="K109" i="46"/>
  <c r="G107" i="46"/>
  <c r="G104" i="46"/>
  <c r="I117" i="46"/>
  <c r="J117" i="46" s="1"/>
  <c r="K117" i="46" s="1"/>
  <c r="L117" i="46" s="1"/>
  <c r="M117" i="46" s="1"/>
  <c r="D115" i="46"/>
  <c r="E115" i="46" s="1"/>
  <c r="F115" i="46" s="1"/>
  <c r="D116" i="46"/>
  <c r="E116" i="46" s="1"/>
  <c r="F116" i="46" s="1"/>
  <c r="G116" i="46" s="1"/>
  <c r="H116" i="46" s="1"/>
  <c r="I118" i="46"/>
  <c r="J118" i="46" s="1"/>
  <c r="K118" i="46" s="1"/>
  <c r="L118" i="46" s="1"/>
  <c r="M118" i="46" s="1"/>
  <c r="L103" i="46"/>
  <c r="L106" i="46"/>
  <c r="E107" i="46"/>
  <c r="E103" i="46"/>
  <c r="K105" i="46"/>
  <c r="K106" i="46"/>
  <c r="G6" i="1"/>
  <c r="G12" i="1"/>
  <c r="N16" i="4"/>
  <c r="K17" i="4" s="1"/>
  <c r="A22" i="51" s="1"/>
  <c r="B16" i="63" s="1"/>
  <c r="C7" i="21"/>
  <c r="C58" i="21" s="1"/>
  <c r="D58" i="21" s="1"/>
  <c r="E58" i="21" s="1"/>
  <c r="C7" i="34"/>
  <c r="C59" i="34"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C9" i="39"/>
  <c r="C70" i="39" s="1"/>
  <c r="D70" i="39" s="1"/>
  <c r="C9" i="40"/>
  <c r="C65" i="40" s="1"/>
  <c r="N67" i="9"/>
  <c r="G19" i="46"/>
  <c r="O19" i="46" s="1"/>
  <c r="B13" i="59"/>
  <c r="B12" i="59" s="1"/>
  <c r="B11" i="59" s="1"/>
  <c r="S14" i="59"/>
  <c r="O10" i="1"/>
  <c r="P10" i="1" s="1"/>
  <c r="D5" i="46"/>
  <c r="C5" i="46"/>
  <c r="G115" i="46"/>
  <c r="H115" i="46" s="1"/>
  <c r="F13" i="59"/>
  <c r="F12" i="59" s="1"/>
  <c r="F11" i="59" s="1"/>
  <c r="F10" i="59" s="1"/>
  <c r="V14" i="59"/>
  <c r="O6" i="1"/>
  <c r="P6" i="1" s="1"/>
  <c r="E28" i="6"/>
  <c r="G30" i="6"/>
  <c r="G31" i="6" s="1"/>
  <c r="O7" i="1"/>
  <c r="P7" i="1" s="1"/>
  <c r="O9" i="1"/>
  <c r="P9" i="1" s="1"/>
  <c r="O11" i="1"/>
  <c r="P11" i="1" s="1"/>
  <c r="D11" i="59"/>
  <c r="C10" i="59"/>
  <c r="C20" i="46"/>
  <c r="D12" i="59"/>
  <c r="J103" i="46"/>
  <c r="J102" i="46"/>
  <c r="I107" i="46"/>
  <c r="N102" i="46"/>
  <c r="N106" i="46"/>
  <c r="I103" i="46"/>
  <c r="N107" i="46"/>
  <c r="I104" i="46"/>
  <c r="M105" i="46"/>
  <c r="M102" i="46"/>
  <c r="M106" i="46"/>
  <c r="D14" i="59"/>
  <c r="T14" i="59"/>
  <c r="I106" i="46"/>
  <c r="M109" i="46"/>
  <c r="M103" i="46"/>
  <c r="O40" i="9"/>
  <c r="A17" i="51"/>
  <c r="B13" i="63" s="1"/>
  <c r="U25" i="33"/>
  <c r="AZ370" i="3"/>
  <c r="AZ356" i="3"/>
  <c r="AZ324" i="3"/>
  <c r="AZ381" i="3"/>
  <c r="AZ358" i="3"/>
  <c r="AZ355" i="3"/>
  <c r="U31" i="37"/>
  <c r="W41" i="34"/>
  <c r="AC41" i="34"/>
  <c r="AA42" i="33"/>
  <c r="S42" i="33"/>
  <c r="AZ492" i="3"/>
  <c r="AZ520" i="3"/>
  <c r="AZ544" i="3"/>
  <c r="AZ493" i="3"/>
  <c r="AZ570" i="3"/>
  <c r="AA31" i="33"/>
  <c r="S31" i="33"/>
  <c r="U45" i="33"/>
  <c r="AB45" i="33"/>
  <c r="AC23" i="35"/>
  <c r="W23" i="35"/>
  <c r="AA10" i="35"/>
  <c r="S10" i="35"/>
  <c r="AZ508" i="3"/>
  <c r="AC9" i="33"/>
  <c r="W9" i="33"/>
  <c r="S28" i="34"/>
  <c r="AA28" i="34"/>
  <c r="W24" i="36"/>
  <c r="AC24" i="36"/>
  <c r="U31" i="34"/>
  <c r="U25" i="35"/>
  <c r="S25" i="35"/>
  <c r="AC14" i="37"/>
  <c r="AC33" i="21"/>
  <c r="AC37" i="33"/>
  <c r="S27" i="37"/>
  <c r="S19" i="21"/>
  <c r="U28" i="21"/>
  <c r="S45" i="21"/>
  <c r="AA27" i="33"/>
  <c r="W31" i="34"/>
  <c r="AB14" i="21"/>
  <c r="U46" i="21"/>
  <c r="AB13" i="21"/>
  <c r="AB40" i="37"/>
  <c r="W46" i="33"/>
  <c r="W35" i="35"/>
  <c r="S22" i="35"/>
  <c r="U9" i="21"/>
  <c r="AC35" i="21"/>
  <c r="S8" i="21"/>
  <c r="H12" i="21"/>
  <c r="G570" i="3"/>
  <c r="F9" i="33"/>
  <c r="H9" i="33"/>
  <c r="F9" i="36"/>
  <c r="H9" i="36"/>
  <c r="H24" i="36"/>
  <c r="G516" i="3"/>
  <c r="AZ389" i="3"/>
  <c r="AZ404" i="3"/>
  <c r="AZ421" i="3"/>
  <c r="G569" i="3"/>
  <c r="G564" i="3"/>
  <c r="AZ396" i="3"/>
  <c r="AZ409" i="3"/>
  <c r="AZ412" i="3"/>
  <c r="AZ419" i="3"/>
  <c r="AZ425" i="3"/>
  <c r="AZ429" i="3"/>
  <c r="A30" i="64"/>
  <c r="A30" i="51"/>
  <c r="B22" i="63" s="1"/>
  <c r="A2" i="55"/>
  <c r="B55" i="63" s="1"/>
  <c r="AZ435" i="3"/>
  <c r="AZ448" i="3"/>
  <c r="AZ453" i="3"/>
  <c r="AZ464" i="3"/>
  <c r="AZ468" i="3"/>
  <c r="AZ480" i="3"/>
  <c r="AZ206" i="3"/>
  <c r="AZ210" i="3"/>
  <c r="AZ222" i="3"/>
  <c r="AZ226" i="3"/>
  <c r="AZ238" i="3"/>
  <c r="AZ242" i="3"/>
  <c r="AZ254" i="3"/>
  <c r="AZ258" i="3"/>
  <c r="AZ272" i="3"/>
  <c r="AZ288" i="3"/>
  <c r="AZ296" i="3"/>
  <c r="AZ128" i="3"/>
  <c r="AZ234" i="3"/>
  <c r="AZ266" i="3"/>
  <c r="AZ280" i="3"/>
  <c r="AZ133" i="3"/>
  <c r="AZ145" i="3"/>
  <c r="AZ148" i="3"/>
  <c r="AZ25" i="3"/>
  <c r="AZ30" i="3"/>
  <c r="AZ41" i="3"/>
  <c r="AZ46" i="3"/>
  <c r="AZ57" i="3"/>
  <c r="AZ62" i="3"/>
  <c r="AZ64" i="3"/>
  <c r="AZ76" i="3"/>
  <c r="AZ80" i="3"/>
  <c r="AZ96" i="3"/>
  <c r="AZ100" i="3"/>
  <c r="AZ105" i="3"/>
  <c r="I21" i="57"/>
  <c r="D1" i="57" s="1"/>
  <c r="E10" i="57" s="1"/>
  <c r="B54" i="46"/>
  <c r="C27" i="40"/>
  <c r="S27" i="40"/>
  <c r="T46" i="59"/>
  <c r="D46" i="59"/>
  <c r="C37" i="59"/>
  <c r="D36" i="59"/>
  <c r="D48" i="59"/>
  <c r="C49" i="59"/>
  <c r="D56" i="59"/>
  <c r="C57" i="59"/>
  <c r="E21" i="59"/>
  <c r="E20" i="59" s="1"/>
  <c r="U22" i="59"/>
  <c r="A28" i="64"/>
  <c r="Y17" i="59"/>
  <c r="Z17" i="59" s="1"/>
  <c r="AB17" i="59"/>
  <c r="Y12" i="59"/>
  <c r="Z12" i="59" s="1"/>
  <c r="AB12" i="59"/>
  <c r="X8" i="59"/>
  <c r="AA6" i="59"/>
  <c r="O59" i="59"/>
  <c r="AB3" i="59"/>
  <c r="AA22" i="59"/>
  <c r="AA20" i="59"/>
  <c r="AA3" i="59"/>
  <c r="X21" i="59"/>
  <c r="X19" i="59"/>
  <c r="Y23" i="59"/>
  <c r="Z23" i="59" s="1"/>
  <c r="F24" i="59"/>
  <c r="F25" i="59" s="1"/>
  <c r="F26" i="59" s="1"/>
  <c r="V26" i="59" s="1"/>
  <c r="X24" i="59"/>
  <c r="AA25" i="59"/>
  <c r="X26" i="59"/>
  <c r="B28" i="59"/>
  <c r="B29" i="59" s="1"/>
  <c r="B30" i="59" s="1"/>
  <c r="S30" i="59" s="1"/>
  <c r="C28" i="59"/>
  <c r="AA27" i="59"/>
  <c r="AB28" i="59"/>
  <c r="Y29" i="59"/>
  <c r="Z29" i="59" s="1"/>
  <c r="AB30" i="59"/>
  <c r="Y31" i="59"/>
  <c r="Z31" i="59" s="1"/>
  <c r="E32" i="59"/>
  <c r="E33" i="59" s="1"/>
  <c r="E34" i="59" s="1"/>
  <c r="U34" i="59" s="1"/>
  <c r="F32" i="59"/>
  <c r="F33" i="59" s="1"/>
  <c r="F34" i="59" s="1"/>
  <c r="V34" i="59" s="1"/>
  <c r="Q59" i="59"/>
  <c r="Y18" i="59"/>
  <c r="Z18" i="59" s="1"/>
  <c r="F22" i="59"/>
  <c r="AB18" i="59"/>
  <c r="S22" i="59"/>
  <c r="C22" i="59"/>
  <c r="X18" i="59"/>
  <c r="X17" i="59"/>
  <c r="X15" i="59"/>
  <c r="AA17" i="59"/>
  <c r="AA15" i="59"/>
  <c r="X12" i="59"/>
  <c r="AA12" i="59"/>
  <c r="X11" i="59"/>
  <c r="Y11" i="59"/>
  <c r="Z11" i="59" s="1"/>
  <c r="AA11" i="59"/>
  <c r="AB11" i="59"/>
  <c r="Y8" i="59"/>
  <c r="Z8" i="59" s="1"/>
  <c r="AB9" i="59"/>
  <c r="AB6" i="59"/>
  <c r="AB5" i="59"/>
  <c r="Y6" i="59"/>
  <c r="Z6" i="59" s="1"/>
  <c r="Y7" i="59"/>
  <c r="Z7" i="59" s="1"/>
  <c r="X5" i="59"/>
  <c r="X7" i="59"/>
  <c r="AA5" i="59"/>
  <c r="AA9" i="59"/>
  <c r="X10" i="59"/>
  <c r="AB7" i="59"/>
  <c r="AB8" i="59"/>
  <c r="Y5" i="59"/>
  <c r="Z5" i="59" s="1"/>
  <c r="X6" i="59"/>
  <c r="AA7" i="59"/>
  <c r="AA8" i="59"/>
  <c r="A25" i="51"/>
  <c r="B18" i="63" s="1"/>
  <c r="AP16" i="1"/>
  <c r="F22" i="11" s="1"/>
  <c r="G10" i="1"/>
  <c r="G13" i="1"/>
  <c r="C95" i="9"/>
  <c r="C92" i="9" s="1"/>
  <c r="C25" i="12"/>
  <c r="C15" i="43"/>
  <c r="C31" i="43"/>
  <c r="C15" i="12"/>
  <c r="C30" i="44"/>
  <c r="C27" i="43"/>
  <c r="C28" i="15"/>
  <c r="D23" i="15"/>
  <c r="L52" i="37"/>
  <c r="M52" i="37" s="1"/>
  <c r="N52" i="37" s="1"/>
  <c r="O52" i="37"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C72" i="39"/>
  <c r="C67" i="40"/>
  <c r="D65" i="40"/>
  <c r="J7" i="33"/>
  <c r="J7" i="21"/>
  <c r="C18" i="11"/>
  <c r="K77" i="9"/>
  <c r="K79" i="9" s="1"/>
  <c r="K81" i="9" s="1"/>
  <c r="E12" i="52"/>
  <c r="B15" i="52"/>
  <c r="F31" i="15"/>
  <c r="F33" i="44"/>
  <c r="E10" i="59"/>
  <c r="B10" i="59"/>
  <c r="X9" i="59"/>
  <c r="Y9" i="59"/>
  <c r="Z9" i="59" s="1"/>
  <c r="B4" i="52"/>
  <c r="B7" i="52"/>
  <c r="E14" i="52"/>
  <c r="E6" i="52"/>
  <c r="E11" i="52"/>
  <c r="E9" i="52"/>
  <c r="E7" i="52"/>
  <c r="B9" i="52"/>
  <c r="E4" i="52"/>
  <c r="E13" i="52"/>
  <c r="B8" i="52"/>
  <c r="E10" i="52"/>
  <c r="B10" i="52"/>
  <c r="B6" i="52"/>
  <c r="B5" i="52"/>
  <c r="B11" i="52"/>
  <c r="B12" i="52"/>
  <c r="E8" i="52"/>
  <c r="B14" i="52"/>
  <c r="E5" i="52"/>
  <c r="Y3" i="59"/>
  <c r="Z3" i="59" s="1"/>
  <c r="AB10" i="59"/>
  <c r="AA10" i="59"/>
  <c r="D10" i="59"/>
  <c r="Y10" i="59"/>
  <c r="Z10" i="59" s="1"/>
  <c r="P22" i="46"/>
  <c r="P24" i="46"/>
  <c r="B68" i="40" s="1"/>
  <c r="P23" i="46"/>
  <c r="P25" i="46"/>
  <c r="B73" i="39" s="1"/>
  <c r="P21" i="46"/>
  <c r="J1" i="65"/>
  <c r="I1" i="65"/>
  <c r="C4" i="65"/>
  <c r="B39" i="1" s="1"/>
  <c r="F7" i="15"/>
  <c r="E3" i="65"/>
  <c r="M21" i="15"/>
  <c r="M27" i="15"/>
  <c r="F38" i="15"/>
  <c r="M9" i="15"/>
  <c r="F42" i="15"/>
  <c r="F13" i="15"/>
  <c r="M23" i="15"/>
  <c r="L48" i="15"/>
  <c r="F28" i="44"/>
  <c r="F43" i="44"/>
  <c r="F8" i="44"/>
  <c r="L48" i="44"/>
  <c r="M11" i="44"/>
  <c r="M25" i="44"/>
  <c r="M31" i="44"/>
  <c r="M29" i="15"/>
  <c r="F35" i="15"/>
  <c r="M26" i="15"/>
  <c r="F40" i="15"/>
  <c r="M24" i="15"/>
  <c r="F6" i="15"/>
  <c r="F26" i="15"/>
  <c r="F37" i="44"/>
  <c r="M28" i="44"/>
  <c r="F38" i="44"/>
  <c r="F15" i="44"/>
  <c r="F18" i="44"/>
  <c r="M24" i="44"/>
  <c r="M29" i="44"/>
  <c r="M30" i="44"/>
  <c r="F8" i="15"/>
  <c r="M22" i="15"/>
  <c r="M28" i="15"/>
  <c r="F9" i="15"/>
  <c r="F36" i="15"/>
  <c r="F43" i="15"/>
  <c r="J15" i="15"/>
  <c r="M10" i="44"/>
  <c r="F39" i="44"/>
  <c r="F45" i="44"/>
  <c r="J17" i="44"/>
  <c r="M26" i="44"/>
  <c r="M8" i="44"/>
  <c r="C19" i="44"/>
  <c r="E2" i="65"/>
  <c r="J36" i="15"/>
  <c r="F37" i="15"/>
  <c r="F16" i="15"/>
  <c r="M6" i="15"/>
  <c r="L47" i="15"/>
  <c r="M8" i="15"/>
  <c r="F46" i="44"/>
  <c r="F40" i="44"/>
  <c r="F10" i="44"/>
  <c r="F9" i="44"/>
  <c r="F11" i="44"/>
  <c r="L49" i="44"/>
  <c r="M23" i="44"/>
  <c r="AC29" i="39" l="1"/>
  <c r="W29" i="39"/>
  <c r="S29" i="39"/>
  <c r="U29" i="39"/>
  <c r="AB29" i="39"/>
  <c r="AA23" i="39"/>
  <c r="S23" i="39"/>
  <c r="D113" i="46"/>
  <c r="F33" i="12"/>
  <c r="C34" i="12" s="1"/>
  <c r="D33" i="12" s="1"/>
  <c r="J22" i="44"/>
  <c r="I55" i="44"/>
  <c r="L57" i="44"/>
  <c r="J60" i="44"/>
  <c r="J54" i="44"/>
  <c r="Q54" i="44" s="1"/>
  <c r="J58" i="44"/>
  <c r="J56" i="44" s="1"/>
  <c r="J59" i="44" s="1"/>
  <c r="Q52" i="44" s="1"/>
  <c r="J61" i="44"/>
  <c r="Q50" i="44" s="1"/>
  <c r="L59" i="44"/>
  <c r="Q62" i="44" s="1"/>
  <c r="L60" i="44"/>
  <c r="Q76" i="44" s="1"/>
  <c r="M9" i="44"/>
  <c r="J8" i="44" s="1"/>
  <c r="J20" i="44" s="1"/>
  <c r="C8" i="44"/>
  <c r="C34" i="44" s="1"/>
  <c r="Q73" i="44"/>
  <c r="C29" i="44"/>
  <c r="C36" i="44"/>
  <c r="J57" i="15"/>
  <c r="J55" i="15" s="1"/>
  <c r="J58" i="15" s="1"/>
  <c r="Q51" i="15" s="1"/>
  <c r="L56" i="15"/>
  <c r="J53" i="15"/>
  <c r="F1" i="15" s="1"/>
  <c r="I54" i="15"/>
  <c r="C27" i="15"/>
  <c r="M7" i="15"/>
  <c r="M17" i="15" s="1"/>
  <c r="F49" i="15"/>
  <c r="F70" i="15"/>
  <c r="C6" i="15"/>
  <c r="C32" i="15" s="1"/>
  <c r="L58" i="15"/>
  <c r="Q61" i="15" s="1"/>
  <c r="L59" i="15"/>
  <c r="Q75" i="15" s="1"/>
  <c r="F63" i="15"/>
  <c r="F67" i="15"/>
  <c r="F65" i="15"/>
  <c r="F64" i="15"/>
  <c r="F62" i="15"/>
  <c r="C61" i="15" s="1"/>
  <c r="C34" i="15"/>
  <c r="Q72" i="15"/>
  <c r="F50" i="15"/>
  <c r="C48" i="15" s="1"/>
  <c r="J20" i="15"/>
  <c r="E65" i="39"/>
  <c r="E60" i="40"/>
  <c r="E64" i="39"/>
  <c r="E59" i="40"/>
  <c r="AZ5" i="3"/>
  <c r="E63" i="39"/>
  <c r="E58" i="40"/>
  <c r="E16" i="6"/>
  <c r="E3" i="6"/>
  <c r="B9" i="59"/>
  <c r="B8" i="59" s="1"/>
  <c r="B7" i="59" s="1"/>
  <c r="B6" i="59" s="1"/>
  <c r="S10" i="59"/>
  <c r="G16" i="1"/>
  <c r="J12" i="40" s="1"/>
  <c r="V22" i="59"/>
  <c r="F21" i="59"/>
  <c r="F20" i="59" s="1"/>
  <c r="D28" i="59"/>
  <c r="C29" i="59"/>
  <c r="C38" i="59"/>
  <c r="D37" i="59"/>
  <c r="G5" i="3"/>
  <c r="B3" i="3" s="1"/>
  <c r="AY6" i="3" s="1"/>
  <c r="AB9" i="36"/>
  <c r="U9" i="36"/>
  <c r="AB9" i="33"/>
  <c r="U9" i="33"/>
  <c r="E570" i="3"/>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K20" i="6"/>
  <c r="M20" i="6" s="1"/>
  <c r="I20" i="6" s="1"/>
  <c r="S20" i="6" s="1"/>
  <c r="K14" i="1"/>
  <c r="E9" i="59"/>
  <c r="E8" i="59" s="1"/>
  <c r="E7" i="59" s="1"/>
  <c r="E6" i="59" s="1"/>
  <c r="E5" i="59" s="1"/>
  <c r="U5" i="59" s="1"/>
  <c r="U10" i="59"/>
  <c r="D22" i="59"/>
  <c r="T22" i="59"/>
  <c r="C21" i="59"/>
  <c r="C58" i="59"/>
  <c r="D57" i="59"/>
  <c r="C50" i="59"/>
  <c r="D49" i="59"/>
  <c r="AB24" i="36"/>
  <c r="U24" i="36"/>
  <c r="AA9" i="36"/>
  <c r="S9" i="36"/>
  <c r="AA9" i="33"/>
  <c r="S9" i="33"/>
  <c r="U12" i="21"/>
  <c r="AB12" i="21"/>
  <c r="K31" i="9"/>
  <c r="K32" i="9" s="1"/>
  <c r="R7" i="54"/>
  <c r="B52" i="63" s="1"/>
  <c r="C9" i="59"/>
  <c r="T10" i="59"/>
  <c r="F9" i="59"/>
  <c r="F8" i="59" s="1"/>
  <c r="F7" i="59" s="1"/>
  <c r="F6" i="59" s="1"/>
  <c r="V10" i="59"/>
  <c r="J12" i="39"/>
  <c r="W12" i="39" s="1"/>
  <c r="F7" i="21"/>
  <c r="AA7" i="21" s="1"/>
  <c r="R48" i="21" s="1"/>
  <c r="H7" i="21"/>
  <c r="AB7" i="21" s="1"/>
  <c r="T48" i="21" s="1"/>
  <c r="G48" i="21" s="1"/>
  <c r="B5" i="59"/>
  <c r="S5" i="59" s="1"/>
  <c r="S6" i="59"/>
  <c r="U6" i="59"/>
  <c r="F58" i="15"/>
  <c r="H7" i="35"/>
  <c r="U7" i="35" s="1"/>
  <c r="B40" i="1"/>
  <c r="E65" i="40"/>
  <c r="D67" i="40"/>
  <c r="AC7" i="33"/>
  <c r="V48" i="33" s="1"/>
  <c r="I48" i="33" s="1"/>
  <c r="W7" i="33"/>
  <c r="S7" i="34"/>
  <c r="AA7" i="34"/>
  <c r="R49" i="34" s="1"/>
  <c r="W7" i="34"/>
  <c r="AC7" i="34"/>
  <c r="V49" i="34" s="1"/>
  <c r="I49" i="34" s="1"/>
  <c r="S7" i="21"/>
  <c r="J7" i="37"/>
  <c r="W7" i="21"/>
  <c r="AC7" i="21"/>
  <c r="V48" i="21" s="1"/>
  <c r="I48" i="21" s="1"/>
  <c r="AC12" i="39"/>
  <c r="D72" i="39"/>
  <c r="E70" i="39"/>
  <c r="AB7" i="34"/>
  <c r="T49" i="34" s="1"/>
  <c r="G49" i="34" s="1"/>
  <c r="U7" i="34"/>
  <c r="H7" i="33"/>
  <c r="F7" i="33"/>
  <c r="J46" i="36"/>
  <c r="J7" i="35"/>
  <c r="F7" i="35"/>
  <c r="H7" i="37"/>
  <c r="F7" i="37"/>
  <c r="M19" i="44"/>
  <c r="C19" i="46"/>
  <c r="C34" i="46" s="1"/>
  <c r="F17" i="11"/>
  <c r="C17" i="11" s="1"/>
  <c r="C19" i="11" s="1"/>
  <c r="M13" i="44"/>
  <c r="J12" i="44" s="1"/>
  <c r="F11" i="15"/>
  <c r="M11" i="15"/>
  <c r="J10" i="15" s="1"/>
  <c r="F13" i="44"/>
  <c r="C12" i="44" s="1"/>
  <c r="M28" i="46"/>
  <c r="P28" i="46"/>
  <c r="O28" i="46"/>
  <c r="N28" i="46"/>
  <c r="C18" i="44"/>
  <c r="C17" i="15"/>
  <c r="AE6" i="1"/>
  <c r="C16" i="15"/>
  <c r="Q62" i="15" l="1"/>
  <c r="F1" i="44"/>
  <c r="L47" i="44"/>
  <c r="J6" i="15"/>
  <c r="J5" i="15" s="1"/>
  <c r="Q63" i="44"/>
  <c r="Q53" i="15"/>
  <c r="C7" i="44"/>
  <c r="C40" i="44" s="1"/>
  <c r="Q74" i="15"/>
  <c r="Q75" i="44"/>
  <c r="J7" i="44"/>
  <c r="J26" i="44" s="1"/>
  <c r="H12" i="40"/>
  <c r="U12" i="40" s="1"/>
  <c r="H12" i="39"/>
  <c r="AB12" i="39" s="1"/>
  <c r="W12" i="40"/>
  <c r="AC12" i="40"/>
  <c r="F12" i="40"/>
  <c r="AA12" i="40" s="1"/>
  <c r="F12" i="39"/>
  <c r="AA12" i="39" s="1"/>
  <c r="S12" i="40"/>
  <c r="AY403" i="3"/>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U7" i="21"/>
  <c r="V6" i="59"/>
  <c r="F5" i="59"/>
  <c r="V5" i="59" s="1"/>
  <c r="E564" i="3"/>
  <c r="T50" i="59"/>
  <c r="D50" i="59"/>
  <c r="T58" i="59"/>
  <c r="D58" i="59"/>
  <c r="K27" i="6"/>
  <c r="M19" i="6"/>
  <c r="E516" i="3"/>
  <c r="E569" i="3"/>
  <c r="T38" i="59"/>
  <c r="D38" i="59"/>
  <c r="D9" i="59"/>
  <c r="C8" i="59"/>
  <c r="C20" i="59"/>
  <c r="D20" i="59" s="1"/>
  <c r="D21" i="59"/>
  <c r="K16" i="1"/>
  <c r="M14" i="1"/>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286"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68" i="3"/>
  <c r="E147" i="3"/>
  <c r="E22" i="3"/>
  <c r="E439" i="3"/>
  <c r="E55" i="3"/>
  <c r="E282" i="3"/>
  <c r="E375" i="3"/>
  <c r="E409" i="3"/>
  <c r="E186"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325" i="3"/>
  <c r="E86" i="3"/>
  <c r="E476" i="3"/>
  <c r="E192" i="3"/>
  <c r="E135" i="3"/>
  <c r="E114" i="3"/>
  <c r="E348" i="3"/>
  <c r="E93" i="3"/>
  <c r="E394" i="3"/>
  <c r="E459" i="3"/>
  <c r="E117" i="3"/>
  <c r="E231" i="3"/>
  <c r="E528" i="3"/>
  <c r="E470" i="3"/>
  <c r="E349" i="3"/>
  <c r="E83" i="3"/>
  <c r="E124" i="3"/>
  <c r="E266" i="3"/>
  <c r="E299" i="3"/>
  <c r="E215" i="3"/>
  <c r="E327" i="3"/>
  <c r="I6" i="3"/>
  <c r="E103" i="3"/>
  <c r="E548" i="3"/>
  <c r="E200" i="3"/>
  <c r="Z6" i="3"/>
  <c r="E62" i="3"/>
  <c r="E454" i="3"/>
  <c r="E389" i="3"/>
  <c r="E520" i="3"/>
  <c r="E230" i="3"/>
  <c r="AK6" i="3"/>
  <c r="E143" i="3"/>
  <c r="C30" i="59"/>
  <c r="D29" i="59"/>
  <c r="D16" i="43"/>
  <c r="C16" i="43" s="1"/>
  <c r="E6" i="6"/>
  <c r="L38" i="9"/>
  <c r="B14" i="66" s="1"/>
  <c r="B1" i="66" s="1"/>
  <c r="D45" i="9"/>
  <c r="D16" i="12"/>
  <c r="C21" i="4"/>
  <c r="O5" i="54" s="1"/>
  <c r="B45" i="63"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G33" i="46"/>
  <c r="I33" i="46" s="1"/>
  <c r="E34" i="46"/>
  <c r="G34" i="46"/>
  <c r="I34" i="46" s="1"/>
  <c r="J18" i="15"/>
  <c r="C52" i="15"/>
  <c r="C47" i="15" s="1"/>
  <c r="C10" i="15"/>
  <c r="C5" i="15" s="1"/>
  <c r="C20" i="11"/>
  <c r="C21" i="11" s="1"/>
  <c r="C22" i="11" s="1"/>
  <c r="C23" i="11" s="1"/>
  <c r="B2" i="11" s="1"/>
  <c r="F41" i="15"/>
  <c r="F68" i="15" l="1"/>
  <c r="J28" i="44"/>
  <c r="J31" i="44" s="1"/>
  <c r="Q67" i="44" s="1"/>
  <c r="AB12" i="40"/>
  <c r="H6" i="3"/>
  <c r="AC6" i="3"/>
  <c r="U12" i="39"/>
  <c r="S12" i="39"/>
  <c r="C7" i="66"/>
  <c r="T30" i="59"/>
  <c r="D30" i="59"/>
  <c r="C7" i="59"/>
  <c r="D8" i="59"/>
  <c r="M27" i="6"/>
  <c r="I19" i="6"/>
  <c r="D24" i="6"/>
  <c r="H20" i="6"/>
  <c r="D9" i="6"/>
  <c r="D15" i="6"/>
  <c r="H19" i="6"/>
  <c r="E63" i="40"/>
  <c r="D19" i="6"/>
  <c r="D25" i="6"/>
  <c r="D13" i="6"/>
  <c r="H24" i="6"/>
  <c r="D23" i="6"/>
  <c r="D28" i="6"/>
  <c r="D8" i="6"/>
  <c r="K38" i="9"/>
  <c r="C14" i="66" s="1"/>
  <c r="B2" i="66" s="1"/>
  <c r="D26" i="6"/>
  <c r="D22" i="6"/>
  <c r="D12" i="6"/>
  <c r="H25" i="6"/>
  <c r="D5" i="6"/>
  <c r="H22" i="6"/>
  <c r="H26" i="6"/>
  <c r="C22" i="4"/>
  <c r="D21" i="6"/>
  <c r="D10" i="6"/>
  <c r="H21" i="6"/>
  <c r="D6" i="6"/>
  <c r="D14" i="6"/>
  <c r="D20" i="6"/>
  <c r="R20" i="6" s="1"/>
  <c r="H23" i="6"/>
  <c r="F45" i="9"/>
  <c r="E68" i="39"/>
  <c r="D11" i="6"/>
  <c r="D29" i="6"/>
  <c r="E45" i="9"/>
  <c r="D19" i="12"/>
  <c r="C19" i="12" s="1"/>
  <c r="C16" i="12"/>
  <c r="T13" i="1"/>
  <c r="T12" i="1"/>
  <c r="T7" i="1"/>
  <c r="T11" i="1"/>
  <c r="T10" i="1"/>
  <c r="T8" i="1"/>
  <c r="T16" i="1" s="1"/>
  <c r="T9" i="1"/>
  <c r="O14" i="1"/>
  <c r="O16" i="1" s="1"/>
  <c r="T6" i="1"/>
  <c r="M16" i="1"/>
  <c r="E38" i="46"/>
  <c r="D13" i="11"/>
  <c r="C13" i="11" s="1"/>
  <c r="D22" i="12"/>
  <c r="C22" i="12" s="1"/>
  <c r="C20" i="12"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E29" i="46"/>
  <c r="C27" i="46"/>
  <c r="C65" i="15"/>
  <c r="C59" i="15"/>
  <c r="B5" i="11"/>
  <c r="B3" i="11"/>
  <c r="B4" i="11"/>
  <c r="J26" i="15"/>
  <c r="J29" i="15" s="1"/>
  <c r="J24" i="15"/>
  <c r="C38" i="15"/>
  <c r="C14" i="15"/>
  <c r="C16" i="44"/>
  <c r="F7" i="67"/>
  <c r="Q58" i="44" l="1"/>
  <c r="Q49" i="44"/>
  <c r="Q55" i="44" s="1"/>
  <c r="H27" i="6"/>
  <c r="D30" i="6"/>
  <c r="D16" i="6"/>
  <c r="R23" i="6"/>
  <c r="E6" i="3"/>
  <c r="C17" i="44"/>
  <c r="C20" i="44"/>
  <c r="C15" i="15"/>
  <c r="C18" i="15"/>
  <c r="R21" i="6"/>
  <c r="R26" i="6"/>
  <c r="R25" i="6"/>
  <c r="R24" i="6"/>
  <c r="C6" i="59"/>
  <c r="D7" i="59"/>
  <c r="C13" i="43"/>
  <c r="L16" i="1"/>
  <c r="N16" i="1"/>
  <c r="C29" i="43" s="1"/>
  <c r="P14" i="1"/>
  <c r="P16" i="1" s="1"/>
  <c r="C13" i="12" s="1"/>
  <c r="A6" i="51"/>
  <c r="B7" i="63" s="1"/>
  <c r="A6" i="64"/>
  <c r="A20" i="51"/>
  <c r="B15" i="63" s="1"/>
  <c r="N5" i="54"/>
  <c r="B43" i="63" s="1"/>
  <c r="A20" i="64"/>
  <c r="R22" i="6"/>
  <c r="D7" i="66"/>
  <c r="D27" i="6"/>
  <c r="D31" i="6" s="1"/>
  <c r="R19" i="6"/>
  <c r="I27" i="6"/>
  <c r="S19" i="6"/>
  <c r="S27" i="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R27" i="6" l="1"/>
  <c r="R6" i="1"/>
  <c r="R16" i="1" s="1"/>
  <c r="C21" i="44"/>
  <c r="C22" i="44" s="1"/>
  <c r="C28" i="44" s="1"/>
  <c r="C19" i="15"/>
  <c r="C20" i="15" s="1"/>
  <c r="C26" i="15" s="1"/>
  <c r="I6" i="6"/>
  <c r="I5" i="6"/>
  <c r="C17" i="12"/>
  <c r="C14" i="12"/>
  <c r="C14" i="43"/>
  <c r="C17" i="43"/>
  <c r="T6" i="59"/>
  <c r="D6" i="59"/>
  <c r="C5" i="59"/>
  <c r="I65" i="40"/>
  <c r="H67" i="40"/>
  <c r="H72" i="39"/>
  <c r="I70" i="39"/>
  <c r="N46" i="36"/>
  <c r="E3" i="67"/>
  <c r="B2" i="67"/>
  <c r="D4" i="46"/>
  <c r="B3" i="46"/>
  <c r="B4" i="46"/>
  <c r="C18" i="43" l="1"/>
  <c r="C19" i="43" s="1"/>
  <c r="C25" i="43" s="1"/>
  <c r="C24" i="43" s="1"/>
  <c r="C18" i="12"/>
  <c r="C23" i="12" s="1"/>
  <c r="D5" i="59"/>
  <c r="M20" i="46" s="1"/>
  <c r="T5" i="59"/>
  <c r="O46" i="36"/>
  <c r="J7" i="36" s="1"/>
  <c r="J65" i="40"/>
  <c r="I67" i="40"/>
  <c r="J70" i="39"/>
  <c r="I72" i="39"/>
  <c r="B3" i="67"/>
  <c r="B4" i="67"/>
  <c r="H7" i="36" l="1"/>
  <c r="F7" i="36"/>
  <c r="S7" i="36" s="1"/>
  <c r="K70" i="39"/>
  <c r="J72" i="39"/>
  <c r="U7" i="36"/>
  <c r="AB7" i="36"/>
  <c r="T36" i="36" s="1"/>
  <c r="G36" i="36" s="1"/>
  <c r="AC7" i="36"/>
  <c r="V36" i="36" s="1"/>
  <c r="I36" i="36" s="1"/>
  <c r="W7" i="36"/>
  <c r="J67" i="40"/>
  <c r="K65" i="40"/>
  <c r="AA7" i="36" l="1"/>
  <c r="R36" i="36" s="1"/>
  <c r="R37" i="36" s="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D51" i="39" s="1"/>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D19" i="9"/>
  <c r="L44" i="9" l="1"/>
  <c r="B5" i="39"/>
  <c r="B4" i="39"/>
  <c r="B3" i="39"/>
  <c r="B5" i="40"/>
  <c r="B4" i="40"/>
  <c r="B3" i="40"/>
  <c r="D21" i="9"/>
  <c r="D20" i="9"/>
  <c r="F21" i="43" l="1"/>
  <c r="F26" i="12"/>
  <c r="F26" i="44"/>
  <c r="F24" i="15"/>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30" i="15"/>
  <c r="C39" i="15" s="1"/>
  <c r="C40" i="15" s="1"/>
  <c r="C39" i="44"/>
  <c r="C32" i="44" s="1"/>
  <c r="C42" i="44" s="1"/>
  <c r="L46" i="15"/>
  <c r="C43" i="44"/>
  <c r="J15" i="44"/>
  <c r="J25" i="44" s="1"/>
  <c r="J18" i="44" s="1"/>
  <c r="J27" i="44" s="1"/>
  <c r="C57" i="15"/>
  <c r="C66" i="15" s="1"/>
  <c r="C67" i="15" s="1"/>
  <c r="C70" i="15" s="1"/>
  <c r="J16" i="15"/>
  <c r="J25" i="15" s="1"/>
  <c r="L57" i="15" l="1"/>
  <c r="L60" i="15" s="1"/>
  <c r="Q67" i="15" s="1"/>
  <c r="J39" i="15"/>
  <c r="J40" i="15" s="1"/>
  <c r="Q70" i="15"/>
  <c r="Q69" i="15" s="1"/>
  <c r="C44" i="44"/>
  <c r="C45" i="44" s="1"/>
  <c r="B2" i="44" s="1"/>
  <c r="Q71" i="44"/>
  <c r="Q70" i="44" s="1"/>
  <c r="C46" i="15"/>
  <c r="Q57" i="15"/>
  <c r="B2" i="15"/>
  <c r="C10" i="12" s="1"/>
  <c r="Q48" i="15"/>
  <c r="Q54" i="15" s="1"/>
  <c r="Q66" i="15"/>
  <c r="C43" i="15"/>
  <c r="J42" i="15"/>
  <c r="J43" i="15" s="1"/>
  <c r="L51" i="15"/>
  <c r="Q68" i="15" l="1"/>
  <c r="B3" i="15"/>
  <c r="C8" i="12" s="1"/>
  <c r="C6" i="12"/>
  <c r="Q58" i="15"/>
  <c r="L52" i="44"/>
  <c r="L58" i="44" s="1"/>
  <c r="L61" i="44" s="1"/>
  <c r="Q63" i="15"/>
  <c r="Q76" i="15"/>
  <c r="B3" i="44"/>
  <c r="B5" i="44"/>
  <c r="B4" i="44"/>
  <c r="C24" i="12" l="1"/>
  <c r="C29" i="12"/>
  <c r="Q69" i="44"/>
  <c r="Q59" i="44"/>
  <c r="Q64" i="44" s="1"/>
  <c r="Q68" i="44"/>
  <c r="Q77" i="44" s="1"/>
  <c r="C35" i="12" l="1"/>
  <c r="C33" i="12" s="1"/>
  <c r="C28" i="12"/>
  <c r="C26" i="12" s="1"/>
  <c r="C31" i="12" s="1"/>
  <c r="C30" i="12" s="1"/>
  <c r="C36" i="12" l="1"/>
  <c r="B2" i="12" s="1"/>
  <c r="C19" i="9"/>
  <c r="G19" i="9" l="1"/>
  <c r="E32" i="1" s="1"/>
  <c r="L43" i="9"/>
  <c r="D22" i="9"/>
  <c r="B3" i="12"/>
  <c r="B4" i="12"/>
  <c r="B5" i="12"/>
  <c r="C20" i="9"/>
  <c r="C21" i="9"/>
  <c r="J2" i="68" l="1"/>
  <c r="K2" i="68" s="1"/>
  <c r="G20" i="9"/>
  <c r="G21" i="9"/>
  <c r="N43" i="9"/>
  <c r="C32" i="9"/>
  <c r="G22" i="9"/>
  <c r="C42" i="9" l="1"/>
  <c r="C44" i="9" s="1"/>
  <c r="O38" i="9"/>
  <c r="O43" i="9"/>
  <c r="C35" i="9"/>
  <c r="F42" i="9" s="1"/>
  <c r="C33" i="9"/>
  <c r="C34" i="9"/>
  <c r="G14" i="66" l="1"/>
  <c r="B6" i="66" s="1"/>
  <c r="O39" i="9"/>
  <c r="N69" i="9"/>
  <c r="D44" i="9"/>
  <c r="F44" i="9"/>
  <c r="E44" i="9"/>
  <c r="M38" i="9"/>
  <c r="K27" i="9" s="1"/>
  <c r="E42" i="9"/>
  <c r="P5" i="54" s="1"/>
  <c r="B46" i="63" s="1"/>
  <c r="K26" i="9"/>
  <c r="K25" i="9"/>
  <c r="D42" i="9"/>
  <c r="Q5" i="54" s="1"/>
  <c r="B47" i="63" s="1"/>
  <c r="N38" i="9"/>
  <c r="K28" i="9" s="1"/>
  <c r="D14" i="66"/>
  <c r="N68" i="9"/>
  <c r="R5" i="54"/>
  <c r="B48" i="63" s="1"/>
  <c r="D63" i="9"/>
  <c r="K29" i="9" l="1"/>
  <c r="K30" i="9" s="1"/>
  <c r="R6" i="54"/>
  <c r="B50" i="63" s="1"/>
  <c r="M86" i="9"/>
  <c r="N86" i="9" s="1"/>
  <c r="M88" i="9"/>
  <c r="N88" i="9" s="1"/>
  <c r="M85" i="9"/>
  <c r="N85" i="9" s="1"/>
  <c r="M84" i="9"/>
  <c r="N84" i="9" s="1"/>
  <c r="M87" i="9"/>
  <c r="N87" i="9" s="1"/>
  <c r="M83" i="9"/>
  <c r="N83" i="9" s="1"/>
  <c r="C6" i="66"/>
  <c r="D6" i="66"/>
  <c r="D73" i="9"/>
  <c r="N73" i="9" s="1"/>
  <c r="C96" i="9"/>
  <c r="C91" i="9" s="1"/>
  <c r="C103" i="9"/>
  <c r="C90" i="9"/>
  <c r="C97" i="9" s="1"/>
  <c r="C111" i="9"/>
  <c r="C104" i="9" s="1"/>
  <c r="C82" i="9"/>
  <c r="C81" i="9" s="1"/>
  <c r="C85" i="9" s="1"/>
  <c r="C86" i="9" s="1"/>
  <c r="D72" i="9" s="1"/>
  <c r="D70" i="9"/>
  <c r="D71" i="9"/>
  <c r="D66" i="9" s="1"/>
  <c r="N72" i="9" s="1"/>
  <c r="B5" i="66"/>
  <c r="F14" i="66"/>
  <c r="E14" i="66"/>
  <c r="N89" i="9" l="1"/>
  <c r="O89" i="9" s="1"/>
  <c r="C98" i="9"/>
  <c r="E98" i="9" s="1"/>
  <c r="E99" i="9" s="1"/>
  <c r="C5" i="66"/>
  <c r="D5" i="66"/>
  <c r="C113" i="9"/>
  <c r="C99" i="9" l="1"/>
  <c r="C114" i="9"/>
  <c r="E114" i="9" s="1"/>
  <c r="E115" i="9" s="1"/>
  <c r="C115" i="9" l="1"/>
  <c r="D76" i="9" s="1"/>
  <c r="D74" i="9" s="1"/>
  <c r="N74" i="9" s="1"/>
  <c r="O77" i="9" s="1"/>
  <c r="O78" i="9" s="1"/>
  <c r="Q77" i="9" l="1"/>
  <c r="O79" i="9"/>
  <c r="O81" i="9" l="1"/>
  <c r="C46" i="9"/>
  <c r="O80" i="9"/>
  <c r="O41" i="9" l="1"/>
  <c r="R8" i="54" s="1"/>
  <c r="B54" i="63" s="1"/>
  <c r="I14" i="66"/>
  <c r="B8" i="66" s="1"/>
  <c r="K33" i="9"/>
  <c r="K34" i="9" s="1"/>
  <c r="D46" i="9"/>
  <c r="E46" i="9"/>
  <c r="F46" i="9"/>
  <c r="C8" i="66" l="1"/>
  <c r="D8"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sharedStrings.xml><?xml version="1.0" encoding="utf-8"?>
<sst xmlns="http://schemas.openxmlformats.org/spreadsheetml/2006/main" count="6930" uniqueCount="3077">
  <si>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</si>
  <si>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</si>
  <si>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</si>
  <si>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</si>
  <si>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</si>
  <si>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</si>
  <si>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</si>
  <si>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</si>
  <si>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</si>
  <si>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</si>
  <si>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</si>
  <si>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</si>
  <si>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</si>
  <si>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</si>
  <si>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</si>
  <si>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</si>
  <si>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</si>
  <si>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</si>
  <si>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</si>
  <si>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</si>
  <si>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</si>
  <si>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</si>
  <si>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</si>
  <si>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</si>
  <si>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</si>
  <si>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</si>
  <si>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</si>
  <si>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</si>
  <si>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</si>
  <si>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</si>
  <si>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</si>
  <si>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</si>
  <si>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</si>
  <si>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</si>
  <si>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</si>
  <si>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</si>
  <si>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</si>
  <si>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</si>
  <si>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</si>
  <si>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</si>
  <si>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</si>
  <si>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</si>
  <si>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</si>
  <si>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</si>
  <si>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</si>
  <si>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</si>
  <si>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</si>
  <si>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</si>
  <si>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</si>
  <si>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</si>
  <si>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</si>
  <si>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</si>
  <si>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</si>
  <si>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</si>
  <si>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</si>
  <si>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</si>
  <si>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</si>
  <si>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</si>
  <si>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</si>
  <si>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</si>
  <si>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</si>
  <si>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</si>
  <si>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</si>
  <si>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</si>
  <si>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</si>
  <si>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</si>
  <si>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</si>
  <si>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</si>
  <si>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</si>
  <si>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</si>
  <si>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</si>
  <si>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</si>
  <si>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</si>
  <si>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</si>
  <si>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</si>
  <si>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</si>
  <si>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</si>
  <si>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</si>
  <si>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</si>
  <si>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</si>
  <si>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</si>
  <si>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</si>
  <si>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</si>
  <si>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</si>
  <si>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</si>
  <si>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</si>
  <si>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</si>
  <si>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</si>
  <si>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</si>
  <si>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</si>
  <si>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</si>
  <si>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</si>
  <si>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</si>
  <si>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</si>
  <si>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</si>
  <si>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</si>
  <si>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</si>
  <si>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</si>
  <si>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</si>
  <si>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</si>
  <si>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</si>
  <si>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</si>
  <si>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</si>
  <si>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</si>
  <si>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</si>
  <si>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</si>
  <si>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</si>
  <si>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</si>
  <si>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</si>
  <si>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</si>
  <si>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</si>
  <si>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</si>
  <si>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</si>
  <si>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</si>
  <si>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</si>
  <si>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</si>
  <si>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</si>
  <si>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</si>
  <si>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</si>
  <si>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</si>
  <si>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</si>
  <si>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</si>
  <si>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</si>
  <si>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</si>
  <si>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</si>
  <si>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</si>
  <si>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</si>
  <si>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</si>
  <si>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</si>
  <si>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</si>
  <si>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</si>
  <si>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</si>
  <si>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</si>
  <si>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</si>
  <si>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</si>
  <si>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</si>
  <si>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</si>
  <si>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</si>
  <si>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</si>
  <si>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</si>
  <si>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</si>
  <si>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</si>
  <si>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</si>
  <si>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</si>
  <si>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</si>
  <si>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</si>
  <si>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</si>
  <si>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</si>
  <si>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</si>
  <si>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</si>
  <si>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</si>
  <si>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</si>
  <si>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</si>
  <si>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</si>
  <si>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</si>
  <si>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</si>
  <si>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</si>
  <si>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</si>
  <si>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</si>
  <si>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</si>
  <si>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</si>
  <si>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</si>
  <si>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</si>
  <si>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</si>
  <si>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</si>
  <si>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</si>
  <si>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</si>
  <si>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</si>
  <si>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</si>
  <si>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</si>
  <si>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</si>
  <si>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</si>
  <si>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</si>
  <si>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</si>
  <si>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</si>
  <si>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</si>
  <si>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</si>
  <si>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</si>
  <si>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</si>
  <si>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</si>
  <si>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</si>
  <si>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</si>
  <si>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</si>
  <si>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</si>
  <si>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</si>
  <si>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</si>
  <si>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</si>
  <si>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</si>
  <si>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</si>
  <si>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</si>
  <si>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</si>
  <si>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</si>
  <si>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</si>
  <si>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</si>
  <si>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</si>
  <si>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</si>
  <si>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</si>
  <si>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</si>
  <si>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</si>
  <si>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</si>
  <si>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</si>
  <si>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</si>
  <si>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</si>
  <si>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</si>
  <si>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</si>
  <si>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</si>
  <si>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</si>
  <si>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</si>
  <si>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</si>
  <si>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</si>
  <si>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</si>
  <si>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</si>
  <si>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</si>
  <si>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</si>
  <si>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</si>
  <si>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</si>
  <si>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</si>
  <si>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</si>
  <si>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</si>
  <si>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</si>
  <si>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</si>
  <si>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</si>
  <si>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</si>
  <si>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</si>
  <si>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</si>
  <si>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</si>
  <si>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</si>
  <si>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</si>
  <si>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</si>
  <si>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</si>
  <si>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</si>
  <si>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</si>
  <si>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</si>
  <si>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</si>
  <si>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</si>
  <si>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</si>
  <si>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</si>
  <si>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</si>
  <si>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</si>
  <si>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</si>
  <si>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</si>
  <si>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</si>
  <si>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</si>
  <si>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</si>
  <si>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</si>
  <si>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</si>
  <si>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</si>
  <si>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</si>
  <si>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</si>
  <si>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</si>
  <si>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</si>
  <si>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</si>
  <si>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</si>
  <si>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</si>
  <si>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</si>
  <si>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</si>
  <si>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</si>
  <si>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</si>
  <si>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</si>
  <si>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</si>
  <si>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</si>
  <si>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</si>
  <si>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</si>
  <si>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</si>
  <si>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</si>
  <si>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</si>
  <si>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</si>
  <si>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</si>
  <si>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</si>
  <si>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</si>
  <si>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</si>
  <si>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</si>
  <si>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</si>
  <si>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</si>
  <si>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</si>
  <si>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</si>
  <si>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</si>
  <si>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</si>
  <si>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</si>
  <si>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</si>
  <si>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</si>
  <si>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</si>
  <si>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</si>
  <si>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</si>
  <si>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</si>
  <si>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</si>
  <si>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</si>
  <si>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</si>
  <si>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</si>
  <si>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</si>
  <si>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</si>
  <si>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</si>
  <si>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</si>
  <si>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</si>
  <si>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</si>
  <si>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</si>
  <si>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</si>
  <si>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</si>
  <si>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</si>
  <si>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</si>
  <si>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</si>
  <si>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</si>
  <si>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</si>
  <si>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</si>
  <si>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</si>
  <si>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</si>
  <si>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</si>
  <si>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</si>
  <si>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</si>
  <si>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</si>
  <si>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</si>
  <si>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</si>
  <si>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</si>
  <si>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</si>
  <si>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</si>
  <si>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</si>
  <si>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</si>
  <si>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</si>
  <si>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</si>
  <si>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</si>
  <si>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</si>
  <si>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</si>
  <si>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</si>
  <si>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</si>
  <si>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</si>
  <si>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</si>
  <si>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</si>
  <si>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</si>
  <si>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</si>
  <si>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</si>
  <si>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</si>
  <si>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</si>
  <si>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</si>
  <si>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</si>
  <si>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</si>
  <si>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</si>
  <si>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</si>
  <si>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</si>
  <si>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</si>
  <si>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</si>
  <si>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</si>
  <si>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</si>
  <si>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</si>
  <si>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</si>
  <si>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</si>
  <si>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</si>
  <si>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</si>
  <si>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</si>
  <si>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</si>
  <si>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</si>
  <si>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</si>
  <si>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</si>
  <si>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</si>
  <si>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</si>
  <si>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</si>
  <si>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</si>
  <si>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</si>
  <si>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</si>
  <si>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</si>
  <si>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</si>
  <si>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</si>
  <si>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</si>
  <si>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</si>
  <si>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</si>
  <si>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</si>
  <si>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</si>
  <si>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</si>
  <si>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</si>
  <si>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</si>
  <si>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</si>
  <si>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</si>
  <si>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</si>
  <si>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</si>
  <si>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</si>
  <si>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</si>
  <si>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</si>
  <si>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</si>
  <si>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</si>
  <si>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</si>
  <si>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</si>
  <si>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</si>
  <si>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</si>
  <si>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</si>
  <si>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</si>
  <si>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</si>
  <si>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</si>
  <si>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</si>
  <si>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</si>
  <si>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</si>
  <si>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</si>
  <si>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</si>
  <si>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</si>
  <si>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</si>
  <si>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</si>
  <si>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</si>
  <si>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</si>
  <si>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</si>
  <si>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</si>
  <si>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</si>
  <si>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</si>
  <si>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</si>
  <si>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</si>
  <si>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</si>
  <si>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</si>
  <si>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</si>
  <si>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</si>
  <si>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</si>
  <si>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</si>
  <si>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</si>
  <si>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</si>
  <si>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</si>
  <si>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</si>
  <si>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</si>
  <si>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</si>
  <si>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</si>
  <si>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</si>
  <si>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</si>
  <si>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</si>
  <si>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</si>
  <si>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</si>
  <si>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</si>
  <si>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</si>
  <si>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</si>
  <si>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</si>
  <si>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</si>
  <si>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</si>
  <si>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</si>
  <si>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</si>
  <si>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</si>
  <si>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</si>
  <si>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</si>
  <si>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</si>
  <si>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</si>
  <si>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</si>
  <si>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</si>
  <si>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</si>
  <si>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</si>
  <si>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</si>
  <si>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</si>
  <si>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</si>
  <si>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</si>
  <si>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</si>
  <si>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</si>
  <si>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</si>
  <si>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</si>
  <si>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</si>
  <si>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</si>
  <si>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</si>
  <si>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</si>
  <si>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</si>
  <si>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</si>
  <si>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</si>
  <si>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</si>
  <si>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</si>
  <si>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</si>
  <si>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</si>
  <si>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</si>
  <si>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</si>
  <si>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</si>
  <si>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</si>
  <si>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</si>
  <si>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</si>
  <si>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</si>
  <si>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</si>
  <si>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</si>
  <si>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</si>
  <si>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</si>
  <si>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</si>
  <si>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</si>
  <si>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</si>
  <si>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</si>
  <si>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</si>
  <si>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</si>
  <si>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</si>
  <si>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</si>
  <si>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</si>
  <si>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</si>
  <si>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</si>
  <si>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</si>
  <si>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</si>
  <si>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</si>
  <si>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</si>
  <si>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</si>
  <si>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</si>
  <si>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</si>
  <si>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</si>
  <si>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</si>
  <si>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</si>
  <si>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</si>
  <si>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</si>
  <si>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</si>
  <si>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</si>
  <si>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</si>
  <si>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</si>
  <si>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</si>
  <si>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</si>
  <si>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</si>
  <si>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</si>
  <si>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</si>
  <si>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</si>
  <si>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</si>
  <si>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</si>
  <si>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</si>
  <si>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</si>
  <si>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</si>
  <si>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</si>
  <si>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</si>
  <si>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</si>
  <si>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</si>
  <si>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</si>
  <si>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</si>
  <si>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</si>
  <si>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</si>
  <si>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</si>
  <si>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</si>
  <si>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</si>
  <si>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</si>
  <si>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</si>
  <si>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</si>
  <si>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</si>
  <si>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</si>
  <si>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</si>
  <si>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</si>
  <si>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</si>
  <si>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</si>
  <si>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</si>
  <si>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</si>
  <si>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</si>
  <si>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</si>
  <si>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</si>
  <si>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</si>
  <si>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</si>
  <si>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</si>
  <si>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</si>
  <si>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</si>
  <si>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</si>
  <si>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</si>
  <si>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</si>
  <si>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</si>
  <si>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</si>
  <si>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</si>
  <si>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</si>
  <si>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</si>
  <si>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</si>
  <si>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</si>
  <si>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</si>
  <si>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</si>
  <si>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</si>
  <si>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</si>
  <si>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</si>
  <si>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</si>
  <si>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</si>
  <si>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</si>
  <si>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</si>
  <si>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</si>
  <si>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</si>
  <si>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</si>
  <si>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</si>
  <si>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</si>
  <si>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</si>
  <si>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</si>
  <si>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</si>
  <si>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</si>
  <si>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</si>
  <si>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</si>
  <si>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</si>
  <si>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</si>
  <si>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</si>
  <si>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</si>
  <si>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</si>
  <si>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</si>
  <si>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</si>
  <si>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</si>
  <si>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</si>
  <si>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</si>
  <si>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</si>
  <si>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</si>
  <si>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</si>
  <si>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</si>
  <si>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</si>
  <si>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</si>
  <si>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</si>
  <si>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</si>
  <si>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</si>
  <si>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</si>
  <si>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</si>
  <si>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</si>
  <si>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</si>
  <si>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</si>
  <si>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</si>
  <si>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</si>
  <si>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</si>
  <si>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</si>
  <si>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</si>
  <si>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</si>
  <si>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</si>
  <si>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</si>
  <si>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</si>
  <si>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</si>
  <si>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</si>
  <si>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</si>
  <si>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</si>
  <si>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</si>
  <si>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</si>
  <si>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</si>
  <si>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</si>
  <si>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</si>
  <si>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</si>
  <si>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</si>
  <si>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</si>
  <si>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</si>
  <si>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</si>
  <si>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</si>
  <si>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</si>
  <si>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</si>
  <si>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</si>
  <si>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</si>
  <si>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</si>
  <si>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</si>
  <si>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</si>
  <si>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</si>
  <si>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</si>
  <si>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</si>
  <si>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</si>
  <si>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</si>
  <si>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</si>
  <si>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</si>
  <si>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</si>
  <si>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</si>
  <si>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</si>
  <si>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</si>
  <si>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</si>
  <si>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</si>
  <si>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</si>
  <si>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</si>
  <si>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</si>
  <si>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</si>
  <si>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</si>
  <si>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</si>
  <si>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</si>
  <si>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</si>
  <si>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</si>
  <si>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</si>
  <si>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</si>
  <si>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</si>
  <si>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</si>
  <si>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</si>
  <si>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</si>
  <si>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</si>
  <si>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</si>
  <si>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</si>
  <si>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</si>
  <si>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</si>
  <si>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</si>
  <si>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</si>
  <si>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</si>
  <si>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</si>
  <si>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</si>
  <si>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</si>
  <si>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</si>
  <si>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</si>
  <si>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</si>
  <si>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</si>
  <si>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</si>
  <si>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</si>
  <si>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</si>
  <si>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</si>
  <si>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</si>
  <si>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</si>
  <si>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</si>
  <si>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</si>
  <si>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</si>
  <si>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</si>
  <si>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</si>
  <si>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</si>
  <si>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</si>
  <si>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</si>
  <si>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</si>
  <si>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</si>
  <si>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</si>
  <si>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</si>
  <si>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</si>
  <si>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</si>
  <si>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</si>
  <si>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</si>
  <si>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</si>
  <si>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</si>
  <si>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</si>
  <si>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</si>
  <si>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</si>
  <si>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</si>
  <si>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</si>
  <si>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</si>
  <si>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</si>
  <si>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</si>
  <si>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</si>
  <si>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</si>
  <si>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</si>
  <si>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</si>
  <si>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</si>
  <si>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</si>
  <si>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</si>
  <si>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</si>
  <si>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</si>
  <si>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</si>
  <si>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</si>
  <si>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</si>
  <si>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</si>
  <si>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</si>
  <si>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</si>
  <si>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</si>
  <si>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</si>
  <si>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</si>
  <si>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</si>
  <si>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</si>
  <si>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</si>
  <si>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</si>
  <si>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</si>
  <si>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</si>
  <si>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</si>
  <si>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</si>
  <si>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</si>
  <si>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</si>
  <si>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</si>
  <si>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</si>
  <si>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</si>
  <si>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</si>
  <si>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</si>
  <si>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</si>
  <si>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</si>
  <si>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</si>
  <si>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</si>
  <si>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</si>
  <si>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</si>
  <si>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</si>
  <si>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</si>
  <si>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</si>
  <si>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</si>
  <si>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</si>
  <si>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</si>
  <si>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</si>
  <si>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</si>
  <si>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</si>
  <si>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</si>
  <si>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</si>
  <si>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</si>
  <si>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</si>
  <si>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</si>
  <si>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</si>
  <si>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</si>
  <si>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</si>
  <si>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</si>
  <si>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</si>
  <si>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</si>
  <si>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</si>
  <si>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</si>
  <si>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</si>
  <si>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</si>
  <si>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</si>
  <si>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</si>
  <si>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</si>
  <si>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</si>
  <si>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</si>
  <si>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</si>
  <si>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</si>
  <si>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</si>
  <si>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</si>
  <si>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</si>
  <si>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</si>
  <si>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</si>
  <si>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</si>
  <si>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</si>
  <si>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</si>
  <si>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</si>
  <si>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</si>
  <si>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</si>
  <si>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</si>
  <si>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</si>
  <si>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</si>
  <si>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</si>
  <si>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</si>
  <si>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</si>
  <si>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</si>
  <si>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</si>
  <si>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</si>
  <si>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</si>
  <si>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</si>
  <si>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</si>
  <si>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</si>
  <si>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</si>
  <si>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</si>
  <si>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</si>
  <si>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</si>
  <si>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</si>
  <si>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</si>
  <si>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</si>
  <si>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</si>
  <si>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</si>
  <si>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</si>
  <si>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</si>
  <si>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</si>
  <si>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</si>
  <si>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</si>
  <si>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</si>
  <si>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</si>
  <si>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</si>
  <si>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</si>
  <si>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</si>
  <si>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</si>
  <si>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</si>
  <si>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</si>
  <si>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</si>
  <si>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</si>
  <si>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</si>
  <si>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</si>
  <si>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</si>
  <si>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</si>
  <si>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</si>
  <si>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</si>
  <si>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</si>
  <si>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</si>
  <si>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</si>
  <si>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</si>
  <si>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</si>
  <si>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</si>
  <si>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</si>
  <si>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</si>
  <si>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</si>
  <si>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</si>
  <si>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</si>
  <si>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</si>
  <si>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</si>
  <si>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</si>
  <si>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</si>
  <si>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</si>
  <si>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</si>
  <si>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</si>
  <si>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</si>
  <si>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</si>
  <si>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</si>
  <si>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</si>
  <si>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</si>
  <si>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</si>
  <si>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</si>
  <si>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</si>
  <si>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</si>
  <si>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</si>
  <si>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</si>
  <si>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</si>
  <si>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</si>
  <si>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</si>
  <si>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</si>
  <si>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</si>
  <si>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</si>
  <si>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</si>
  <si>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</si>
  <si>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</si>
  <si>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</si>
  <si>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</si>
  <si>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</si>
  <si>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</si>
  <si>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</si>
  <si>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</si>
  <si>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</si>
  <si>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</si>
  <si>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</si>
  <si>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</si>
  <si>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</si>
  <si>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</si>
  <si>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</si>
  <si>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</si>
  <si>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</si>
  <si>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</si>
  <si>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</si>
  <si>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</si>
  <si>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</si>
  <si>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</si>
  <si>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</si>
  <si>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</si>
  <si>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</si>
  <si>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</si>
  <si>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</si>
  <si>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</si>
  <si>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</si>
  <si>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</si>
  <si>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</si>
  <si>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</si>
  <si>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</si>
  <si>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</si>
  <si>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</si>
  <si>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</si>
  <si>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</si>
  <si>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</si>
  <si>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</si>
  <si>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</si>
  <si>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</si>
  <si>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</si>
  <si>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</si>
  <si>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</si>
  <si>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</si>
  <si>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</si>
  <si>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</si>
  <si>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</si>
  <si>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</si>
  <si>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</si>
  <si>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</si>
  <si>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</si>
  <si>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</si>
  <si>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</si>
  <si>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</si>
  <si>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</si>
  <si>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</si>
  <si>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</si>
  <si>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</si>
  <si>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</si>
  <si>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</si>
  <si>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</si>
  <si>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</si>
  <si>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</si>
  <si>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</si>
  <si>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</si>
  <si>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</si>
  <si>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</si>
  <si>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</si>
  <si>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</si>
  <si>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</si>
  <si>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</si>
  <si>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</si>
  <si>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</si>
  <si>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</si>
  <si>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</si>
  <si>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</si>
  <si>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</si>
  <si>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</si>
  <si>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</si>
  <si>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</si>
  <si>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</si>
  <si>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</si>
  <si>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</si>
  <si>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</si>
  <si>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</si>
  <si>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</si>
  <si>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</si>
  <si>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</si>
  <si>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</si>
  <si>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</si>
  <si>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</si>
  <si>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</si>
  <si>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</si>
  <si>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</si>
  <si>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</si>
  <si>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</si>
  <si>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</si>
  <si>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</si>
  <si>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</si>
  <si>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</si>
  <si>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</si>
  <si>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</si>
  <si>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</si>
  <si>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</si>
  <si>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</si>
  <si>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</si>
  <si>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</si>
  <si>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</si>
  <si>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</si>
  <si>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</si>
  <si>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</si>
  <si>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</si>
  <si>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</si>
  <si>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</si>
  <si>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</si>
  <si>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</si>
  <si>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</si>
  <si>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</si>
  <si>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</si>
  <si>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</si>
  <si>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</si>
  <si>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</si>
  <si>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</si>
  <si>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</si>
  <si>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</si>
  <si>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</si>
  <si>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</si>
  <si>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</si>
  <si>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</si>
  <si>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</si>
  <si>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</si>
  <si>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</si>
  <si>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</si>
  <si>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</si>
  <si>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</si>
  <si>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</si>
  <si>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</si>
  <si>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</si>
  <si>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</si>
  <si>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</si>
  <si>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</si>
  <si>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</si>
  <si>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</si>
  <si>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</si>
  <si>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</si>
  <si>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</si>
  <si>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</si>
  <si>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</si>
  <si>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</si>
  <si>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</si>
  <si>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</si>
  <si>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</si>
  <si>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</si>
  <si>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</si>
  <si>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</si>
  <si>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</si>
  <si>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</si>
  <si>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</si>
  <si>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</si>
  <si>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</si>
  <si>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</si>
  <si>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</si>
  <si>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</si>
  <si>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</si>
  <si>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</si>
  <si>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</si>
  <si>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</si>
  <si>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</si>
  <si>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</si>
  <si>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</si>
  <si>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</si>
  <si>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</si>
  <si>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</si>
  <si>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</si>
  <si>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</si>
  <si>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</si>
  <si>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</si>
  <si>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</si>
  <si>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</si>
  <si>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</si>
  <si>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</si>
  <si>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</si>
  <si>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</si>
  <si>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</si>
  <si>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</si>
  <si>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</si>
  <si>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</si>
  <si>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</si>
  <si>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</si>
  <si>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</si>
  <si>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</si>
  <si>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</si>
  <si>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</si>
  <si>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</si>
  <si>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</si>
  <si>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</si>
  <si>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</si>
  <si>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</si>
  <si>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</si>
  <si>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</si>
  <si>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</si>
  <si>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</si>
  <si>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</si>
  <si>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</si>
  <si>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</si>
  <si>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</si>
  <si>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</si>
  <si>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</si>
  <si>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</si>
  <si>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</si>
  <si>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</si>
  <si>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</si>
  <si>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</si>
  <si>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</si>
  <si>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</si>
  <si>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</si>
  <si>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</si>
  <si>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</si>
  <si>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</si>
  <si>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</si>
  <si>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</si>
  <si>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</si>
  <si>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</si>
  <si>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</si>
  <si>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</si>
  <si>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</si>
  <si>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</si>
  <si>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</si>
  <si>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</si>
  <si>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</si>
  <si>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</si>
  <si>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</si>
  <si>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</si>
  <si>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</si>
  <si>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</si>
  <si>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</si>
  <si>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</si>
  <si>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</si>
  <si>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</si>
  <si>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</si>
  <si>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</si>
  <si>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</si>
  <si>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</si>
  <si>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</si>
  <si>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</si>
  <si>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</si>
  <si>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</si>
  <si>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</si>
  <si>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</si>
  <si>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</si>
  <si>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</si>
  <si>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</si>
  <si>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</si>
  <si>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</si>
  <si>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</si>
  <si>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</si>
  <si>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</si>
  <si>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</si>
  <si>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</si>
  <si>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</si>
  <si>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</si>
  <si>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</si>
  <si>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</si>
  <si>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</si>
  <si>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</si>
  <si>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</si>
  <si>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</si>
  <si>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</si>
  <si>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</si>
  <si>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</si>
  <si>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</si>
  <si>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</si>
  <si>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</si>
  <si>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</si>
  <si>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</si>
  <si>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</si>
  <si>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</si>
  <si>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</si>
  <si>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</si>
  <si>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</si>
  <si>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</si>
  <si>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</si>
  <si>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</si>
  <si>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</si>
  <si>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</si>
  <si>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</si>
  <si>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</si>
  <si>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</si>
  <si>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</si>
  <si>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</si>
  <si>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</si>
  <si>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</si>
  <si>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</si>
  <si>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</si>
  <si>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</si>
  <si>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</si>
  <si>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</si>
  <si>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</si>
  <si>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</si>
  <si>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</si>
  <si>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</si>
  <si>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</si>
  <si>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</si>
  <si>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</si>
  <si>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</si>
  <si>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</si>
  <si>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</si>
  <si>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</si>
  <si>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</si>
  <si>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</si>
  <si>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</si>
  <si>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</si>
  <si>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</si>
  <si>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</si>
  <si>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</si>
  <si>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</si>
  <si>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</si>
  <si>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</si>
  <si>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</si>
  <si>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</si>
  <si>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</si>
  <si>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</si>
  <si>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</si>
  <si>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</si>
  <si>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</si>
  <si>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</si>
  <si>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</si>
  <si>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</si>
  <si>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</si>
  <si>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</si>
  <si>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</si>
  <si>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</si>
  <si>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</si>
  <si>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</si>
  <si>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</si>
  <si>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</si>
  <si>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</si>
  <si>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</si>
  <si>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</si>
  <si>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</si>
  <si>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</si>
  <si>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</si>
  <si>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</si>
  <si>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</si>
  <si>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</si>
  <si>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</si>
  <si>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</si>
  <si>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</si>
  <si>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</si>
  <si>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</si>
  <si>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</si>
  <si>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</si>
  <si>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</si>
  <si>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</si>
  <si>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</si>
  <si>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</si>
  <si>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</si>
  <si>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</si>
  <si>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</si>
  <si>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</si>
  <si>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</si>
  <si>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</si>
  <si>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</si>
  <si>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</si>
  <si>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</si>
  <si>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</si>
  <si>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</si>
  <si>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</si>
  <si>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</si>
  <si>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</si>
  <si>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</si>
  <si>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</si>
  <si>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</si>
  <si>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</si>
  <si>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</si>
  <si>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</si>
  <si>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</si>
  <si>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</si>
  <si>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</si>
  <si>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</si>
  <si>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</si>
  <si>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</si>
  <si>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</si>
  <si>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</si>
  <si>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</si>
  <si>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</si>
  <si>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</si>
  <si>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</si>
  <si>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</si>
  <si>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</si>
  <si>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</si>
  <si>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</si>
  <si>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</si>
  <si>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</si>
  <si>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</si>
  <si>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</si>
  <si>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</si>
  <si>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</si>
  <si>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</si>
  <si>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</si>
  <si>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</si>
  <si>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</si>
  <si>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</si>
  <si>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</si>
  <si>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</si>
  <si>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</si>
  <si>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</si>
  <si>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</si>
  <si>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</si>
  <si>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</si>
  <si>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</si>
  <si>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</si>
  <si>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</si>
  <si>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</si>
  <si>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</si>
  <si>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</si>
  <si>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</si>
  <si>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</si>
  <si>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</si>
  <si>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</si>
  <si>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</si>
  <si>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</si>
  <si>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</si>
  <si>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</si>
  <si>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</si>
  <si>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</si>
  <si>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</si>
  <si>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</si>
  <si>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</si>
  <si>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</si>
  <si>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</si>
  <si>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</si>
  <si>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</si>
  <si>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</si>
  <si>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</si>
  <si>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</si>
  <si>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</si>
  <si>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</si>
  <si>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</si>
  <si>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</si>
  <si>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</si>
  <si>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</si>
  <si>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</si>
  <si>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</si>
  <si>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</si>
  <si>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</si>
  <si>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</si>
  <si>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</si>
  <si>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</si>
  <si>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</si>
  <si>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</si>
  <si>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</si>
  <si>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</si>
  <si>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</si>
  <si>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</si>
  <si>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</si>
  <si>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</si>
  <si>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</si>
  <si>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</si>
  <si>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</si>
  <si>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</si>
  <si>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</si>
  <si>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</si>
  <si>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</si>
  <si>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</si>
  <si>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</si>
  <si>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</si>
  <si>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</si>
  <si>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</si>
  <si>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</si>
  <si>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</si>
  <si>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</si>
  <si>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</si>
  <si>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</si>
  <si>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</si>
  <si>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</si>
  <si>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</si>
  <si>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</si>
  <si>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</si>
  <si>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</si>
  <si>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</si>
  <si>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</si>
  <si>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</si>
  <si>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</si>
  <si>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</si>
  <si>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</si>
  <si>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</si>
  <si>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</si>
  <si>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</si>
  <si>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</si>
  <si>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</si>
  <si>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</si>
  <si>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</si>
  <si>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</si>
  <si>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</si>
  <si>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</si>
  <si>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</si>
  <si>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</si>
  <si>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</si>
  <si>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</si>
  <si>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</si>
  <si>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</si>
  <si>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</si>
  <si>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</si>
  <si>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</si>
  <si>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</si>
  <si>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</si>
  <si>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</si>
  <si>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</si>
  <si>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</si>
  <si>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</si>
  <si>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</si>
  <si>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</si>
  <si>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</si>
  <si>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</si>
  <si>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</si>
  <si>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</si>
  <si>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</si>
  <si>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</si>
  <si>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</si>
  <si>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</si>
  <si>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</si>
  <si>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</si>
  <si>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</si>
  <si>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</si>
  <si>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</si>
  <si>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</si>
  <si>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</si>
  <si>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</si>
  <si>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</si>
  <si>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</si>
  <si>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</si>
  <si>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</si>
  <si>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</si>
  <si>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</si>
  <si>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</si>
  <si>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</si>
  <si>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</si>
  <si>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</si>
  <si>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</si>
  <si>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</si>
  <si>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</si>
  <si>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</si>
  <si>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</si>
  <si>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</si>
  <si>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</si>
  <si>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</si>
  <si>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</si>
  <si>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</si>
  <si>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</si>
  <si>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</si>
  <si>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</si>
  <si>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</si>
  <si>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</si>
  <si>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</si>
  <si>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</si>
  <si>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</si>
  <si>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</si>
  <si>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</si>
  <si>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</si>
  <si>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</si>
  <si>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</si>
  <si>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</si>
  <si>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</si>
  <si>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</si>
  <si>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</si>
  <si>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</si>
  <si>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</si>
  <si>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</si>
  <si>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</si>
  <si>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</si>
  <si>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</si>
  <si>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</si>
  <si>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</si>
  <si>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</si>
  <si>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</si>
  <si>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</si>
  <si>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</si>
  <si>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</si>
  <si>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</si>
  <si>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</si>
  <si>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</si>
  <si>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</si>
  <si>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</si>
  <si>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</si>
  <si>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</si>
  <si>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</si>
  <si>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</si>
  <si>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</si>
  <si>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</si>
  <si>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</si>
  <si>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</si>
  <si>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</si>
  <si>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</si>
  <si>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</si>
  <si>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</si>
  <si>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</si>
  <si>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</si>
  <si>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</si>
  <si>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</si>
  <si>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</si>
  <si>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</si>
  <si>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</si>
  <si>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</si>
  <si>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</si>
  <si>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</si>
  <si>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</si>
  <si>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</si>
  <si>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</si>
  <si>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</si>
  <si>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</si>
  <si>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</si>
  <si>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</si>
  <si>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</si>
  <si>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</si>
  <si>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</si>
  <si>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</si>
  <si>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</si>
  <si>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</si>
  <si>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</si>
  <si>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</si>
  <si>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</si>
  <si>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</si>
  <si>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</si>
  <si>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</si>
  <si>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</si>
  <si>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</si>
  <si>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</si>
  <si>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</si>
  <si>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</si>
  <si>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</si>
  <si>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</si>
  <si>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</si>
  <si>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</si>
  <si>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</si>
  <si>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</si>
  <si>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</si>
  <si>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</si>
  <si>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</si>
  <si>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</si>
  <si>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</si>
  <si>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</si>
  <si>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</si>
  <si>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</si>
  <si>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</si>
  <si>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</si>
  <si>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</si>
  <si>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</si>
  <si>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</si>
  <si>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</si>
  <si>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</si>
  <si>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</si>
  <si>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</si>
  <si>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</si>
  <si>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</si>
  <si>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</si>
  <si>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</si>
  <si>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</si>
  <si>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</si>
  <si>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</si>
  <si>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</si>
  <si>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</si>
  <si>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</si>
  <si>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</si>
  <si>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</si>
  <si>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</si>
  <si>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</si>
  <si>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</si>
  <si>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</si>
  <si>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</si>
  <si>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</si>
  <si>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</si>
  <si>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</si>
  <si>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</si>
  <si>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</si>
  <si>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</si>
  <si>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</si>
  <si>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</si>
  <si>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</si>
  <si>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</si>
  <si>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</si>
  <si>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</si>
  <si>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</si>
  <si>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</si>
  <si>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</si>
  <si>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</si>
  <si>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</si>
  <si>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</si>
  <si>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</si>
  <si>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</si>
  <si>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</si>
  <si>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</si>
  <si>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</si>
  <si>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</si>
  <si>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</si>
  <si>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</si>
  <si>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</si>
  <si>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</si>
  <si>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</si>
  <si>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</si>
  <si>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</si>
  <si>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</si>
  <si>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</si>
  <si>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</si>
  <si>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</si>
  <si>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</si>
  <si>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</si>
  <si>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</si>
  <si>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</si>
  <si>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</si>
  <si>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</si>
  <si>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</si>
  <si>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</si>
  <si>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</si>
  <si>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</si>
  <si>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</si>
  <si>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</si>
  <si>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</si>
  <si>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</si>
  <si>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</si>
  <si>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</si>
  <si>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</si>
  <si>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</si>
  <si>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</si>
  <si>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</si>
  <si>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</si>
  <si>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</si>
  <si>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</si>
  <si>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</si>
  <si>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</si>
  <si>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</si>
  <si>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</si>
  <si>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</si>
  <si>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</si>
  <si>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</si>
  <si>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</si>
  <si>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</si>
  <si>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</si>
  <si>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</si>
  <si>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</si>
  <si>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</si>
  <si>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</si>
  <si>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</si>
  <si>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</si>
  <si>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</si>
  <si>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</si>
  <si>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</si>
  <si>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</si>
  <si>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</si>
  <si>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</si>
  <si>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</si>
  <si>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</si>
  <si>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</si>
  <si>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</si>
  <si>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</si>
  <si>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</si>
  <si>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</si>
  <si>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</si>
  <si>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</si>
  <si>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</si>
  <si>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</si>
  <si>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</si>
  <si>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</si>
  <si>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</si>
  <si>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</si>
  <si>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</si>
  <si>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</si>
  <si>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</si>
  <si>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</si>
  <si>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</si>
  <si>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</si>
  <si>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</si>
  <si>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</si>
  <si>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</si>
  <si>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</si>
  <si>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</si>
  <si>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</si>
  <si>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</si>
  <si>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</si>
  <si>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</si>
  <si>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</si>
  <si>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</si>
  <si>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</si>
  <si>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</si>
  <si>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</si>
  <si>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</si>
  <si>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</si>
  <si>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</si>
  <si>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</si>
  <si>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</si>
  <si>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</si>
  <si>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</si>
  <si>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</si>
  <si>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</si>
  <si>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</si>
  <si>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</si>
  <si>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</si>
  <si>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</si>
  <si>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</si>
  <si>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</si>
  <si>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</si>
  <si>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</si>
  <si>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</si>
  <si>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</si>
  <si>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</si>
  <si>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</si>
  <si>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</si>
  <si>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</si>
  <si>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</si>
  <si>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</si>
  <si>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</si>
  <si>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</si>
  <si>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</si>
  <si>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</si>
  <si>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</si>
  <si>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</si>
  <si>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</si>
  <si>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</si>
  <si>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</si>
  <si>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</si>
  <si>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</si>
  <si>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</si>
  <si>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</si>
  <si>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</si>
  <si>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</si>
  <si>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</si>
  <si>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</si>
  <si>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</si>
  <si>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</si>
  <si>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</si>
  <si>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</si>
  <si>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</si>
  <si>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</si>
  <si>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</si>
  <si>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</si>
  <si>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</si>
  <si>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</si>
  <si>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</si>
  <si>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</si>
  <si>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</si>
  <si>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</si>
  <si>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</si>
  <si>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</si>
  <si>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</si>
  <si>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</si>
  <si>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</si>
  <si>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</si>
  <si>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</si>
  <si>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</si>
  <si>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</si>
  <si>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</si>
  <si>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</si>
  <si>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</si>
  <si>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</si>
  <si>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</si>
  <si>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</si>
  <si>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</si>
  <si>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</si>
  <si>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</si>
  <si>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</si>
  <si>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</si>
  <si>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</si>
  <si>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</si>
  <si>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</si>
  <si>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</si>
  <si>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</si>
  <si>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</si>
  <si>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</si>
  <si>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</si>
  <si>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</si>
  <si>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</si>
  <si>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</si>
  <si>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</si>
  <si>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</si>
  <si>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</si>
  <si>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</si>
  <si>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</si>
  <si>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</si>
  <si>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</si>
  <si>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</si>
  <si>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</si>
  <si>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</si>
  <si>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</si>
  <si>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</si>
  <si>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</si>
  <si>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</si>
  <si>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</si>
  <si>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</si>
  <si>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</si>
  <si>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</si>
  <si>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</si>
  <si>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</si>
  <si>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</si>
  <si>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</si>
  <si>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</si>
  <si>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</si>
  <si>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</si>
  <si>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</si>
  <si>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</si>
  <si>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</si>
  <si>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</si>
  <si>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</si>
  <si>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</si>
  <si>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</si>
  <si>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</si>
  <si>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</si>
  <si>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</si>
  <si>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</si>
  <si>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</si>
  <si>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</si>
  <si>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</si>
  <si>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</si>
  <si>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</si>
  <si>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</si>
  <si>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</si>
  <si>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</si>
  <si>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</si>
  <si>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</si>
  <si>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</si>
  <si>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</si>
  <si>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</si>
  <si>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</si>
  <si>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</si>
  <si>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</si>
  <si>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</si>
  <si>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</si>
  <si>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</si>
  <si>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</si>
  <si>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</si>
  <si>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</si>
  <si>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</si>
  <si>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</si>
  <si>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</si>
  <si>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</si>
  <si>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</si>
  <si>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</si>
  <si>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</si>
  <si>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</si>
  <si>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</si>
  <si>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</si>
  <si>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</si>
  <si>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</si>
  <si>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</si>
  <si>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</si>
  <si>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</si>
  <si>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</si>
  <si>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</si>
  <si>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</si>
  <si>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</si>
  <si>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</si>
  <si>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</si>
  <si>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</si>
  <si>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</si>
  <si>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</si>
  <si>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</si>
  <si>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</si>
  <si>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</si>
  <si>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</si>
  <si>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</si>
  <si>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</si>
  <si>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</si>
  <si>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</si>
  <si>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</si>
  <si>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</si>
  <si>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</si>
  <si>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</si>
  <si>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</si>
  <si>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</si>
  <si>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</si>
  <si>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</si>
  <si>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</si>
  <si>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</si>
  <si>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</si>
  <si>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</si>
  <si>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</si>
  <si>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</si>
  <si>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</si>
  <si>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</si>
  <si>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</si>
  <si>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</si>
  <si>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</si>
  <si>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</si>
  <si>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</si>
  <si>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</si>
  <si>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</si>
  <si>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</si>
  <si>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</si>
  <si>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</si>
  <si>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</si>
  <si>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</si>
  <si>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</si>
  <si>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</si>
  <si>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</si>
  <si>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</si>
  <si>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</si>
  <si>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</si>
  <si>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</si>
  <si>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</si>
  <si>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</si>
  <si>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</si>
  <si>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</si>
  <si>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</si>
  <si>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</si>
  <si>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</si>
  <si>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</si>
  <si>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</si>
  <si>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</si>
  <si>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</si>
  <si>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</si>
  <si>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</si>
  <si>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</si>
  <si>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</si>
  <si>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</si>
  <si>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</si>
  <si>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</si>
  <si>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</si>
  <si>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</si>
  <si>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</si>
  <si>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</si>
  <si>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</si>
  <si>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</si>
  <si>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</si>
  <si>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</si>
  <si>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</si>
  <si>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</si>
  <si>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</si>
  <si>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</si>
  <si>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</si>
  <si>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</si>
  <si>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</si>
  <si>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</si>
  <si>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</si>
  <si>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</si>
  <si>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</si>
  <si>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</si>
  <si>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</si>
  <si>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</si>
  <si>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</si>
  <si>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</si>
  <si>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</si>
  <si>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</si>
  <si>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</si>
  <si>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</si>
  <si>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</si>
  <si>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</si>
  <si>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</si>
  <si>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</si>
  <si>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</si>
  <si>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</si>
  <si>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</si>
  <si>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</si>
  <si>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</si>
  <si>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</si>
  <si>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</si>
  <si>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</si>
  <si>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</si>
  <si>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</si>
  <si>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</si>
  <si>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</si>
  <si>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</si>
  <si>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</si>
  <si>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</si>
  <si>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</si>
  <si>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</si>
  <si>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</si>
  <si>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</si>
  <si>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</si>
  <si>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</si>
  <si>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</si>
  <si>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</si>
  <si>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</si>
  <si>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</si>
  <si>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</si>
  <si>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</si>
  <si>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</si>
  <si>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</si>
  <si>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</si>
  <si>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</si>
  <si>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</si>
  <si>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</si>
  <si>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</si>
  <si>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</si>
  <si>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</si>
  <si>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</si>
  <si>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</si>
  <si>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</si>
  <si>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</si>
  <si>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</si>
  <si>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</si>
  <si>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</si>
  <si>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</si>
  <si>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</si>
  <si>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</si>
  <si>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</si>
  <si>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</si>
  <si>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</si>
  <si>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</si>
  <si>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</si>
  <si>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</si>
  <si>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</si>
  <si>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</si>
  <si>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</si>
  <si>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</si>
  <si>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</si>
  <si>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</si>
  <si>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</si>
  <si>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</si>
  <si>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</si>
  <si>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</si>
  <si>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</si>
  <si>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</si>
  <si>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</si>
  <si>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</si>
  <si>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</si>
  <si>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</si>
  <si>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</si>
  <si>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</si>
  <si>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</si>
  <si>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</si>
  <si>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</si>
  <si>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</si>
  <si>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</si>
  <si>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</si>
  <si>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</si>
  <si>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</si>
  <si>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</si>
  <si>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</si>
  <si>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</si>
  <si>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</si>
  <si>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</si>
  <si>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</si>
  <si>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</si>
  <si>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</si>
  <si>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</si>
  <si>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</si>
  <si>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</si>
  <si>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</si>
  <si>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</si>
  <si>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</si>
  <si>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</si>
  <si>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</si>
  <si>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</si>
  <si>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</si>
  <si>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</si>
  <si>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</si>
  <si>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</si>
  <si>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</si>
  <si>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</si>
  <si>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</si>
  <si>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</si>
  <si>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</si>
  <si>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</si>
  <si>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</si>
  <si>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</si>
  <si>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</si>
  <si>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</si>
  <si>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</si>
  <si>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</si>
  <si>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</si>
  <si>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</si>
  <si>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</si>
  <si>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</si>
  <si>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</si>
  <si>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</si>
  <si>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</si>
  <si>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</si>
  <si>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</si>
  <si>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</si>
  <si>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</si>
  <si>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</si>
  <si>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</si>
  <si>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</si>
  <si>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</si>
  <si>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</si>
  <si>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</si>
  <si>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</si>
  <si>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</si>
  <si>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</si>
  <si>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</si>
  <si>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</si>
  <si>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</si>
  <si>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</si>
  <si>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</si>
  <si>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</si>
  <si>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</si>
  <si>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</si>
  <si>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</si>
  <si>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</si>
  <si>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</si>
  <si>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</si>
  <si>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</si>
  <si>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</si>
  <si>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</si>
  <si>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</si>
  <si>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</si>
  <si>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</si>
  <si>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</si>
  <si>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</si>
  <si>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</si>
  <si>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</si>
  <si>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</si>
  <si>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</si>
  <si>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</si>
  <si>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</si>
  <si>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</si>
  <si>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</si>
  <si>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</si>
  <si>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</si>
  <si>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</si>
  <si>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</si>
  <si>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</si>
  <si>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</si>
  <si>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</si>
  <si>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</si>
  <si>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</si>
  <si>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</si>
  <si>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</si>
  <si>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</si>
  <si>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</si>
  <si>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</si>
  <si>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</si>
  <si>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</si>
  <si>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</si>
  <si>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</si>
  <si>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</si>
  <si>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</si>
  <si>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</si>
  <si>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</si>
  <si>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</si>
  <si>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</si>
  <si>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</si>
  <si>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</si>
  <si>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</si>
  <si>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</si>
  <si>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</si>
  <si>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</si>
  <si>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</si>
  <si>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</si>
  <si>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</si>
  <si>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</si>
  <si>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</si>
  <si>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</si>
  <si>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</si>
  <si>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</si>
  <si>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</si>
  <si>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</si>
  <si>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</si>
  <si>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</si>
  <si>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</si>
  <si>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</si>
  <si>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</si>
  <si>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</si>
  <si>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</si>
  <si>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</si>
  <si>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</si>
  <si>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</si>
  <si>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</si>
  <si>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</si>
  <si>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</si>
  <si>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</si>
  <si>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</si>
  <si>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</si>
  <si>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</si>
  <si>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</si>
  <si>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</si>
  <si>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</si>
  <si>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</si>
  <si>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</si>
  <si>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</si>
  <si>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</si>
  <si>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</si>
  <si>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</si>
  <si>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</si>
  <si>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</si>
  <si>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</si>
  <si>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</si>
  <si>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</si>
  <si>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</si>
  <si>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</si>
  <si>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</si>
  <si>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</si>
  <si>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</si>
  <si>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</si>
  <si>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</si>
  <si>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</si>
  <si>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</si>
  <si>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</si>
  <si>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</si>
  <si>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</si>
  <si>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</si>
  <si>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</si>
  <si>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</si>
  <si>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</si>
  <si>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</si>
  <si>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</si>
  <si>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</si>
  <si>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</si>
  <si>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</si>
  <si>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</si>
  <si>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</si>
  <si>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</si>
  <si>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</si>
  <si>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</si>
  <si>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</si>
  <si>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</si>
  <si>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</si>
  <si>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</si>
  <si>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</si>
  <si>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</si>
  <si>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</si>
  <si>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</si>
  <si>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</si>
  <si>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</si>
  <si>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</si>
  <si>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</si>
  <si>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</si>
  <si>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</si>
  <si>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</si>
  <si>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</si>
  <si>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</si>
  <si>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</si>
  <si>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</si>
  <si>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</si>
  <si>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</si>
  <si>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</si>
  <si>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</si>
  <si>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</si>
  <si>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</si>
  <si>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</si>
  <si>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</si>
  <si>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</si>
  <si>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</si>
  <si>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</si>
  <si>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</si>
  <si>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</si>
  <si>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</si>
  <si>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</si>
  <si>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</si>
  <si>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</si>
  <si>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</si>
  <si>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</si>
  <si>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</si>
  <si>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</si>
  <si>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</si>
  <si>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</si>
  <si>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</si>
  <si>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</si>
  <si>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</si>
  <si>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</si>
  <si>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</si>
  <si>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</si>
  <si>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</si>
  <si>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</si>
  <si>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</si>
  <si>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</si>
  <si>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</si>
  <si>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</si>
  <si>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</si>
  <si>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</si>
  <si>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</si>
  <si>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</si>
  <si>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</si>
  <si>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</si>
  <si>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</si>
  <si>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</si>
  <si>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</si>
  <si>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</si>
  <si>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</si>
  <si>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</si>
  <si>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</si>
  <si>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</si>
  <si>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</si>
  <si>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</si>
  <si>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</si>
  <si>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</si>
  <si>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</si>
  <si>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</si>
  <si>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</si>
  <si>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</si>
  <si>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</si>
  <si>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</si>
  <si>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</si>
  <si>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</si>
  <si>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</si>
  <si>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</si>
  <si>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</si>
  <si>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</si>
  <si>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</si>
  <si>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</si>
  <si>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</si>
  <si>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</si>
  <si>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</si>
  <si>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</si>
  <si>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</si>
  <si>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</si>
  <si>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</si>
  <si>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</si>
  <si>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</si>
  <si>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</si>
  <si>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</si>
  <si>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</si>
  <si>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</si>
  <si>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</si>
  <si>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</si>
  <si>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</si>
  <si>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</si>
  <si>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</si>
  <si>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</si>
  <si>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</si>
  <si>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</si>
  <si>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</si>
  <si>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</si>
  <si>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</si>
  <si>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</si>
  <si>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</si>
  <si>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</si>
  <si>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</si>
  <si>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</si>
  <si>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</si>
  <si>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</si>
  <si>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</si>
  <si>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</si>
  <si>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</si>
  <si>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</si>
  <si>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</si>
  <si>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</si>
  <si>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</si>
  <si>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</si>
  <si>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</si>
  <si>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</si>
  <si>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</si>
  <si>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</si>
  <si>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</si>
  <si>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</si>
  <si>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</si>
  <si>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</si>
  <si>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</si>
  <si>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</si>
  <si>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</si>
  <si>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</si>
  <si>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</si>
  <si>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</si>
  <si>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</si>
  <si>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</si>
  <si>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</si>
  <si>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</si>
  <si>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</si>
  <si>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</si>
  <si>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</si>
  <si>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</si>
  <si>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</si>
  <si>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</si>
  <si>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</si>
  <si>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</si>
  <si>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</si>
  <si>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</si>
  <si>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</si>
  <si>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</si>
  <si>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</si>
  <si>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</si>
  <si>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</si>
  <si>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</si>
  <si>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</si>
  <si>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</si>
  <si>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</si>
  <si>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</si>
  <si>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</si>
  <si>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</si>
  <si>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</si>
  <si>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</si>
  <si>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</si>
  <si>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</si>
  <si>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</si>
  <si>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</si>
  <si>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</si>
  <si>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</si>
  <si>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</si>
  <si>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</si>
  <si>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</si>
  <si>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</si>
  <si>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</si>
  <si>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</si>
  <si>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</si>
  <si>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</si>
  <si>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</si>
  <si>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</si>
  <si>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</si>
  <si>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</si>
  <si>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</si>
  <si>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</si>
  <si>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</si>
  <si>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</si>
  <si>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</si>
  <si>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</si>
  <si>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</si>
  <si>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</si>
  <si>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</si>
  <si>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</si>
  <si>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</si>
  <si>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</si>
  <si>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</si>
  <si>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</si>
  <si>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</si>
  <si>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</si>
  <si>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</si>
  <si>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</si>
  <si>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</si>
  <si>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</si>
  <si>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</si>
  <si>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</si>
  <si>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</si>
  <si>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</si>
  <si>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</si>
  <si>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</si>
  <si>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</si>
  <si>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</si>
  <si>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</si>
  <si>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</si>
  <si>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</si>
  <si>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</si>
  <si>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</si>
  <si>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</si>
  <si>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</si>
  <si>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</si>
  <si>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</si>
  <si>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</si>
  <si>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</si>
  <si>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</si>
  <si>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</si>
  <si>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</si>
  <si>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</si>
  <si>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</si>
  <si>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</si>
  <si>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</si>
  <si>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</si>
  <si>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</si>
  <si>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</si>
  <si>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</si>
  <si>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</si>
  <si>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</si>
  <si>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</si>
  <si>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</si>
  <si>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</si>
  <si>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</si>
  <si>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</si>
  <si>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</si>
  <si>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</si>
  <si>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</si>
  <si>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</si>
  <si>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</si>
  <si>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</si>
  <si>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</si>
  <si>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</si>
  <si>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</si>
  <si>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</si>
  <si>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</si>
  <si>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</si>
  <si>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</si>
  <si>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</si>
  <si>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</si>
  <si>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</si>
  <si>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</si>
  <si>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</si>
  <si>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</si>
  <si>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</si>
  <si>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</si>
  <si>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</si>
  <si>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</si>
  <si>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</si>
  <si>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</si>
  <si>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</si>
  <si>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</si>
  <si>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</si>
  <si>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</si>
  <si>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</si>
  <si>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</si>
  <si>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</si>
  <si>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</si>
  <si>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</si>
  <si>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</si>
  <si>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</si>
  <si>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</si>
  <si>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</si>
  <si>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</si>
  <si>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</si>
  <si>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</si>
  <si>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</si>
  <si>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</si>
  <si>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</si>
  <si>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</si>
  <si>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</si>
  <si>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</si>
  <si>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</si>
  <si>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</si>
  <si>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</si>
  <si>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</si>
  <si>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</si>
  <si>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</si>
  <si>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</si>
  <si>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</si>
  <si>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</si>
  <si>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</si>
  <si>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</si>
  <si>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</si>
  <si>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</si>
  <si>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</si>
  <si>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</si>
  <si>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</si>
  <si>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</si>
  <si>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</si>
  <si>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</si>
  <si>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</si>
  <si>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</si>
  <si>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</si>
  <si>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</si>
  <si>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</si>
  <si>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</si>
  <si>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</si>
  <si>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</si>
  <si>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</si>
  <si>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</si>
  <si>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</si>
  <si>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</si>
  <si>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</si>
  <si>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</si>
  <si>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</si>
  <si>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</si>
  <si>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</si>
  <si>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</si>
  <si>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</si>
  <si>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</si>
  <si>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</si>
  <si>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</si>
  <si>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</si>
  <si>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</si>
  <si>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</si>
  <si>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</si>
  <si>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</si>
  <si>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</si>
  <si>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</si>
  <si>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</si>
  <si>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</si>
  <si>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</si>
  <si>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</si>
  <si>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</si>
  <si>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</si>
  <si>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</si>
  <si>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</si>
  <si>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</si>
  <si>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</si>
  <si>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</si>
  <si>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</si>
  <si>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</si>
  <si>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</si>
  <si>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</si>
  <si>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</si>
  <si>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</si>
  <si>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</si>
  <si>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</si>
  <si>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</si>
  <si>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</si>
  <si>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</si>
  <si>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</si>
  <si>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</si>
  <si>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</si>
  <si>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</si>
  <si>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</si>
  <si>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</si>
  <si>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</si>
  <si>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</si>
  <si>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</si>
  <si>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</si>
  <si>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</si>
  <si>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</si>
  <si>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</si>
  <si>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</si>
  <si>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</si>
  <si>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</si>
  <si>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</si>
  <si>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</si>
  <si>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</si>
  <si>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</si>
  <si>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</si>
  <si>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</si>
  <si>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</si>
  <si>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</si>
  <si>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</si>
  <si>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</si>
  <si>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</si>
  <si>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</si>
  <si>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</si>
  <si>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</si>
  <si>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</si>
  <si>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</si>
  <si>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</si>
  <si>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</si>
  <si>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</si>
  <si>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</si>
  <si>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</si>
  <si>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</si>
  <si>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</si>
  <si>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</si>
  <si>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</si>
  <si>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</si>
  <si>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</si>
  <si>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</si>
  <si>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</si>
  <si>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</si>
  <si>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</si>
  <si>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</si>
  <si>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</si>
  <si>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</si>
  <si>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</si>
  <si>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</si>
  <si>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</si>
  <si>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</si>
  <si>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</si>
  <si>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</si>
  <si>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</si>
  <si>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</si>
  <si>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</si>
  <si>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</si>
  <si>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</si>
  <si>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</si>
  <si>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</si>
  <si>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</si>
  <si>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</si>
  <si>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</si>
  <si>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</si>
  <si>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</si>
  <si>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</si>
  <si>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</si>
  <si>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</si>
  <si>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</si>
  <si>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</si>
  <si>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</si>
  <si>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</si>
  <si>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</si>
  <si>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</si>
  <si>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</si>
  <si>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</si>
  <si>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</si>
  <si>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</si>
  <si>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</si>
  <si>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</si>
  <si>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</si>
  <si>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</si>
  <si>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</si>
  <si>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</si>
  <si>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</si>
  <si>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</si>
  <si>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</si>
  <si>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</si>
  <si>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</si>
  <si>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</si>
  <si>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</si>
  <si>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</si>
  <si>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</si>
  <si>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</si>
  <si>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</si>
  <si>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</si>
  <si>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</si>
  <si>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</si>
  <si>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</si>
  <si>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</si>
  <si>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</si>
  <si>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</si>
  <si>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</si>
  <si>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</si>
  <si>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</si>
  <si>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</si>
  <si>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</si>
  <si>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</si>
  <si>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</si>
  <si>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</si>
  <si>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</si>
  <si>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</si>
  <si>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</si>
  <si>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</si>
  <si>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</si>
  <si>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</si>
  <si>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</si>
  <si>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</si>
  <si>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</si>
  <si>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</si>
  <si>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</si>
  <si>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</si>
  <si>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</si>
  <si>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</si>
  <si>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</si>
  <si>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</si>
  <si>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</si>
  <si>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</si>
  <si>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</si>
  <si>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</si>
  <si>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</si>
  <si>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</si>
  <si>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</si>
  <si>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</si>
  <si>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</si>
  <si>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</si>
  <si>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</si>
  <si>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</si>
  <si>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</si>
  <si>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</si>
  <si>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</si>
  <si>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</si>
  <si>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</si>
  <si>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</si>
  <si>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</si>
  <si>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</si>
  <si>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</si>
  <si>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</si>
  <si>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</si>
  <si>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</si>
  <si>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</si>
  <si>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</si>
  <si>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</si>
  <si>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</si>
  <si>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</si>
  <si>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</si>
  <si>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</si>
  <si>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</si>
  <si>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</si>
  <si>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</si>
  <si>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</si>
  <si>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</si>
  <si>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</si>
  <si>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</si>
  <si>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</si>
  <si>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</si>
  <si>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</si>
  <si>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</si>
  <si>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</si>
  <si>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</si>
  <si>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</si>
  <si>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</si>
  <si>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</si>
  <si>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</si>
  <si>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</si>
  <si>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</si>
  <si>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</si>
  <si>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</si>
  <si>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</si>
  <si>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</si>
  <si>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</si>
  <si>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</si>
  <si>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</si>
  <si>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</si>
  <si>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</si>
  <si>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</si>
  <si>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</si>
  <si>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</si>
  <si>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</si>
  <si>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</si>
  <si>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</si>
  <si>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</si>
  <si>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</si>
  <si>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</si>
  <si>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</si>
  <si>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</si>
  <si>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</si>
  <si>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</si>
  <si>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</si>
  <si>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</si>
  <si>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</si>
  <si>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</si>
  <si>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</si>
  <si>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</si>
  <si>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</si>
  <si>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</si>
  <si>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</si>
  <si>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</si>
  <si>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</si>
  <si>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</si>
  <si>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</si>
  <si>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</si>
  <si>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</si>
  <si>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</si>
  <si>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</si>
  <si>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</si>
  <si>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</si>
  <si>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</si>
  <si>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</si>
  <si>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</si>
  <si>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</si>
  <si>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</si>
  <si>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</si>
  <si>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</si>
  <si>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</si>
  <si>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</si>
  <si>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</si>
  <si>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</si>
  <si>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</si>
  <si>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</si>
  <si>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</si>
  <si>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</si>
  <si>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</si>
  <si>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</si>
  <si>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</si>
  <si>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</si>
  <si>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</si>
  <si>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</si>
  <si>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</si>
  <si>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</si>
  <si>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</si>
  <si>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</si>
  <si>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</si>
  <si>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</si>
  <si>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</si>
  <si>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</si>
  <si>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</si>
  <si>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</si>
  <si>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</si>
  <si>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</si>
  <si>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</si>
  <si>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</si>
  <si>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</si>
  <si>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</si>
  <si>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</si>
  <si>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</si>
  <si>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</si>
  <si>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</si>
  <si>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</si>
  <si>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</si>
  <si>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</si>
  <si>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</si>
  <si>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</si>
  <si>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</si>
  <si>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</si>
  <si>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</si>
  <si>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</si>
  <si>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</si>
  <si>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</si>
  <si>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</si>
  <si>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</si>
  <si>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</si>
  <si>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</si>
  <si>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</si>
  <si>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</si>
  <si>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</si>
  <si>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</si>
  <si>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</si>
  <si>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</si>
  <si>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</si>
  <si>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</si>
  <si>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</si>
  <si>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</si>
  <si>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</si>
  <si>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</si>
  <si>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</si>
  <si>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</si>
  <si>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</si>
  <si>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</si>
  <si>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</si>
  <si>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</si>
  <si>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</si>
  <si>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</si>
  <si>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</si>
  <si>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</si>
  <si>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</si>
  <si>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</si>
  <si>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</si>
  <si>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</si>
  <si>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</si>
  <si>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</si>
  <si>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</si>
  <si>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</si>
  <si>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</si>
  <si>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</si>
  <si>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</si>
  <si>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</si>
  <si>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</si>
  <si>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</si>
  <si>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</si>
  <si>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</si>
  <si>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</si>
  <si>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</si>
  <si>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</si>
  <si>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</si>
  <si>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</si>
  <si>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</si>
  <si>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</si>
  <si>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</si>
  <si>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</si>
  <si>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</si>
  <si>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</si>
  <si>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</si>
  <si>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</si>
  <si>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</si>
  <si>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</si>
  <si>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</si>
  <si>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</si>
  <si>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</si>
  <si>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</si>
  <si>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</si>
  <si>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</si>
  <si>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</si>
  <si>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</si>
  <si>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</si>
  <si>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</si>
  <si>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</si>
  <si>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</si>
  <si>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</si>
  <si>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</si>
  <si>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</si>
  <si>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</si>
  <si>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</si>
  <si>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</si>
  <si>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</si>
  <si>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</si>
  <si>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</si>
  <si>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</si>
  <si>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</si>
  <si>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</si>
  <si>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</si>
  <si>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</si>
  <si>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</si>
  <si>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</si>
  <si>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</si>
  <si>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</si>
  <si>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</si>
  <si>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</si>
  <si>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</si>
  <si>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</si>
  <si>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</si>
  <si>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</si>
  <si>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</si>
  <si>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</si>
  <si>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</si>
  <si>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</si>
  <si>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</si>
  <si>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</si>
  <si>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</si>
  <si>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</si>
  <si>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</si>
  <si>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</si>
  <si>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</si>
  <si>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</si>
  <si>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</si>
  <si>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</si>
  <si>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</si>
  <si>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</si>
  <si>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</si>
  <si>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</si>
  <si>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</si>
  <si>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</si>
  <si>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</si>
  <si>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</si>
  <si>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</si>
  <si>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</si>
  <si>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</si>
  <si>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</si>
  <si>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</si>
  <si>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</si>
  <si>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</si>
  <si>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</si>
  <si>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</si>
  <si>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</si>
  <si>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</si>
  <si>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</si>
  <si>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</si>
  <si>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</si>
  <si>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</si>
  <si>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</si>
  <si>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</si>
  <si>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</si>
  <si>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</si>
  <si>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</si>
  <si>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</si>
  <si>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</si>
  <si>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</si>
  <si>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</si>
  <si>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</si>
  <si>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</si>
  <si>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</si>
  <si>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</si>
  <si>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</si>
  <si>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</si>
  <si>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</si>
  <si>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</si>
  <si>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</si>
  <si>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</si>
  <si>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</si>
  <si>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</si>
  <si>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</si>
  <si>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</si>
  <si>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</si>
  <si>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</si>
  <si>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</si>
  <si>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</si>
  <si>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</si>
  <si>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</si>
  <si>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</si>
  <si>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</si>
  <si>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</si>
  <si>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</si>
  <si>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</si>
  <si>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</si>
  <si>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</si>
  <si>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</si>
  <si>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</si>
  <si>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</si>
  <si>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</si>
  <si>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</si>
  <si>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</si>
  <si>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</si>
  <si>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</si>
  <si>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</si>
  <si>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</si>
  <si>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</si>
  <si>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</si>
  <si>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</si>
  <si>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</si>
  <si>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</si>
  <si>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</si>
  <si>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</si>
  <si>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</si>
  <si>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</si>
  <si>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</si>
  <si>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</si>
  <si>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</si>
  <si>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</si>
  <si>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</si>
  <si>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</si>
  <si>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</si>
  <si>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</si>
  <si>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</si>
  <si>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</si>
  <si>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</si>
  <si>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</si>
  <si>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</si>
  <si>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</si>
  <si>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</si>
  <si>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</si>
  <si>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</si>
  <si>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</si>
  <si>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</si>
  <si>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</si>
  <si>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</si>
  <si>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</si>
  <si>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</si>
  <si>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</si>
  <si>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</si>
  <si>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</si>
  <si>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</si>
  <si>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</si>
  <si>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</si>
  <si>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</si>
  <si>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土地用途</t>
    <phoneticPr fontId="228" type="noConversion"/>
  </si>
  <si>
    <t>批发零售</t>
    <phoneticPr fontId="228" type="noConversion"/>
  </si>
  <si>
    <t>总价</t>
    <phoneticPr fontId="228" type="noConversion"/>
  </si>
  <si>
    <t>五通</t>
    <phoneticPr fontId="228" type="noConversion"/>
  </si>
  <si>
    <t>容积率</t>
    <phoneticPr fontId="228" type="noConversion"/>
  </si>
  <si>
    <t>建筑面积</t>
    <phoneticPr fontId="228" type="noConversion"/>
  </si>
  <si>
    <t>通平</t>
    <phoneticPr fontId="228" type="noConversion"/>
  </si>
  <si>
    <t>抵押价格</t>
  </si>
  <si>
    <t>其他：</t>
  </si>
  <si>
    <t>企业</t>
  </si>
  <si>
    <t>商业</t>
  </si>
  <si>
    <t>地面单价</t>
    <phoneticPr fontId="228" type="noConversion"/>
  </si>
  <si>
    <t>楼面单价</t>
    <phoneticPr fontId="228" type="noConversion"/>
  </si>
  <si>
    <t>土地终止日期</t>
    <phoneticPr fontId="228"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</si>
  <si>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</si>
  <si>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</si>
  <si>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</si>
  <si>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</si>
  <si>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</si>
  <si>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</si>
  <si>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</si>
  <si>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</si>
  <si>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</si>
  <si>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</si>
  <si>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</si>
  <si>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</si>
  <si>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</si>
  <si>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</si>
  <si>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</si>
  <si>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</si>
  <si>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板湖镇板湖居委会</t>
  </si>
  <si>
    <t>盐城市</t>
  </si>
  <si>
    <t>商业/办公用地</t>
  </si>
  <si>
    <t>小于或等于2.5</t>
  </si>
  <si>
    <t>挂牌</t>
  </si>
  <si>
    <t>零售商业用地</t>
  </si>
  <si>
    <t>2021-01-13</t>
  </si>
  <si>
    <t>阜宁县富兴达建设投资有限公司</t>
  </si>
  <si>
    <t>1星</t>
  </si>
  <si>
    <t>板湖镇渠东</t>
  </si>
  <si>
    <t>大于或等于1.5并且小于或等于2.5</t>
  </si>
  <si>
    <t>2020-07-30</t>
  </si>
  <si>
    <t>小于或等于1</t>
  </si>
  <si>
    <t>2019-09-11</t>
  </si>
  <si>
    <t>江苏瑞天置业有限公司</t>
  </si>
  <si>
    <t>成交地面价(元/㎡)</t>
    <phoneticPr fontId="228" type="noConversion"/>
  </si>
  <si>
    <t>亩</t>
    <phoneticPr fontId="228" type="noConversion"/>
  </si>
  <si>
    <t>单位面积地价</t>
  </si>
  <si>
    <t>地上</t>
  </si>
  <si>
    <t>商业</t>
    <phoneticPr fontId="7" type="noConversion"/>
  </si>
  <si>
    <t>利息：取LPR加浮动点数</t>
  </si>
  <si>
    <t>土地（套用方法）</t>
  </si>
  <si>
    <t>押一</t>
  </si>
  <si>
    <t>按租金收入计税</t>
  </si>
  <si>
    <t>钢混</t>
  </si>
  <si>
    <t>不动产收益法</t>
  </si>
  <si>
    <t>正常</t>
  </si>
  <si>
    <t>剩余法-待开发</t>
  </si>
  <si>
    <t>比较法-住宅、综合</t>
  </si>
  <si>
    <t>一般</t>
  </si>
  <si>
    <t>较差</t>
  </si>
  <si>
    <t>较好</t>
  </si>
  <si>
    <t>拿地时间</t>
    <phoneticPr fontId="228" type="noConversion"/>
  </si>
  <si>
    <t>涨幅</t>
    <phoneticPr fontId="228" type="noConversion"/>
  </si>
  <si>
    <t>评估值</t>
    <phoneticPr fontId="228" type="noConversion"/>
  </si>
  <si>
    <t>情况3</t>
  </si>
  <si>
    <t>自行开发建设</t>
  </si>
  <si>
    <t>非个人房产</t>
  </si>
  <si>
    <t>出让金+开发费</t>
  </si>
  <si>
    <t>评估值</t>
    <phoneticPr fontId="228" type="noConversion"/>
  </si>
  <si>
    <t>净值</t>
    <phoneticPr fontId="228" type="noConversion"/>
  </si>
  <si>
    <t>亩</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</si>
</sst>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5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4" fontId="0" fillId="0" borderId="0" xfId="0" applyNumberFormat="1">
      <alignment vertical="center"/>
    </xf>
    <xf numFmtId="0" fontId="164" fillId="0" borderId="0" xfId="0" applyFont="1" applyAlignment="1">
      <alignment horizontal="center"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出让国有建设用地使用权抵押价格预评估</v>
      </c>
      <c r="AX2" s="2614"/>
      <c r="AZ2" s="2614"/>
      <c r="BA2" s="2615"/>
      <c r="BC2" s="2615"/>
    </row>
    <row r="3" spans="1:55" s="2616" customFormat="1">
      <c r="A3" s="2595" t="s">
        <v>2641</v>
      </c>
      <c r="B3" s="2598">
        <f>'预评函-封皮'!B40</f>
        <v>0</v>
      </c>
    </row>
    <row r="4" spans="1:55" s="2597" customFormat="1">
      <c r="A4" s="2595" t="s">
        <v>2642</v>
      </c>
      <c r="B4" s="2596" t="str">
        <f>'预评函-封皮'!B46</f>
        <v>土地估价师、土地估价师</v>
      </c>
      <c r="N4" s="2597" t="str">
        <f>'预评函-1'!A28</f>
        <v>本次估价的“抵押净值”是指估价对象“抵押价格”减去估价对象在估价期日以“土地销售收入”为基数计算的预计抵押权实现进行处置时需缴纳的各项费用、税金等相关费用后的价格。</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受贵公司委托，我公司对出让国有建设用地使用权抵押价格进行了预评估。</v>
      </c>
      <c r="AM6" s="2620"/>
    </row>
    <row r="7" spans="1:55" s="2594" customFormat="1">
      <c r="A7" s="2595" t="s">
        <v>2637</v>
      </c>
      <c r="B7" s="2596" t="str">
        <f>'预评函-1'!A6</f>
        <v>估价对象为使用的、位于出让国有建设用地使用权。根据《国有土地使用证》[]，估价对象（分摊）出让国有建设用地使用权面积为134204平方米。根据《建设工程规划许可证》[]、《出让合同》[]，估价对象规划建筑面积为335510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2021年6月22日（评估专业人员勘察现场之日）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根据《国有土地使用证》[]，估价对象（分摊）出让国有建设用地使用权面积为134204平方米。根据《建设工程规划许可证》[]、《出让合同》[]，估价对象规划建筑面积为335510平方米。</v>
      </c>
    </row>
    <row r="16" spans="1:55" s="2594" customFormat="1">
      <c r="A16" s="2595" t="s">
        <v>2649</v>
      </c>
      <c r="B16" s="259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2月5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6月22日，在规划利用条件下、设定土地开发程度为红线外“七通”、宗地内场地，设定用途为，剩余土地使用年限为的出让国有建设用地使用权价格。</v>
      </c>
    </row>
    <row r="19" spans="1:48" s="2594" customFormat="1">
      <c r="A19" s="2595" t="s">
        <v>2652</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2653</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2654</v>
      </c>
      <c r="B21" s="26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6" t="s">
        <v>2655</v>
      </c>
      <c r="B22" s="260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估价期日：2021年6月22日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134204</v>
      </c>
    </row>
    <row r="44" spans="1:2">
      <c r="A44" s="2595" t="s">
        <v>2720</v>
      </c>
      <c r="B44" s="2596" t="str">
        <f>'预评函-2'!O3</f>
        <v>规划建筑面积/㎡</v>
      </c>
    </row>
    <row r="45" spans="1:2">
      <c r="A45" s="2595" t="s">
        <v>2702</v>
      </c>
      <c r="B45" s="2596">
        <f>'预评函-2'!O5</f>
        <v>335510</v>
      </c>
    </row>
    <row r="46" spans="1:2">
      <c r="A46" s="2595" t="s">
        <v>2703</v>
      </c>
      <c r="B46" s="2596">
        <f ca="1">'预评函-2'!P5</f>
        <v>926</v>
      </c>
    </row>
    <row r="47" spans="1:2">
      <c r="A47" s="2595" t="s">
        <v>2704</v>
      </c>
      <c r="B47" s="2596">
        <f ca="1">'预评函-2'!Q5</f>
        <v>370</v>
      </c>
    </row>
    <row r="48" spans="1:2">
      <c r="A48" s="2595" t="s">
        <v>2705</v>
      </c>
      <c r="B48" s="2596">
        <f ca="1">'预评函-2'!R5</f>
        <v>12422</v>
      </c>
    </row>
    <row r="49" spans="1:2">
      <c r="A49" s="2595" t="s">
        <v>2721</v>
      </c>
      <c r="B49" s="2596" t="str">
        <f>'预评函-2'!A6</f>
        <v>抵押价格</v>
      </c>
    </row>
    <row r="50" spans="1:2">
      <c r="A50" s="2595" t="s">
        <v>2706</v>
      </c>
      <c r="B50" s="2596">
        <f ca="1">'预评函-2'!R6</f>
        <v>12422</v>
      </c>
    </row>
    <row r="51" spans="1:2">
      <c r="A51" s="2595" t="s">
        <v>2722</v>
      </c>
      <c r="B51" s="2596" t="str">
        <f>'预评函-2'!A7</f>
        <v>——</v>
      </c>
    </row>
    <row r="52" spans="1:2">
      <c r="A52" s="2595" t="s">
        <v>2707</v>
      </c>
      <c r="B52" s="2596" t="str">
        <f>'预评函-2'!R7</f>
        <v>——</v>
      </c>
    </row>
    <row r="53" spans="1:2">
      <c r="A53" s="2595" t="s">
        <v>2723</v>
      </c>
      <c r="B53" s="2596" t="str">
        <f>'预评函-2'!A8</f>
        <v>抵押净值</v>
      </c>
    </row>
    <row r="54" spans="1:2" s="2610" customFormat="1" ht="15" thickBot="1">
      <c r="A54" s="2617" t="s">
        <v>2708</v>
      </c>
      <c r="B54" s="2618">
        <f ca="1">'预评函-2'!R8</f>
        <v>10510</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土地估价师</v>
      </c>
    </row>
    <row r="70" spans="1:2">
      <c r="A70" s="2595" t="s">
        <v>2670</v>
      </c>
      <c r="B70" s="2602">
        <f>'预评函-3'!B20</f>
        <v>0</v>
      </c>
    </row>
    <row r="71" spans="1:2">
      <c r="A71" s="2595" t="s">
        <v>2671</v>
      </c>
      <c r="B71" s="2596" t="str">
        <f>'预评函-3'!A21</f>
        <v>土地估价师</v>
      </c>
    </row>
    <row r="72" spans="1:2" s="2610" customFormat="1" ht="15" thickBot="1">
      <c r="A72" s="2617" t="s">
        <v>2671</v>
      </c>
      <c r="B72" s="2623">
        <f>'预评函-3'!B21</f>
        <v>0</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9" sqref="E9"/>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5" t="str">
        <f>IF(B10="北京市","北京市",C10)&amp;F10&amp;B16&amp;"国有建设用地使用权"&amp;B9&amp;"预评估"</f>
        <v>出让国有建设用地使用权抵押价格预评估</v>
      </c>
      <c r="C1" s="3336"/>
      <c r="D1" s="3336"/>
      <c r="E1" s="3336"/>
      <c r="F1" s="3336"/>
      <c r="G1" s="3336"/>
      <c r="H1" s="3336"/>
      <c r="I1" s="3337"/>
      <c r="J1" s="3073"/>
      <c r="K1" s="2310" t="str">
        <f>IF(B10="北京市","北京市",C10)&amp;F10&amp;B16&amp;"国有建设用地使用权"&amp;B9</f>
        <v>出让国有建设用地使用权抵押价格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出让国有建设用地使用权</v>
      </c>
      <c r="L2" s="3052"/>
      <c r="M2" s="3052"/>
      <c r="N2" s="3053"/>
      <c r="O2" s="3054"/>
      <c r="P2" s="3053"/>
      <c r="Q2" s="3053"/>
      <c r="R2" s="3053"/>
      <c r="S2" s="3053"/>
      <c r="T2" s="3053"/>
      <c r="U2" s="3053"/>
    </row>
    <row r="3" spans="1:21">
      <c r="A3" s="1588" t="s">
        <v>1928</v>
      </c>
      <c r="B3" s="1589">
        <v>44369</v>
      </c>
      <c r="C3" s="2996" t="s">
        <v>1984</v>
      </c>
      <c r="D3" s="1589">
        <f>B3</f>
        <v>44369</v>
      </c>
      <c r="E3" s="3073"/>
      <c r="F3" s="3073"/>
      <c r="G3" s="3073"/>
      <c r="H3" s="3074"/>
      <c r="I3" s="3075"/>
      <c r="J3" s="3073"/>
      <c r="K3" s="3056"/>
      <c r="L3" s="3052"/>
      <c r="M3" s="3052"/>
      <c r="N3" s="3053"/>
      <c r="O3" s="3054"/>
      <c r="P3" s="3053"/>
      <c r="Q3" s="3053"/>
      <c r="R3" s="3053"/>
      <c r="S3" s="3053"/>
      <c r="T3" s="3053"/>
      <c r="U3" s="3053"/>
    </row>
    <row r="4" spans="1:21" ht="29.25" thickBot="1">
      <c r="A4" s="1591" t="s">
        <v>1929</v>
      </c>
      <c r="B4" s="1756" t="s">
        <v>2867</v>
      </c>
      <c r="C4" s="1759">
        <f>SUMIF(土地估价师,B4,估价师及机构信息!E3:E16)</f>
        <v>0</v>
      </c>
      <c r="D4" s="1756" t="s">
        <v>2867</v>
      </c>
      <c r="E4" s="1759">
        <f>SUMIF(土地估价师,D4,估价师及机构信息!E3:E16)</f>
        <v>0</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2956</v>
      </c>
      <c r="C8" s="1598"/>
      <c r="D8" s="3341" t="s">
        <v>1933</v>
      </c>
      <c r="E8" s="1757" t="s">
        <v>3012</v>
      </c>
      <c r="F8" s="1599"/>
      <c r="G8" s="3074"/>
      <c r="H8" s="3074"/>
      <c r="I8" s="3077"/>
      <c r="J8" s="3073"/>
      <c r="K8" s="3056"/>
      <c r="L8" s="3052"/>
      <c r="M8" s="3052"/>
      <c r="N8" s="3053"/>
      <c r="O8" s="3054"/>
      <c r="P8" s="3053"/>
      <c r="Q8" s="3053"/>
      <c r="R8" s="3053"/>
      <c r="S8" s="3053"/>
      <c r="T8" s="3053"/>
      <c r="U8" s="3053"/>
    </row>
    <row r="9" spans="1:21" ht="15" thickBot="1">
      <c r="A9" s="2998" t="s">
        <v>1932</v>
      </c>
      <c r="B9" s="1600" t="s">
        <v>3012</v>
      </c>
      <c r="C9" s="1601"/>
      <c r="D9" s="3342"/>
      <c r="E9" s="1600" t="s">
        <v>2833</v>
      </c>
      <c r="F9" s="1664"/>
      <c r="G9" s="3078"/>
      <c r="H9" s="3078"/>
      <c r="I9" s="3079"/>
      <c r="J9" s="3073"/>
      <c r="K9" s="3056"/>
      <c r="L9" s="3052"/>
      <c r="M9" s="3052"/>
      <c r="N9" s="3053"/>
      <c r="O9" s="3054"/>
      <c r="P9" s="3053"/>
      <c r="Q9" s="3053"/>
      <c r="R9" s="3053"/>
      <c r="S9" s="3053"/>
      <c r="T9" s="3053"/>
      <c r="U9" s="3053"/>
    </row>
    <row r="10" spans="1:21" ht="15" thickTop="1">
      <c r="A10" s="2999" t="s">
        <v>1988</v>
      </c>
      <c r="B10" s="1640" t="s">
        <v>3013</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3014</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8"/>
      <c r="C12" s="3339"/>
      <c r="D12" s="3340"/>
      <c r="E12" s="1620" t="s">
        <v>2050</v>
      </c>
      <c r="F12" s="3356" t="s">
        <v>2868</v>
      </c>
      <c r="G12" s="3357"/>
      <c r="H12" s="3357"/>
      <c r="I12" s="3358"/>
      <c r="J12" s="3073"/>
      <c r="K12" s="3056"/>
      <c r="L12" s="3052"/>
      <c r="M12" s="3052"/>
      <c r="N12" s="3053"/>
      <c r="O12" s="3054"/>
      <c r="P12" s="3053"/>
      <c r="Q12" s="3053"/>
      <c r="R12" s="3053"/>
      <c r="S12" s="3053"/>
      <c r="T12" s="3053"/>
      <c r="U12" s="3053"/>
    </row>
    <row r="13" spans="1:21">
      <c r="A13" s="1611" t="s">
        <v>2048</v>
      </c>
      <c r="B13" s="3338"/>
      <c r="C13" s="3339"/>
      <c r="D13" s="3340"/>
      <c r="E13" s="1620" t="s">
        <v>2050</v>
      </c>
      <c r="F13" s="3356" t="s">
        <v>2869</v>
      </c>
      <c r="G13" s="3357"/>
      <c r="H13" s="3357"/>
      <c r="I13" s="3358"/>
      <c r="J13" s="3073"/>
      <c r="K13" s="3056"/>
      <c r="L13" s="3052"/>
      <c r="M13" s="3052"/>
      <c r="N13" s="3053"/>
      <c r="O13" s="3054"/>
      <c r="P13" s="3053"/>
      <c r="Q13" s="3053"/>
      <c r="R13" s="3053"/>
      <c r="S13" s="3053"/>
      <c r="T13" s="3053"/>
      <c r="U13" s="3053"/>
    </row>
    <row r="14" spans="1:21">
      <c r="A14" s="1588" t="s">
        <v>2051</v>
      </c>
      <c r="B14" s="1620"/>
      <c r="C14" s="1758"/>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28.5">
      <c r="A16" s="3001" t="s">
        <v>1936</v>
      </c>
      <c r="B16" s="1606" t="s">
        <v>2951</v>
      </c>
      <c r="C16" s="1620" t="s">
        <v>1937</v>
      </c>
      <c r="D16" s="2488" t="s">
        <v>1938</v>
      </c>
      <c r="E16" s="1643" t="s">
        <v>3015</v>
      </c>
      <c r="F16" s="1643"/>
      <c r="G16" s="1643"/>
      <c r="H16" s="1643"/>
      <c r="I16" s="1610" t="s">
        <v>1943</v>
      </c>
      <c r="J16" s="3073"/>
      <c r="K16" s="2311" t="str">
        <f>IF(D17="","",D16&amp;TEXT(D17,"yyyy年m月d日;;"))</f>
        <v/>
      </c>
      <c r="L16" s="1620" t="str">
        <f>IF(OR(K16="",M16=""),"","、")</f>
        <v/>
      </c>
      <c r="M16" s="2311" t="str">
        <f>IF(E17="","",E16&amp;TEXT(E17,"yyyy年m月d日;;"))</f>
        <v>商业2060年2月5日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58476</v>
      </c>
      <c r="F17" s="1621"/>
      <c r="G17" s="1621"/>
      <c r="H17" s="1621"/>
      <c r="I17" s="1621"/>
      <c r="J17" s="3073"/>
      <c r="K17" s="3051" t="str">
        <f>CONCATENATE(K16,L16,M16,N16,O16,P16,Q16,R16,S16,T16,,U16)</f>
        <v>商业2060年2月5日</v>
      </c>
      <c r="L17" s="3052"/>
      <c r="M17" s="3052"/>
      <c r="N17" s="3053"/>
      <c r="O17" s="3054"/>
      <c r="P17" s="3053"/>
      <c r="Q17" s="3053"/>
      <c r="R17" s="3053"/>
      <c r="S17" s="3053"/>
      <c r="T17" s="3053"/>
      <c r="U17" s="3053"/>
    </row>
    <row r="18" spans="1:21">
      <c r="A18" s="1680"/>
      <c r="B18" s="1607"/>
      <c r="C18" s="3002" t="s">
        <v>1945</v>
      </c>
      <c r="D18" s="1608"/>
      <c r="E18" s="1608">
        <v>40</v>
      </c>
      <c r="F18" s="1608"/>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38.64</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53"/>
      <c r="E20" s="3354"/>
      <c r="F20" s="3354"/>
      <c r="G20" s="3354"/>
      <c r="H20" s="3354"/>
      <c r="I20" s="3355"/>
      <c r="J20" s="3073"/>
      <c r="K20" s="3056"/>
      <c r="L20" s="3052"/>
      <c r="M20" s="3052"/>
      <c r="N20" s="3053"/>
      <c r="O20" s="3054"/>
      <c r="P20" s="3053"/>
      <c r="Q20" s="3053"/>
      <c r="R20" s="3053"/>
      <c r="S20" s="3053"/>
      <c r="T20" s="3053"/>
      <c r="U20" s="3053"/>
    </row>
    <row r="21" spans="1:21">
      <c r="A21" s="1680" t="s">
        <v>1947</v>
      </c>
      <c r="B21" s="1681" t="s">
        <v>1948</v>
      </c>
      <c r="C21" s="1676">
        <f>'数据-汇总表'!E3</f>
        <v>335510</v>
      </c>
      <c r="D21" s="1677" t="s">
        <v>1949</v>
      </c>
      <c r="E21" s="3343" t="s">
        <v>1987</v>
      </c>
      <c r="F21" s="3344"/>
      <c r="G21" s="3344"/>
      <c r="H21" s="3344"/>
      <c r="I21" s="3345"/>
      <c r="J21" s="3073"/>
      <c r="K21" s="3056"/>
      <c r="L21" s="3052"/>
      <c r="M21" s="3052"/>
      <c r="N21" s="3053"/>
      <c r="O21" s="3054"/>
      <c r="P21" s="3053"/>
      <c r="Q21" s="3053"/>
      <c r="R21" s="3053"/>
      <c r="S21" s="3053"/>
      <c r="T21" s="3053"/>
      <c r="U21" s="3053"/>
    </row>
    <row r="22" spans="1:21">
      <c r="A22" s="2801" t="s">
        <v>943</v>
      </c>
      <c r="B22" s="1588" t="s">
        <v>1950</v>
      </c>
      <c r="C22" s="1610">
        <f>'数据-汇总表'!D3</f>
        <v>134204</v>
      </c>
      <c r="D22" s="1611" t="s">
        <v>1949</v>
      </c>
      <c r="E22" s="3343" t="s">
        <v>2870</v>
      </c>
      <c r="F22" s="3344"/>
      <c r="G22" s="3344"/>
      <c r="H22" s="3344"/>
      <c r="I22" s="3345"/>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6" t="s">
        <v>1955</v>
      </c>
      <c r="C24" s="3347"/>
      <c r="D24" s="3348" t="s">
        <v>1956</v>
      </c>
      <c r="E24" s="3349"/>
      <c r="F24" s="1629" t="s">
        <v>1957</v>
      </c>
      <c r="G24" s="3073"/>
      <c r="H24" s="3073"/>
      <c r="I24" s="3077"/>
      <c r="J24" s="3073"/>
      <c r="K24" s="3334"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4"/>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4"/>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20" t="s">
        <v>1990</v>
      </c>
      <c r="B31" s="1681" t="s">
        <v>1991</v>
      </c>
      <c r="C31" s="3359"/>
      <c r="D31" s="3360"/>
      <c r="E31" s="3073"/>
      <c r="F31" s="3073"/>
      <c r="G31" s="3073"/>
      <c r="H31" s="3073"/>
      <c r="I31" s="3077"/>
      <c r="J31" s="3073"/>
      <c r="K31" s="3059"/>
      <c r="L31" s="3053"/>
      <c r="M31" s="3053"/>
      <c r="N31" s="3053"/>
      <c r="O31" s="3053"/>
      <c r="P31" s="3053"/>
      <c r="Q31" s="3053"/>
      <c r="R31" s="3053"/>
      <c r="S31" s="3053"/>
      <c r="T31" s="3053"/>
      <c r="U31" s="3053"/>
    </row>
    <row r="32" spans="1:21">
      <c r="A32" s="3320"/>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20"/>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21"/>
      <c r="B34" s="1588" t="s">
        <v>1994</v>
      </c>
      <c r="C34" s="3322"/>
      <c r="D34" s="3323"/>
      <c r="E34" s="3073"/>
      <c r="F34" s="3073"/>
      <c r="G34" s="3073"/>
      <c r="H34" s="3073"/>
      <c r="I34" s="3077"/>
      <c r="J34" s="3073"/>
      <c r="K34" s="3059"/>
      <c r="L34" s="3053"/>
      <c r="M34" s="3053"/>
      <c r="N34" s="3053"/>
      <c r="O34" s="3053"/>
      <c r="P34" s="3053"/>
      <c r="Q34" s="3053"/>
      <c r="R34" s="3053"/>
      <c r="S34" s="3053"/>
      <c r="T34" s="3053"/>
      <c r="U34" s="3053"/>
    </row>
    <row r="35" spans="1:28">
      <c r="A35" s="3324" t="s">
        <v>839</v>
      </c>
      <c r="B35" s="1643"/>
      <c r="C35" s="1690" t="str">
        <f>IF(B35="场地平整","——","具体情况：")</f>
        <v>具体情况：</v>
      </c>
      <c r="D35" s="3326"/>
      <c r="E35" s="3327"/>
      <c r="F35" s="3327"/>
      <c r="G35" s="3327"/>
      <c r="H35" s="3327"/>
      <c r="I35" s="3328"/>
      <c r="J35" s="3073"/>
      <c r="K35" s="3060"/>
      <c r="L35" s="3052"/>
      <c r="M35" s="3052"/>
      <c r="N35" s="3053"/>
      <c r="O35" s="3054"/>
      <c r="P35" s="3053"/>
      <c r="Q35" s="3053"/>
      <c r="R35" s="3053"/>
      <c r="S35" s="3053"/>
      <c r="T35" s="3053"/>
      <c r="U35" s="3053"/>
    </row>
    <row r="36" spans="1:28">
      <c r="A36" s="3320"/>
      <c r="B36" s="3329" t="s">
        <v>2043</v>
      </c>
      <c r="C36" s="3330"/>
      <c r="D36" s="1706"/>
      <c r="E36" s="3331"/>
      <c r="F36" s="3331"/>
      <c r="G36" s="1611" t="str">
        <f>IF(B35="场地未平整","估价结果处理","")</f>
        <v/>
      </c>
      <c r="H36" s="3332"/>
      <c r="I36" s="3332"/>
      <c r="J36" s="3073"/>
      <c r="K36" s="3060"/>
      <c r="L36" s="3052"/>
      <c r="M36" s="3052"/>
      <c r="N36" s="3053"/>
      <c r="O36" s="3054"/>
      <c r="P36" s="3053"/>
      <c r="Q36" s="3053"/>
      <c r="R36" s="3053"/>
      <c r="S36" s="3053"/>
      <c r="T36" s="3053"/>
      <c r="U36" s="3053"/>
    </row>
    <row r="37" spans="1:28" ht="28.5">
      <c r="A37" s="3320"/>
      <c r="B37" s="3350"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20"/>
      <c r="B38" s="3351"/>
      <c r="C38" s="1596" t="s">
        <v>842</v>
      </c>
      <c r="D38" s="1705">
        <f>ROUNDDOWN(MIN(('数据-取费表'!$B$2-D37)/365,D34),1)</f>
        <v>121.5</v>
      </c>
      <c r="E38" s="1648" t="s">
        <v>843</v>
      </c>
      <c r="F38" s="3073"/>
      <c r="G38" s="3073"/>
      <c r="H38" s="3073"/>
      <c r="I38" s="3077"/>
      <c r="J38" s="3073"/>
      <c r="K38" s="3060"/>
      <c r="L38" s="3053"/>
      <c r="M38" s="3053"/>
      <c r="N38" s="3053"/>
      <c r="O38" s="3053"/>
      <c r="P38" s="3053"/>
      <c r="Q38" s="3053"/>
      <c r="R38" s="3053"/>
      <c r="S38" s="3053"/>
      <c r="T38" s="3053"/>
      <c r="U38" s="3053"/>
    </row>
    <row r="39" spans="1:28">
      <c r="A39" s="3321"/>
      <c r="B39" s="3352"/>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c r="C40" s="1612"/>
      <c r="D40" s="1612"/>
      <c r="E40" s="1612"/>
      <c r="F40" s="1612"/>
      <c r="G40" s="1612"/>
      <c r="H40" s="1612"/>
      <c r="I40" s="3077"/>
      <c r="J40" s="3073"/>
      <c r="K40" s="3021">
        <f>COUNTIF(B40:H40,"——")</f>
        <v>0</v>
      </c>
      <c r="L40" s="1620" t="s">
        <v>1967</v>
      </c>
      <c r="M40" s="1617" t="s">
        <v>1968</v>
      </c>
      <c r="N40" s="1617" t="s">
        <v>1969</v>
      </c>
      <c r="O40" s="1617" t="s">
        <v>1970</v>
      </c>
      <c r="P40" s="1617" t="s">
        <v>1971</v>
      </c>
      <c r="Q40" s="1617" t="s">
        <v>1972</v>
      </c>
      <c r="R40" s="1617" t="s">
        <v>1973</v>
      </c>
      <c r="S40" s="3333" t="s">
        <v>1974</v>
      </c>
      <c r="T40" s="1652" t="str">
        <f>NUMBERSTRING(7-K40,1)&amp;"通"</f>
        <v>七通</v>
      </c>
      <c r="U40" s="3053"/>
    </row>
    <row r="41" spans="1:28">
      <c r="A41" s="1590"/>
      <c r="B41" s="3325" t="s">
        <v>1712</v>
      </c>
      <c r="C41" s="3325"/>
      <c r="D41" s="3325"/>
      <c r="E41" s="3325"/>
      <c r="F41" s="1653">
        <f>C10</f>
        <v>0</v>
      </c>
      <c r="G41" s="3073"/>
      <c r="H41" s="3073"/>
      <c r="I41" s="3077"/>
      <c r="J41" s="3073"/>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33"/>
      <c r="T41" s="1654" t="str">
        <f>IF(T40="一通",L41,IF(T40="二通",M41,IF(T40="三通",N41,IF(T40="四通",O41,IF(T40="五通",P41,IF(T40="六通",Q41,R41))))))</f>
        <v>、、、、、、</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c r="C43" s="1658"/>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c r="C44" s="1658"/>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2871</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5C9A7-7A09-4C96-9674-FDFFB914A9DF}">
  <dimension ref="A1:L6"/>
  <sheetViews>
    <sheetView workbookViewId="0">
      <selection activeCell="H17" sqref="H17"/>
    </sheetView>
  </sheetViews>
  <sheetFormatPr defaultRowHeight="13.5"/>
  <cols>
    <col min="7" max="7" width="9.5" bestFit="1" customWidth="1"/>
  </cols>
  <sheetData>
    <row r="1" spans="1:12">
      <c r="A1" s="3248" t="s">
        <v>2918</v>
      </c>
      <c r="B1" s="3248" t="s">
        <v>3005</v>
      </c>
      <c r="C1" s="3248" t="s">
        <v>3007</v>
      </c>
      <c r="D1" s="3248" t="s">
        <v>3011</v>
      </c>
      <c r="E1" s="3248" t="s">
        <v>3009</v>
      </c>
      <c r="F1" s="3248" t="s">
        <v>3010</v>
      </c>
      <c r="G1" s="3248" t="s">
        <v>3018</v>
      </c>
      <c r="H1" s="3248" t="s">
        <v>3016</v>
      </c>
      <c r="I1" s="3248" t="s">
        <v>3017</v>
      </c>
      <c r="J1" s="3248" t="s">
        <v>3069</v>
      </c>
      <c r="K1" s="3248" t="s">
        <v>3068</v>
      </c>
      <c r="L1" s="3248" t="s">
        <v>3067</v>
      </c>
    </row>
    <row r="2" spans="1:12">
      <c r="A2">
        <v>134204</v>
      </c>
      <c r="B2" s="3248" t="s">
        <v>3006</v>
      </c>
      <c r="C2">
        <v>7086</v>
      </c>
      <c r="D2" s="3248" t="s">
        <v>3008</v>
      </c>
      <c r="E2">
        <v>4.8</v>
      </c>
      <c r="F2">
        <f>E2*A2</f>
        <v>644179.19999999995</v>
      </c>
      <c r="G2" s="3287">
        <v>58476</v>
      </c>
      <c r="H2">
        <f>C2/A2*10000</f>
        <v>528.00214598670675</v>
      </c>
      <c r="I2">
        <f>C2/F2*10000</f>
        <v>110.00044708056392</v>
      </c>
      <c r="J2">
        <f ca="1">结果表!G19</f>
        <v>12422</v>
      </c>
      <c r="K2">
        <f ca="1">J2/C2-1</f>
        <v>0.7530341518487158</v>
      </c>
      <c r="L2" s="3248">
        <v>2017.4</v>
      </c>
    </row>
    <row r="4" spans="1:12">
      <c r="H4" s="3248" t="s">
        <v>3074</v>
      </c>
      <c r="I4" s="3248" t="s">
        <v>3075</v>
      </c>
      <c r="J4" s="3248" t="s">
        <v>3076</v>
      </c>
    </row>
    <row r="5" spans="1:12">
      <c r="G5">
        <f>A2/666.67</f>
        <v>201.30499347503263</v>
      </c>
      <c r="H5">
        <f>40*G5</f>
        <v>8052.1997390013057</v>
      </c>
      <c r="I5">
        <v>7600</v>
      </c>
      <c r="J5">
        <v>40</v>
      </c>
    </row>
    <row r="6" spans="1:12">
      <c r="H6">
        <f>43*G5</f>
        <v>8656.1147194264031</v>
      </c>
      <c r="I6">
        <v>7900</v>
      </c>
      <c r="J6">
        <v>43</v>
      </c>
    </row>
  </sheetData>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29" sqref="I2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信息!A2</f>
        <v>134204</v>
      </c>
      <c r="B3" s="22">
        <f>IF(C3="否",G5-AT5,G5)</f>
        <v>335510</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335510</v>
      </c>
      <c r="H5" s="27">
        <f t="shared" ref="H5:AT5" si="0">SUM(H13:H641)</f>
        <v>335510</v>
      </c>
      <c r="I5" s="27">
        <f t="shared" si="0"/>
        <v>335510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335510</v>
      </c>
      <c r="BA5" s="29">
        <f t="shared" si="1"/>
        <v>335510</v>
      </c>
      <c r="BB5" s="29">
        <f t="shared" si="1"/>
        <v>335510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134204</v>
      </c>
      <c r="F6" s="27" t="s">
        <v>1</v>
      </c>
      <c r="G6" s="27" t="s">
        <v>2</v>
      </c>
      <c r="H6" s="33">
        <f>SUMIF(I$12:AB$12,"总值",I6:AB6)</f>
        <v>134204</v>
      </c>
      <c r="I6" s="27">
        <f t="shared" ref="I6:AB6" si="2">ROUND($A$3*I5/$B$3,2)</f>
        <v>134204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134204</v>
      </c>
      <c r="AZ6" s="27" t="s">
        <v>3</v>
      </c>
      <c r="BA6" s="27">
        <f>ROUND($AY$6*BA5/$AZ$5,2)</f>
        <v>134204</v>
      </c>
      <c r="BB6" s="27">
        <f>ROUND($AY$6*BB5/$AZ$5,2)</f>
        <v>134204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3053</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3015</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c r="D13" s="2727" t="s">
        <v>1669</v>
      </c>
      <c r="E13" s="27">
        <f t="shared" ref="E13:E20" si="6">IF($C$3="是",ROUND($A$3*G13/$B$3,2),ROUND($A$3*(G13-AT13)/$B$3,2))</f>
        <v>134204</v>
      </c>
      <c r="F13" s="81"/>
      <c r="G13" s="82">
        <f t="shared" ref="G13:G20" si="7">H13+AC13+AT13</f>
        <v>335510</v>
      </c>
      <c r="H13" s="33">
        <f t="shared" ref="H13:H20" si="8">SUMIF(I$12:AB$12,"总值",I13:AB13)</f>
        <v>335510</v>
      </c>
      <c r="I13" s="2730">
        <f>A3*2.5</f>
        <v>335510</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f t="shared" si="10"/>
        <v>0</v>
      </c>
      <c r="AY13" s="984">
        <f t="shared" ref="AY13:AY20" si="11">ROUND($AY$6*AZ13/$AZ$5,2)</f>
        <v>134204</v>
      </c>
      <c r="AZ13" s="27">
        <f t="shared" ref="AZ13:AZ20" si="12">BA13+BL13</f>
        <v>335510</v>
      </c>
      <c r="BA13" s="27">
        <f t="shared" ref="BA13:BA20" si="13">SUM(BB13:BK13)</f>
        <v>335510</v>
      </c>
      <c r="BB13" s="27">
        <f t="shared" ref="BB13:BB20" si="14">IF($D13="是",I13-J13,0)</f>
        <v>335510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1" t="s">
        <v>0</v>
      </c>
      <c r="B1" s="3361" t="s">
        <v>4</v>
      </c>
      <c r="C1" s="3361" t="s">
        <v>5</v>
      </c>
      <c r="D1" s="3362" t="s">
        <v>40</v>
      </c>
      <c r="E1" s="3362" t="s">
        <v>41</v>
      </c>
      <c r="F1" s="3362"/>
      <c r="G1" s="3362"/>
      <c r="H1" s="3362"/>
      <c r="I1" s="3362"/>
      <c r="J1" s="3362"/>
      <c r="K1" s="3362"/>
      <c r="L1" s="3362"/>
      <c r="M1" s="3362"/>
    </row>
    <row r="2" spans="1:13" ht="27" customHeight="1">
      <c r="A2" s="3361"/>
      <c r="B2" s="3361"/>
      <c r="C2" s="3361"/>
      <c r="D2" s="3362"/>
      <c r="E2" s="3362" t="s">
        <v>24</v>
      </c>
      <c r="F2" s="3362" t="s">
        <v>25</v>
      </c>
      <c r="G2" s="3362"/>
      <c r="H2" s="3362"/>
      <c r="I2" s="3362"/>
      <c r="J2" s="3362" t="s">
        <v>26</v>
      </c>
      <c r="K2" s="3362"/>
      <c r="L2" s="3362"/>
      <c r="M2" s="3362"/>
    </row>
    <row r="3" spans="1:13" ht="28.5">
      <c r="A3" s="3361"/>
      <c r="B3" s="3361"/>
      <c r="C3" s="3361"/>
      <c r="D3" s="3362"/>
      <c r="E3" s="336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2" t="s">
        <v>42</v>
      </c>
      <c r="B9" s="3362"/>
      <c r="C9" s="336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topLeftCell="A7" zoomScale="80" zoomScaleNormal="70" zoomScaleSheetLayoutView="80" workbookViewId="0">
      <selection activeCell="K45" sqref="K45"/>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72" t="s">
        <v>203</v>
      </c>
      <c r="B2" s="3372"/>
      <c r="C2" s="3372"/>
      <c r="D2" s="1889" t="s">
        <v>204</v>
      </c>
      <c r="E2" s="106" t="s">
        <v>205</v>
      </c>
      <c r="F2" s="3082"/>
      <c r="G2" s="1181"/>
      <c r="H2" s="1182"/>
      <c r="I2" s="1183" t="s">
        <v>849</v>
      </c>
      <c r="J2" s="3082"/>
      <c r="K2" s="3082"/>
      <c r="L2" s="3082"/>
      <c r="M2" s="3082"/>
      <c r="N2" s="3082"/>
      <c r="O2" s="3082"/>
      <c r="P2" s="3082"/>
    </row>
    <row r="3" spans="1:16" ht="15.75" thickBot="1">
      <c r="A3" s="3373" t="s">
        <v>206</v>
      </c>
      <c r="B3" s="3373"/>
      <c r="C3" s="3373"/>
      <c r="D3" s="107">
        <f>'数据-基础表'!AY6</f>
        <v>134204</v>
      </c>
      <c r="E3" s="107">
        <f>'数据-基础表'!AZ5</f>
        <v>335510</v>
      </c>
      <c r="F3" s="3082"/>
      <c r="G3" s="278" t="s">
        <v>850</v>
      </c>
      <c r="H3" s="273" t="s">
        <v>851</v>
      </c>
      <c r="I3" s="1890">
        <f>ROUND('数据-基础表'!B3/'数据-基础表'!A3,2)</f>
        <v>2.5</v>
      </c>
      <c r="J3" s="3082"/>
      <c r="K3" s="3082"/>
      <c r="L3" s="3082"/>
      <c r="M3" s="3082"/>
      <c r="N3" s="3082"/>
      <c r="O3" s="3082"/>
      <c r="P3" s="3082"/>
    </row>
    <row r="4" spans="1:16" ht="15">
      <c r="A4" s="3374"/>
      <c r="B4" s="3375"/>
      <c r="C4" s="3376"/>
      <c r="D4" s="108" t="s">
        <v>204</v>
      </c>
      <c r="E4" s="109" t="s">
        <v>205</v>
      </c>
      <c r="F4" s="3082"/>
      <c r="G4" s="1184"/>
      <c r="H4" s="273" t="s">
        <v>852</v>
      </c>
      <c r="I4" s="1890">
        <f>ROUND(SUMIF('数据-基础表'!I9:AS9,"地上",'数据-基础表'!I5:AS5)/'数据-基础表'!A3,2)</f>
        <v>2.5</v>
      </c>
      <c r="J4" s="3082"/>
      <c r="K4" s="3082"/>
      <c r="L4" s="3082"/>
      <c r="M4" s="3082"/>
      <c r="N4" s="3082"/>
      <c r="O4" s="3082"/>
      <c r="P4" s="3082"/>
    </row>
    <row r="5" spans="1:16">
      <c r="A5" s="110" t="s">
        <v>207</v>
      </c>
      <c r="B5" s="3377" t="s">
        <v>230</v>
      </c>
      <c r="C5" s="3377"/>
      <c r="D5" s="111">
        <f>ROUND($D$3*E5/$E$3,2)</f>
        <v>0</v>
      </c>
      <c r="E5" s="112">
        <f>SUMIF('数据-基础表'!$11:$11,"住宅",'数据-基础表'!$5:$5)</f>
        <v>0</v>
      </c>
      <c r="F5" s="3082"/>
      <c r="G5" s="278" t="s">
        <v>853</v>
      </c>
      <c r="H5" s="273" t="s">
        <v>851</v>
      </c>
      <c r="I5" s="1890">
        <f>ROUND(E31/D31,2)</f>
        <v>2.5</v>
      </c>
      <c r="J5" s="3082"/>
      <c r="K5" s="3082"/>
      <c r="L5" s="3082"/>
      <c r="M5" s="3082"/>
      <c r="N5" s="3082"/>
      <c r="O5" s="3082"/>
      <c r="P5" s="3082"/>
    </row>
    <row r="6" spans="1:16" ht="15" thickBot="1">
      <c r="A6" s="113"/>
      <c r="B6" s="3377" t="s">
        <v>208</v>
      </c>
      <c r="C6" s="3377"/>
      <c r="D6" s="111">
        <f>ROUND($D$3*E6/$E$3,2)</f>
        <v>134204</v>
      </c>
      <c r="E6" s="112">
        <f>E3-E5</f>
        <v>335510</v>
      </c>
      <c r="F6" s="3082"/>
      <c r="G6" s="1184"/>
      <c r="H6" s="273" t="s">
        <v>852</v>
      </c>
      <c r="I6" s="1890">
        <f>ROUND(F31/D31,2)</f>
        <v>2.5</v>
      </c>
      <c r="J6" s="3082"/>
      <c r="K6" s="3082"/>
      <c r="L6" s="3082"/>
      <c r="M6" s="3082"/>
      <c r="N6" s="3082"/>
      <c r="O6" s="3082"/>
      <c r="P6" s="3082"/>
    </row>
    <row r="7" spans="1:16" ht="15">
      <c r="A7" s="3369"/>
      <c r="B7" s="3370"/>
      <c r="C7" s="3371"/>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134204</v>
      </c>
      <c r="E8" s="116">
        <f>SUMIF('数据-基础表'!BB10:BK10,"地上",'数据-基础表'!BB5:BK5)</f>
        <v>335510</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134204</v>
      </c>
      <c r="E16" s="120">
        <f>SUM(E8:E15)</f>
        <v>335510</v>
      </c>
      <c r="F16" s="3082"/>
      <c r="G16" s="3083"/>
      <c r="H16" s="956" t="s">
        <v>219</v>
      </c>
      <c r="I16" s="957"/>
      <c r="J16" s="1898"/>
      <c r="K16" s="3363" t="s">
        <v>2547</v>
      </c>
      <c r="L16" s="3364"/>
      <c r="M16" s="3364"/>
      <c r="N16" s="3364"/>
      <c r="O16" s="3364"/>
      <c r="P16" s="3365"/>
    </row>
    <row r="17" spans="1:19" ht="15">
      <c r="A17" s="121" t="s">
        <v>216</v>
      </c>
      <c r="B17" s="122" t="s">
        <v>217</v>
      </c>
      <c r="C17" s="2178" t="s">
        <v>2301</v>
      </c>
      <c r="D17" s="108" t="s">
        <v>204</v>
      </c>
      <c r="E17" s="124" t="s">
        <v>205</v>
      </c>
      <c r="F17" s="125"/>
      <c r="G17" s="1319"/>
      <c r="H17" s="958" t="s">
        <v>218</v>
      </c>
      <c r="I17" s="959" t="s">
        <v>2300</v>
      </c>
      <c r="J17" s="1898"/>
      <c r="K17" s="3366" t="s">
        <v>2548</v>
      </c>
      <c r="L17" s="3367"/>
      <c r="M17" s="3368"/>
      <c r="N17" s="3366" t="s">
        <v>2549</v>
      </c>
      <c r="O17" s="3367"/>
      <c r="P17" s="3368"/>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
        <v>3054</v>
      </c>
      <c r="D19" s="111">
        <f t="shared" ref="D19:D26" si="1">ROUND($D$3*E19/$E$3,2)</f>
        <v>134204</v>
      </c>
      <c r="E19" s="134">
        <f t="shared" ref="E19:E26" si="2">SUM(F19:G19)</f>
        <v>335510</v>
      </c>
      <c r="F19" s="3084">
        <f>'数据-基础表'!I13</f>
        <v>335510</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134204</v>
      </c>
      <c r="S19" s="2181">
        <f t="shared" si="5"/>
        <v>335510</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134204</v>
      </c>
      <c r="E27" s="141">
        <f>IF(SUM(E19:E26)='数据-基础表'!BA5,SUM(E19:E26),IF(F27="地上面积有误","面积有误","地下面积有误"))</f>
        <v>335510</v>
      </c>
      <c r="F27" s="134">
        <f>IF(SUM(F19:F26)=E8,SUM(F19:F26),"地上面积有误")</f>
        <v>335510</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134204</v>
      </c>
      <c r="S27" s="273">
        <f>IF(SUM(S19:S26)=$E$3,SUM(S19:S26),SUM(S19:S26)&amp;"误差"&amp;ROUND(SUM(S19:S26)-E3,2))</f>
        <v>335510</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134204</v>
      </c>
      <c r="E31" s="1323">
        <f>E27+E30</f>
        <v>335510</v>
      </c>
      <c r="F31" s="1324">
        <f>F27+F30</f>
        <v>335510</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W6" activePane="bottomRight" state="frozen"/>
      <selection pane="topRight" activeCell="D1" sqref="D1"/>
      <selection pane="bottomLeft" activeCell="A4" sqref="A4"/>
      <selection pane="bottomRight" activeCell="B30" sqref="B3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44369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2975</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v>
      </c>
      <c r="B6" s="2217" t="str">
        <f>IF(A6=0,"","经营性")</f>
        <v>经营性</v>
      </c>
      <c r="C6" s="171" t="s">
        <v>3015</v>
      </c>
      <c r="D6" s="2188">
        <f>SUMIF(项目基本情况!D$15:I$15,C6,项目基本情况!D$18:I$18)</f>
        <v>40</v>
      </c>
      <c r="E6" s="2189">
        <f>IF(B6="","",SUMIF(项目基本情况!D$15:I$15,C6,项目基本情况!D$17:I$17))</f>
        <v>58476</v>
      </c>
      <c r="F6" s="172">
        <f>SUMIF(项目基本情况!D$15:I$15,C6,项目基本情况!D$19:I$19)</f>
        <v>38.64</v>
      </c>
      <c r="G6" s="173">
        <f>IF(ISERROR(ROUND(POWER(1+H6,D6-F6)*(POWER(1+H6,F6)-1)/(POWER(1+H6,D6)-1),3)),0,ROUND(POWER(1+H6,D6-F6)*(POWER(1+H6,F6)-1)/(POWER(1+H6,D6)-1),3))</f>
        <v>0.98699999999999999</v>
      </c>
      <c r="H6" s="2738">
        <v>4.4999999999999998E-2</v>
      </c>
      <c r="I6" s="2738">
        <v>0.05</v>
      </c>
      <c r="J6" s="174">
        <v>8.5000000000000006E-2</v>
      </c>
      <c r="K6" s="177">
        <f>SUMIF('数据-汇总表'!C$19:C$33,'数据-取费表'!A6,'数据-汇总表'!E$19:E$33)</f>
        <v>335510</v>
      </c>
      <c r="L6" s="2739">
        <v>1800</v>
      </c>
      <c r="M6" s="175">
        <f t="shared" ref="M6:M14" si="0">ROUND(K6*L6/10000,0)</f>
        <v>60392</v>
      </c>
      <c r="N6" s="2740">
        <v>0</v>
      </c>
      <c r="O6" s="175">
        <f>IF($N$5="成新度","——",ROUND(M6*N6,0))</f>
        <v>0</v>
      </c>
      <c r="P6" s="176">
        <f>IF($N$5="成新度","——",M6-O6)</f>
        <v>60392</v>
      </c>
      <c r="Q6" s="2741">
        <v>0.1</v>
      </c>
      <c r="R6" s="177">
        <f>SUMIF('数据-汇总表'!C$19:C$33,A6,'数据-汇总表'!R$19:R$33)</f>
        <v>134204</v>
      </c>
      <c r="S6" s="132">
        <f>IF('数据-汇总表'!$I$17="按面积比例",SUMIF('数据-汇总表'!C$19:C$33,A6,'数据-汇总表'!K$19:K$33),SUMIF('数据-汇总表'!C$19:C$33,A6,'数据-汇总表'!N$19:N$33))</f>
        <v>0</v>
      </c>
      <c r="T6" s="2114" t="str">
        <f>IF($T$4="按面积比例",IF(ISERROR(ROUND($M$14*S6/S$16,0)),"0",ROUND($M$14*S6/S$16,0)),"需自行计算录入")</f>
        <v>0</v>
      </c>
      <c r="U6" s="178">
        <v>20</v>
      </c>
      <c r="V6" s="179">
        <v>0.02</v>
      </c>
      <c r="W6" s="179">
        <v>0.1</v>
      </c>
      <c r="X6" s="2201"/>
      <c r="Y6" s="180">
        <v>1</v>
      </c>
      <c r="Z6" s="181"/>
      <c r="AA6" s="174"/>
      <c r="AB6" s="174"/>
      <c r="AC6" s="2204"/>
      <c r="AD6" s="182"/>
      <c r="AE6" s="960">
        <f ca="1">IF(AN6="",0,SUMIF(INDIRECT("'"&amp;AN6&amp;"'"&amp;"!E:E"),$AE$5,INDIRECT("'"&amp;AN6&amp;"'"&amp;"!F:F")))</f>
        <v>36.64</v>
      </c>
      <c r="AF6" s="139"/>
      <c r="AG6" s="1196">
        <f>IF(AF6="",0,AE6-AF6)</f>
        <v>0</v>
      </c>
      <c r="AH6" s="139"/>
      <c r="AI6" s="185">
        <v>12</v>
      </c>
      <c r="AJ6" s="186"/>
      <c r="AK6" s="187">
        <v>0.01</v>
      </c>
      <c r="AL6" s="188">
        <v>1E-3</v>
      </c>
      <c r="AM6" s="2752">
        <v>0.01</v>
      </c>
      <c r="AN6" s="2247" t="s">
        <v>3060</v>
      </c>
      <c r="AO6" s="3092"/>
      <c r="AP6" s="1187">
        <f>ROUND(1-1/(1+H6)^F6,3)</f>
        <v>0.81699999999999995</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0.98699999999999999</v>
      </c>
      <c r="H16" s="201">
        <f>ROUND(SUMPRODUCT(H6:H13,K6:K13)/SUMPRODUCT((H6:H13&gt;0)*(K6:K13)),3)</f>
        <v>4.4999999999999998E-2</v>
      </c>
      <c r="I16" s="202"/>
      <c r="J16" s="202"/>
      <c r="K16" s="203">
        <f>SUM(K6:K15)</f>
        <v>335510</v>
      </c>
      <c r="L16" s="204">
        <f>ROUND(M16*10000/SUM(K6:K14),0)</f>
        <v>1800</v>
      </c>
      <c r="M16" s="204">
        <f>SUM(M6:M14)</f>
        <v>60392</v>
      </c>
      <c r="N16" s="205">
        <f>ROUND(SUMPRODUCT(M6:M14,N6:N14)/M16,3)</f>
        <v>0</v>
      </c>
      <c r="O16" s="204">
        <f>SUM(O6:O14)</f>
        <v>0</v>
      </c>
      <c r="P16" s="204">
        <f>SUM(P6:P14)</f>
        <v>60392</v>
      </c>
      <c r="Q16" s="206">
        <f>ROUND(SUMPRODUCT(Q6:Q13,K6:K13)/SUMPRODUCT((Q6:Q13&gt;0)*(K6:K13)),2)</f>
        <v>0.1</v>
      </c>
      <c r="R16" s="2191">
        <f>SUM(R6:R13)</f>
        <v>134204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0.81699999999999995</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2987</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f>'数据-基础表'!A3*4.8</f>
        <v>644179.19999999995</v>
      </c>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f>J20/60</f>
        <v>10736.32</v>
      </c>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50</v>
      </c>
      <c r="C27" s="3105" t="s">
        <v>2988</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50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100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80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20</v>
      </c>
      <c r="C32" s="3098"/>
      <c r="D32" s="3093"/>
      <c r="E32" s="3092">
        <f ca="1">结果表!G19</f>
        <v>12422</v>
      </c>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3.7999999999999999E-2</v>
      </c>
      <c r="C33" s="3107" t="s">
        <v>2976</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2977</v>
      </c>
      <c r="D34" s="3108" t="s">
        <v>2984</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150</v>
      </c>
      <c r="C35" s="3107" t="s">
        <v>2978</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2979</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2980</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2980</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27.75" thickBot="1">
      <c r="A40" s="3279" t="s">
        <v>3055</v>
      </c>
      <c r="B40" s="2334">
        <f ca="1">IF(A40="利息：取LPR",存贷款利率!E2,存贷款利率!E2+C40)</f>
        <v>4.3499999999999997E-2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2985</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2981</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2982</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2989</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2981</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2983</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2872</v>
      </c>
      <c r="D53" s="3111" t="s">
        <v>2986</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2873</v>
      </c>
      <c r="B54" s="184"/>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2874</v>
      </c>
      <c r="B55" s="184"/>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2875</v>
      </c>
      <c r="B56" s="184"/>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2876</v>
      </c>
      <c r="B57" s="184"/>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2877</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2878</v>
      </c>
      <c r="B59" s="184">
        <v>1</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2879</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2880</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2881</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2882</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78" t="s">
        <v>1654</v>
      </c>
      <c r="B1" s="3379"/>
      <c r="C1" s="3379"/>
      <c r="D1" s="3379"/>
      <c r="E1" s="3379"/>
      <c r="F1" s="3379"/>
      <c r="G1" s="3379"/>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2889</v>
      </c>
      <c r="D3" s="3127"/>
      <c r="E3" s="3128" t="s">
        <v>1657</v>
      </c>
      <c r="F3" s="3129" t="s">
        <v>1645</v>
      </c>
      <c r="G3" s="3130" t="s">
        <v>2888</v>
      </c>
      <c r="H3" s="3123"/>
      <c r="I3" s="3123"/>
      <c r="J3" s="3123"/>
      <c r="K3" s="3123"/>
      <c r="L3" s="3123"/>
      <c r="M3" s="3123"/>
      <c r="N3" s="3123"/>
      <c r="O3" s="3123"/>
      <c r="P3" s="3123"/>
      <c r="Q3" s="3123"/>
      <c r="R3" s="3123"/>
    </row>
    <row r="4" spans="1:18" ht="40.5">
      <c r="A4" s="3128"/>
      <c r="B4" s="3131" t="s">
        <v>1658</v>
      </c>
      <c r="C4" s="3132" t="s">
        <v>2890</v>
      </c>
      <c r="D4" s="3127"/>
      <c r="E4" s="3133"/>
      <c r="F4" s="3134" t="s">
        <v>1659</v>
      </c>
      <c r="G4" s="3135" t="s">
        <v>2885</v>
      </c>
      <c r="H4" s="3123"/>
      <c r="I4" s="3123"/>
      <c r="J4" s="3123"/>
      <c r="K4" s="3123"/>
      <c r="L4" s="3123"/>
      <c r="M4" s="3123"/>
      <c r="N4" s="3123"/>
      <c r="O4" s="3123"/>
      <c r="P4" s="3123"/>
      <c r="Q4" s="3123"/>
      <c r="R4" s="3123"/>
    </row>
    <row r="5" spans="1:18" ht="41.25">
      <c r="A5" s="3128"/>
      <c r="B5" s="3131" t="s">
        <v>1660</v>
      </c>
      <c r="C5" s="3132" t="s">
        <v>2891</v>
      </c>
      <c r="D5" s="3127"/>
      <c r="E5" s="3133"/>
      <c r="F5" s="3131" t="s">
        <v>2527</v>
      </c>
      <c r="G5" s="3135" t="s">
        <v>2886</v>
      </c>
      <c r="H5" s="3123"/>
      <c r="I5" s="3123"/>
      <c r="J5" s="3123"/>
      <c r="K5" s="3123"/>
      <c r="L5" s="3123"/>
      <c r="M5" s="3123"/>
      <c r="N5" s="3123"/>
      <c r="O5" s="3123"/>
      <c r="P5" s="3123"/>
      <c r="Q5" s="3123"/>
      <c r="R5" s="3123"/>
    </row>
    <row r="6" spans="1:18" ht="40.5">
      <c r="A6" s="3128"/>
      <c r="B6" s="3131" t="s">
        <v>1646</v>
      </c>
      <c r="C6" s="3135" t="s">
        <v>2885</v>
      </c>
      <c r="D6" s="3127"/>
      <c r="E6" s="3133"/>
      <c r="F6" s="3131" t="s">
        <v>2528</v>
      </c>
      <c r="G6" s="3135" t="s">
        <v>2883</v>
      </c>
      <c r="H6" s="3123"/>
      <c r="I6" s="3123"/>
      <c r="J6" s="3123"/>
      <c r="K6" s="3123"/>
      <c r="L6" s="3123"/>
      <c r="M6" s="3123"/>
      <c r="N6" s="3123"/>
      <c r="O6" s="3123"/>
      <c r="P6" s="3123"/>
      <c r="Q6" s="3123"/>
      <c r="R6" s="3123"/>
    </row>
    <row r="7" spans="1:18" ht="27.75" thickBot="1">
      <c r="A7" s="3128"/>
      <c r="B7" s="3131" t="s">
        <v>2527</v>
      </c>
      <c r="C7" s="3135" t="s">
        <v>2886</v>
      </c>
      <c r="D7" s="3136"/>
      <c r="E7" s="3137"/>
      <c r="F7" s="3138" t="s">
        <v>1661</v>
      </c>
      <c r="G7" s="3139" t="s">
        <v>2887</v>
      </c>
      <c r="H7" s="3123"/>
      <c r="I7" s="3123"/>
      <c r="J7" s="3123"/>
      <c r="K7" s="3123"/>
      <c r="L7" s="3123"/>
      <c r="M7" s="3123"/>
      <c r="N7" s="3123"/>
      <c r="O7" s="3123"/>
      <c r="P7" s="3123"/>
      <c r="Q7" s="3123"/>
      <c r="R7" s="3123"/>
    </row>
    <row r="8" spans="1:18">
      <c r="A8" s="3128"/>
      <c r="B8" s="3131" t="s">
        <v>2528</v>
      </c>
      <c r="C8" s="3135" t="s">
        <v>2883</v>
      </c>
      <c r="D8" s="3136"/>
      <c r="E8" s="3136"/>
      <c r="F8" s="3140"/>
      <c r="G8" s="3140"/>
      <c r="H8" s="3123"/>
      <c r="I8" s="3123"/>
      <c r="J8" s="3123"/>
      <c r="K8" s="3123"/>
      <c r="L8" s="3123"/>
      <c r="M8" s="3123"/>
      <c r="N8" s="3123"/>
      <c r="O8" s="3123"/>
      <c r="P8" s="3123"/>
      <c r="Q8" s="3123"/>
      <c r="R8" s="3123"/>
    </row>
    <row r="9" spans="1:18" ht="27">
      <c r="A9" s="3128"/>
      <c r="B9" s="3131" t="s">
        <v>1647</v>
      </c>
      <c r="C9" s="3132" t="s">
        <v>2884</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6" customWidth="1"/>
    <col min="2" max="16384" width="14.625" style="3186"/>
  </cols>
  <sheetData>
    <row r="1" spans="1:10" ht="16.5">
      <c r="A1" s="3185" t="s">
        <v>2823</v>
      </c>
      <c r="B1" s="3185">
        <f>SUM(B14:B23)</f>
        <v>335510</v>
      </c>
      <c r="C1" s="3194"/>
      <c r="D1" s="3194"/>
      <c r="E1" s="3194"/>
      <c r="F1" s="3194"/>
      <c r="G1" s="3195"/>
      <c r="H1" s="3195"/>
      <c r="I1" s="3195"/>
      <c r="J1" s="3195"/>
    </row>
    <row r="2" spans="1:10" ht="16.5">
      <c r="A2" s="3185" t="s">
        <v>2824</v>
      </c>
      <c r="B2" s="3185">
        <f>SUM(C14:C23)</f>
        <v>134204</v>
      </c>
      <c r="C2" s="3194"/>
      <c r="D2" s="3194"/>
      <c r="E2" s="3194"/>
      <c r="F2" s="3194"/>
      <c r="G2" s="3195"/>
      <c r="H2" s="3195"/>
      <c r="I2" s="3195"/>
      <c r="J2" s="3195"/>
    </row>
    <row r="3" spans="1:10" ht="16.5">
      <c r="A3" s="3185" t="s">
        <v>2825</v>
      </c>
      <c r="B3" s="3187">
        <f>项目基本情况!D3</f>
        <v>44369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12422</v>
      </c>
      <c r="C5" s="3185">
        <f ca="1">ROUND(B5*10000/$B$1,0)</f>
        <v>370</v>
      </c>
      <c r="D5" s="3185">
        <f ca="1">ROUND(B5*10000/$B$2,0)</f>
        <v>926</v>
      </c>
      <c r="E5" s="3194"/>
      <c r="F5" s="3194"/>
      <c r="G5" s="3195"/>
      <c r="H5" s="3195"/>
      <c r="I5" s="3195"/>
      <c r="J5" s="3195"/>
    </row>
    <row r="6" spans="1:10" ht="16.5">
      <c r="A6" s="3185" t="s">
        <v>2831</v>
      </c>
      <c r="B6" s="3185">
        <f ca="1">SUM(G14:G23)</f>
        <v>12422</v>
      </c>
      <c r="C6" s="3185">
        <f t="shared" ref="C6:C8" ca="1" si="0">ROUND(B6*10000/$B$1,0)</f>
        <v>370</v>
      </c>
      <c r="D6" s="3185">
        <f t="shared" ref="D6:D8" ca="1" si="1">ROUND(B6*10000/$B$2,0)</f>
        <v>926</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 ca="1">SUM(I14:I23)</f>
        <v>10510</v>
      </c>
      <c r="C8" s="3185">
        <f t="shared" ca="1" si="0"/>
        <v>313</v>
      </c>
      <c r="D8" s="3185">
        <f t="shared" ca="1" si="1"/>
        <v>783</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335510</v>
      </c>
      <c r="C14" s="3191">
        <f>结果表!K38</f>
        <v>134204</v>
      </c>
      <c r="D14" s="3191">
        <f ca="1">结果表!C42</f>
        <v>12422</v>
      </c>
      <c r="E14" s="3191">
        <f ca="1">ROUND(D14*10000/B14,0)</f>
        <v>370</v>
      </c>
      <c r="F14" s="3191">
        <f ca="1">ROUND(D14*10000/C14,0)</f>
        <v>926</v>
      </c>
      <c r="G14" s="3191">
        <f ca="1">结果表!C44</f>
        <v>12422</v>
      </c>
      <c r="H14" s="3191" t="str">
        <f>结果表!C45</f>
        <v>——</v>
      </c>
      <c r="I14" s="3191">
        <f ca="1">结果表!C46</f>
        <v>10510</v>
      </c>
      <c r="J14" s="3195"/>
    </row>
    <row r="15" spans="1:10" ht="16.5">
      <c r="A15" s="3190" t="s">
        <v>2840</v>
      </c>
      <c r="B15" s="3192"/>
      <c r="C15" s="3192"/>
      <c r="D15" s="3192"/>
      <c r="E15" s="3191" t="e">
        <f t="shared" ref="E15:E23" si="2">ROUND(D15*10000/B15,0)</f>
        <v>#DIV/0!</v>
      </c>
      <c r="F15" s="3191" t="e">
        <f t="shared" ref="F15:F23" si="3">ROUND(D15*10000/C15,0)</f>
        <v>#DIV/0!</v>
      </c>
      <c r="G15" s="2757"/>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4" zoomScale="90" zoomScaleNormal="100" zoomScaleSheetLayoutView="90" zoomScalePageLayoutView="80" workbookViewId="0">
      <selection activeCell="E27" sqref="E27"/>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24" t="str">
        <f>项目基本情况!K2</f>
        <v>出让国有建设用地使用权</v>
      </c>
      <c r="B2" s="3425"/>
      <c r="C2" s="3426"/>
      <c r="D2" s="3426"/>
      <c r="E2" s="3426"/>
      <c r="F2" s="3426"/>
      <c r="G2" s="3425"/>
      <c r="H2" s="3425"/>
      <c r="I2" s="3427"/>
      <c r="J2" s="1913"/>
      <c r="K2" s="1912"/>
      <c r="L2" s="1912"/>
      <c r="M2" s="1912"/>
      <c r="N2" s="1912"/>
      <c r="O2" s="1912"/>
      <c r="P2" s="1912"/>
      <c r="Q2" s="1912"/>
      <c r="R2" s="1912"/>
      <c r="S2" s="1912"/>
      <c r="T2" s="1912"/>
      <c r="U2" s="1912"/>
      <c r="V2" s="1912"/>
    </row>
    <row r="3" spans="1:22" ht="14.25">
      <c r="A3" s="3417" t="s">
        <v>298</v>
      </c>
      <c r="B3" s="3418"/>
      <c r="C3" s="3418"/>
      <c r="D3" s="3418"/>
      <c r="E3" s="3418"/>
      <c r="F3" s="3418"/>
      <c r="G3" s="3418"/>
      <c r="H3" s="3418"/>
      <c r="I3" s="3418"/>
      <c r="J3" s="1913"/>
      <c r="K3" s="1912"/>
      <c r="L3" s="1912"/>
      <c r="M3" s="1912"/>
      <c r="N3" s="1912"/>
      <c r="O3" s="1912"/>
      <c r="P3" s="1912"/>
      <c r="Q3" s="1912"/>
      <c r="R3" s="1912"/>
      <c r="S3" s="1912"/>
      <c r="T3" s="1912"/>
      <c r="U3" s="1912"/>
      <c r="V3" s="1912"/>
    </row>
    <row r="4" spans="1:22" ht="14.25">
      <c r="A4" s="256" t="s">
        <v>299</v>
      </c>
      <c r="B4" s="257" t="s">
        <v>300</v>
      </c>
      <c r="C4" s="258" t="s">
        <v>3062</v>
      </c>
      <c r="D4" s="258" t="s">
        <v>3063</v>
      </c>
      <c r="E4" s="3383" t="s">
        <v>301</v>
      </c>
      <c r="F4" s="3384"/>
      <c r="G4" s="3384"/>
      <c r="H4" s="3384"/>
      <c r="I4" s="3419"/>
      <c r="J4" s="1913"/>
      <c r="K4" s="1912"/>
      <c r="L4" s="3196" t="str">
        <f>IF(ISNUMBER(FIND("比较法",C4)),"比较法",IF(ISNUMBER(FIND("成本法",C4)),"成本法",IF(ISNUMBER(FIND("剩余法",C4)),"剩余法",IF(ISNUMBER(FIND("收益法",C4)),"收益法","基准地价系数修正法"))))</f>
        <v>剩余法</v>
      </c>
      <c r="M4" s="937" t="str">
        <f>IF(ISNUMBER(FIND("比较法",D4)),"比较法",IF(ISNUMBER(FIND("成本法",D4)),"成本法",IF(ISNUMBER(FIND("剩余法",D4)),"剩余法",IF(ISNUMBER(FIND("收益法",D4)),"收益法","基准地价系数修正法"))))</f>
        <v>比较法</v>
      </c>
      <c r="N4" s="1912"/>
      <c r="O4" s="1912"/>
      <c r="P4" s="1912"/>
      <c r="Q4" s="1912"/>
      <c r="R4" s="1912"/>
      <c r="S4" s="1912"/>
      <c r="T4" s="1912"/>
      <c r="U4" s="1912"/>
      <c r="V4" s="1912"/>
    </row>
    <row r="5" spans="1:22" ht="14.25">
      <c r="A5" s="3382" t="s">
        <v>302</v>
      </c>
      <c r="B5" s="3411">
        <v>25</v>
      </c>
      <c r="C5" s="3409"/>
      <c r="D5" s="3413"/>
      <c r="E5" s="259" t="s">
        <v>303</v>
      </c>
      <c r="F5" s="260"/>
      <c r="G5" s="260"/>
      <c r="H5" s="260"/>
      <c r="I5" s="261"/>
      <c r="J5" s="1913"/>
      <c r="K5" s="1912"/>
      <c r="L5" s="1912"/>
      <c r="M5" s="1912"/>
      <c r="N5" s="1912"/>
      <c r="O5" s="1912"/>
      <c r="P5" s="1912"/>
      <c r="Q5" s="1912"/>
      <c r="R5" s="1912"/>
      <c r="S5" s="1912"/>
      <c r="T5" s="1912"/>
      <c r="U5" s="1912"/>
      <c r="V5" s="1912"/>
    </row>
    <row r="6" spans="1:22" ht="14.25">
      <c r="A6" s="3382"/>
      <c r="B6" s="3411"/>
      <c r="C6" s="3412"/>
      <c r="D6" s="3413"/>
      <c r="E6" s="259" t="s">
        <v>304</v>
      </c>
      <c r="F6" s="260"/>
      <c r="G6" s="260"/>
      <c r="H6" s="260"/>
      <c r="I6" s="261"/>
      <c r="J6" s="1913"/>
      <c r="K6" s="1912"/>
      <c r="L6" s="1912"/>
      <c r="M6" s="1912"/>
      <c r="N6" s="1912"/>
      <c r="O6" s="1912"/>
      <c r="P6" s="1912"/>
      <c r="Q6" s="1912"/>
      <c r="R6" s="1912"/>
      <c r="S6" s="1912"/>
      <c r="T6" s="1912"/>
      <c r="U6" s="1912"/>
      <c r="V6" s="1912"/>
    </row>
    <row r="7" spans="1:22" ht="14.25">
      <c r="A7" s="3382"/>
      <c r="B7" s="3411"/>
      <c r="C7" s="3410"/>
      <c r="D7" s="3413"/>
      <c r="E7" s="259" t="s">
        <v>305</v>
      </c>
      <c r="F7" s="260"/>
      <c r="G7" s="260"/>
      <c r="H7" s="260"/>
      <c r="I7" s="261"/>
      <c r="J7" s="1913"/>
      <c r="K7" s="1912"/>
      <c r="L7" s="1912"/>
      <c r="M7" s="1912"/>
      <c r="N7" s="1912"/>
      <c r="O7" s="1912"/>
      <c r="P7" s="1912"/>
      <c r="Q7" s="1912"/>
      <c r="R7" s="1912"/>
      <c r="S7" s="1912"/>
      <c r="T7" s="1912"/>
      <c r="U7" s="1912"/>
      <c r="V7" s="1912"/>
    </row>
    <row r="8" spans="1:22" ht="14.25">
      <c r="A8" s="3382" t="s">
        <v>306</v>
      </c>
      <c r="B8" s="3411">
        <v>15</v>
      </c>
      <c r="C8" s="3409"/>
      <c r="D8" s="3413"/>
      <c r="E8" s="259" t="s">
        <v>307</v>
      </c>
      <c r="F8" s="260"/>
      <c r="G8" s="260"/>
      <c r="H8" s="260"/>
      <c r="I8" s="261"/>
      <c r="J8" s="1913"/>
      <c r="K8" s="1912"/>
      <c r="L8" s="1912"/>
      <c r="M8" s="1912"/>
      <c r="N8" s="1912"/>
      <c r="O8" s="1912"/>
      <c r="P8" s="1912"/>
      <c r="Q8" s="1912"/>
      <c r="R8" s="1912"/>
      <c r="S8" s="1912"/>
      <c r="T8" s="1912"/>
      <c r="U8" s="1912"/>
      <c r="V8" s="1912"/>
    </row>
    <row r="9" spans="1:22" ht="14.25">
      <c r="A9" s="3382"/>
      <c r="B9" s="3411"/>
      <c r="C9" s="3410"/>
      <c r="D9" s="3413"/>
      <c r="E9" s="259" t="s">
        <v>308</v>
      </c>
      <c r="F9" s="260"/>
      <c r="G9" s="260"/>
      <c r="H9" s="260"/>
      <c r="I9" s="261"/>
      <c r="J9" s="1913"/>
      <c r="K9" s="1912"/>
      <c r="L9" s="1912"/>
      <c r="M9" s="1912"/>
      <c r="N9" s="1912"/>
      <c r="O9" s="1912"/>
      <c r="P9" s="1912"/>
      <c r="Q9" s="1912"/>
      <c r="R9" s="1912"/>
      <c r="S9" s="1912"/>
      <c r="T9" s="1912"/>
      <c r="U9" s="1912"/>
      <c r="V9" s="1912"/>
    </row>
    <row r="10" spans="1:22" ht="14.25">
      <c r="A10" s="3382" t="s">
        <v>309</v>
      </c>
      <c r="B10" s="3411">
        <v>15</v>
      </c>
      <c r="C10" s="3409"/>
      <c r="D10" s="3413"/>
      <c r="E10" s="259" t="s">
        <v>310</v>
      </c>
      <c r="F10" s="260"/>
      <c r="G10" s="260"/>
      <c r="H10" s="260"/>
      <c r="I10" s="261"/>
      <c r="J10" s="1913"/>
      <c r="K10" s="1912"/>
      <c r="L10" s="1912"/>
      <c r="M10" s="1912"/>
      <c r="N10" s="1912"/>
      <c r="O10" s="1912"/>
      <c r="P10" s="1912"/>
      <c r="Q10" s="1912"/>
      <c r="R10" s="1912"/>
      <c r="S10" s="1912"/>
      <c r="T10" s="1912"/>
      <c r="U10" s="1912"/>
      <c r="V10" s="1912"/>
    </row>
    <row r="11" spans="1:22" ht="14.25">
      <c r="A11" s="3382"/>
      <c r="B11" s="3411"/>
      <c r="C11" s="3410"/>
      <c r="D11" s="3413"/>
      <c r="E11" s="259" t="s">
        <v>311</v>
      </c>
      <c r="F11" s="260"/>
      <c r="G11" s="260"/>
      <c r="H11" s="260"/>
      <c r="I11" s="261"/>
      <c r="J11" s="1913"/>
      <c r="K11" s="1912"/>
      <c r="L11" s="1912"/>
      <c r="M11" s="1912"/>
      <c r="N11" s="1912"/>
      <c r="O11" s="1912"/>
      <c r="P11" s="1912"/>
      <c r="Q11" s="1912"/>
      <c r="R11" s="1912"/>
      <c r="S11" s="1912"/>
      <c r="T11" s="1912"/>
      <c r="U11" s="1912"/>
      <c r="V11" s="1912"/>
    </row>
    <row r="12" spans="1:22" ht="14.25">
      <c r="A12" s="3382" t="s">
        <v>312</v>
      </c>
      <c r="B12" s="3411">
        <v>15</v>
      </c>
      <c r="C12" s="3409"/>
      <c r="D12" s="3413"/>
      <c r="E12" s="259" t="s">
        <v>313</v>
      </c>
      <c r="F12" s="260"/>
      <c r="G12" s="260"/>
      <c r="H12" s="260"/>
      <c r="I12" s="261"/>
      <c r="J12" s="1913"/>
      <c r="K12" s="1912"/>
      <c r="L12" s="1912"/>
      <c r="M12" s="1912"/>
      <c r="N12" s="1912"/>
      <c r="O12" s="1912"/>
      <c r="P12" s="1912"/>
      <c r="Q12" s="1912"/>
      <c r="R12" s="1912"/>
      <c r="S12" s="1912"/>
      <c r="T12" s="1912"/>
      <c r="U12" s="1912"/>
      <c r="V12" s="1912"/>
    </row>
    <row r="13" spans="1:22" ht="14.25">
      <c r="A13" s="3382"/>
      <c r="B13" s="3411"/>
      <c r="C13" s="3410"/>
      <c r="D13" s="3413"/>
      <c r="E13" s="259" t="s">
        <v>314</v>
      </c>
      <c r="F13" s="260"/>
      <c r="G13" s="260"/>
      <c r="H13" s="260"/>
      <c r="I13" s="261"/>
      <c r="J13" s="1913"/>
      <c r="K13" s="1912"/>
      <c r="L13" s="1912"/>
      <c r="M13" s="1912"/>
      <c r="N13" s="1912"/>
      <c r="O13" s="1912"/>
      <c r="P13" s="1912"/>
      <c r="Q13" s="1912"/>
      <c r="R13" s="1912"/>
      <c r="S13" s="1912"/>
      <c r="T13" s="1912"/>
      <c r="U13" s="1912"/>
      <c r="V13" s="1912"/>
    </row>
    <row r="14" spans="1:22" ht="14.25">
      <c r="A14" s="3382" t="s">
        <v>315</v>
      </c>
      <c r="B14" s="3411">
        <v>30</v>
      </c>
      <c r="C14" s="3409">
        <v>6</v>
      </c>
      <c r="D14" s="3413">
        <f>10-C14</f>
        <v>4</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382"/>
      <c r="B15" s="3411"/>
      <c r="C15" s="3412"/>
      <c r="D15" s="3413"/>
      <c r="E15" s="259" t="s">
        <v>317</v>
      </c>
      <c r="F15" s="260"/>
      <c r="G15" s="260"/>
      <c r="H15" s="260"/>
      <c r="I15" s="261"/>
      <c r="J15" s="1913"/>
      <c r="K15" s="1912"/>
      <c r="L15" s="1912"/>
      <c r="M15" s="1912"/>
      <c r="N15" s="1912"/>
      <c r="O15" s="1912"/>
      <c r="P15" s="1912"/>
      <c r="Q15" s="1912"/>
      <c r="R15" s="1912"/>
      <c r="S15" s="1912"/>
      <c r="T15" s="1912"/>
      <c r="U15" s="1912"/>
      <c r="V15" s="1912"/>
    </row>
    <row r="16" spans="1:22" ht="14.25">
      <c r="A16" s="3382"/>
      <c r="B16" s="3411"/>
      <c r="C16" s="3410"/>
      <c r="D16" s="3413"/>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6</v>
      </c>
      <c r="D17" s="263">
        <f>SUM(D5:D16)</f>
        <v>4</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0.6</v>
      </c>
      <c r="D18" s="265">
        <f>1-C18</f>
        <v>0.4</v>
      </c>
      <c r="E18" s="3414" t="s">
        <v>2964</v>
      </c>
      <c r="F18" s="3415"/>
      <c r="G18" s="3415"/>
      <c r="H18" s="3415"/>
      <c r="I18" s="3415"/>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14924</v>
      </c>
      <c r="D19" s="269">
        <f ca="1">SUMIF(INDIRECT("'"&amp;D4&amp;"'"&amp;"!A:A"),结果表!B19,INDIRECT("'"&amp;D4&amp;"'"&amp;"!B:B"))</f>
        <v>8670</v>
      </c>
      <c r="E19" s="266" t="s">
        <v>323</v>
      </c>
      <c r="F19" s="267" t="s">
        <v>322</v>
      </c>
      <c r="G19" s="270">
        <f ca="1">ROUND(C19*$C$18+D19*$D$18,0)</f>
        <v>12422</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445</v>
      </c>
      <c r="D20" s="275">
        <f ca="1">SUMIF(INDIRECT("'"&amp;D4&amp;"'"&amp;"!A:A"),结果表!B20,INDIRECT("'"&amp;D4&amp;"'"&amp;"!B:B"))</f>
        <v>258</v>
      </c>
      <c r="E20" s="272"/>
      <c r="F20" s="273" t="s">
        <v>325</v>
      </c>
      <c r="G20" s="276">
        <f ca="1">ROUND(C20*$C$18+D20*$D$18,0)</f>
        <v>370</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1112</v>
      </c>
      <c r="D21" s="149">
        <f ca="1">SUMIF(INDIRECT("'"&amp;D4&amp;"'"&amp;"!A:A"),结果表!B21,INDIRECT("'"&amp;D4&amp;"'"&amp;"!B:B"))</f>
        <v>646</v>
      </c>
      <c r="E21" s="272"/>
      <c r="F21" s="278" t="s">
        <v>327</v>
      </c>
      <c r="G21" s="280">
        <f ca="1">ROUND(C21*$C$18+D21*$D$18,0)</f>
        <v>926</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0.7213379469434833</v>
      </c>
      <c r="E22" s="282"/>
      <c r="F22" s="283"/>
      <c r="G22" s="284">
        <f ca="1">ROUND(G19/('数据-汇总表'!D3/666.67),0)</f>
        <v>62</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388"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389"/>
      <c r="B25" s="1275" t="s">
        <v>331</v>
      </c>
      <c r="C25" s="288">
        <f>IF(B30=0,0,C30)</f>
        <v>0</v>
      </c>
      <c r="D25" s="289"/>
      <c r="E25" s="309"/>
      <c r="F25" s="309"/>
      <c r="G25" s="309"/>
      <c r="H25" s="309"/>
      <c r="I25" s="309"/>
      <c r="J25" s="1912"/>
      <c r="K25" s="1209" t="str">
        <f ca="1">项目基本情况!B16&amp;"国有建设用地使用权价格："&amp;O38&amp;"万元"</f>
        <v>出让国有建设用地使用权价格：12422万元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大写金额：人民币壹亿贰仟肆佰贰拾贰万元整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单位面积地价：926元/平方米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楼面地价：370元/平方米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抵押价格：12422万元</v>
      </c>
      <c r="L29" s="1206"/>
      <c r="M29" s="1206"/>
      <c r="N29" s="1206"/>
      <c r="O29" s="1205"/>
      <c r="P29" s="1912"/>
      <c r="V29" s="1912"/>
    </row>
    <row r="30" spans="1:26" ht="18.75" thickBot="1">
      <c r="A30" s="2800" t="s">
        <v>336</v>
      </c>
      <c r="B30" s="307"/>
      <c r="C30" s="307"/>
      <c r="D30" s="308"/>
      <c r="E30" s="3003" t="s">
        <v>2965</v>
      </c>
      <c r="F30" s="309"/>
      <c r="G30" s="309"/>
      <c r="H30" s="309"/>
      <c r="I30" s="309"/>
      <c r="J30" s="1912"/>
      <c r="K30" s="1212" t="str">
        <f ca="1">IF(K29="——","——","大写金额：人民币"&amp;NUMBERSTRING(INT(O39*10000),2)&amp;"元整")</f>
        <v>大写金额：人民币壹亿贰仟肆佰贰拾贰万元整</v>
      </c>
      <c r="L30" s="1206"/>
      <c r="M30" s="1206"/>
      <c r="N30" s="1206"/>
      <c r="O30" s="1205"/>
      <c r="P30" s="1912"/>
      <c r="V30" s="1912"/>
    </row>
    <row r="31" spans="1:26" ht="24" customHeight="1" thickBot="1">
      <c r="A31" s="3416" t="s">
        <v>2966</v>
      </c>
      <c r="B31" s="3416"/>
      <c r="C31" s="3416"/>
      <c r="D31" s="3416"/>
      <c r="E31" s="3416"/>
      <c r="F31" s="3416"/>
      <c r="G31" s="3416"/>
      <c r="H31" s="3416"/>
      <c r="I31" s="3416"/>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12422</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370</v>
      </c>
      <c r="D33" s="1334" t="s">
        <v>1682</v>
      </c>
      <c r="E33" s="3388" t="s">
        <v>338</v>
      </c>
      <c r="F33" s="294" t="s">
        <v>339</v>
      </c>
      <c r="G33" s="295"/>
      <c r="H33" s="968"/>
      <c r="I33" s="1213"/>
      <c r="J33" s="1912"/>
      <c r="K33" s="1212" t="str">
        <f ca="1">IF(项目基本情况!E9="——","——","抵押净值："&amp;C46&amp;"万元")</f>
        <v>抵押净值：10510万元</v>
      </c>
      <c r="L33" s="1206"/>
      <c r="M33" s="1206"/>
      <c r="N33" s="1206"/>
      <c r="O33" s="1205"/>
      <c r="P33" s="1912"/>
      <c r="V33" s="1912"/>
    </row>
    <row r="34" spans="1:26" s="1208" customFormat="1" ht="18.75" thickBot="1">
      <c r="A34" s="298"/>
      <c r="B34" s="1335" t="s">
        <v>1683</v>
      </c>
      <c r="C34" s="262">
        <f ca="1">ROUND(C32*10000/'数据-汇总表'!D3,0)</f>
        <v>926</v>
      </c>
      <c r="D34" s="1336" t="s">
        <v>1682</v>
      </c>
      <c r="E34" s="3432"/>
      <c r="F34" s="127" t="s">
        <v>341</v>
      </c>
      <c r="G34" s="297"/>
      <c r="H34" s="105"/>
      <c r="I34" s="309"/>
      <c r="J34" s="1912"/>
      <c r="K34" s="1215" t="str">
        <f ca="1">IF(K33="——","——","大写金额：人民币"&amp;NUMBERSTRING(INT(O41*10000),2)&amp;"元整")</f>
        <v>大写金额：人民币壹亿零伍佰壹拾万元整</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62</v>
      </c>
      <c r="D35" s="1339" t="s">
        <v>1684</v>
      </c>
      <c r="E35" s="3433"/>
      <c r="F35" s="299" t="s">
        <v>342</v>
      </c>
      <c r="G35" s="970"/>
      <c r="H35" s="969" t="s">
        <v>343</v>
      </c>
      <c r="I35" s="309"/>
      <c r="J35" s="1912"/>
      <c r="K35" s="3406" t="s">
        <v>350</v>
      </c>
      <c r="L35" s="3406" t="s">
        <v>351</v>
      </c>
      <c r="M35" s="1218" t="s">
        <v>352</v>
      </c>
      <c r="N35" s="3406" t="s">
        <v>353</v>
      </c>
      <c r="O35" s="3406" t="s">
        <v>354</v>
      </c>
      <c r="P35" s="1912"/>
      <c r="V35" s="1912"/>
    </row>
    <row r="36" spans="1:26" ht="16.5" customHeight="1">
      <c r="A36" s="301" t="s">
        <v>344</v>
      </c>
      <c r="B36" s="302" t="s">
        <v>333</v>
      </c>
      <c r="C36" s="303" t="s">
        <v>345</v>
      </c>
      <c r="D36" s="303" t="s">
        <v>346</v>
      </c>
      <c r="E36" s="304" t="s">
        <v>347</v>
      </c>
      <c r="F36" s="309"/>
      <c r="G36" s="309"/>
      <c r="H36" s="309"/>
      <c r="I36" s="309"/>
      <c r="J36" s="1914"/>
      <c r="K36" s="3407"/>
      <c r="L36" s="3407"/>
      <c r="M36" s="1220" t="s">
        <v>355</v>
      </c>
      <c r="N36" s="3407"/>
      <c r="O36" s="3407"/>
      <c r="P36" s="1912"/>
      <c r="V36" s="1912"/>
    </row>
    <row r="37" spans="1:26" ht="16.5" customHeight="1" thickBot="1">
      <c r="A37" s="1214" t="s">
        <v>348</v>
      </c>
      <c r="B37" s="305"/>
      <c r="C37" s="292"/>
      <c r="D37" s="292"/>
      <c r="E37" s="293"/>
      <c r="F37" s="309"/>
      <c r="G37" s="309"/>
      <c r="H37" s="309"/>
      <c r="I37" s="309"/>
      <c r="J37" s="1914"/>
      <c r="K37" s="3408"/>
      <c r="L37" s="3408"/>
      <c r="M37" s="1221"/>
      <c r="N37" s="3408"/>
      <c r="O37" s="3408"/>
      <c r="P37" s="1912"/>
      <c r="V37" s="1912"/>
    </row>
    <row r="38" spans="1:26" ht="16.5" customHeight="1" thickBot="1">
      <c r="A38" s="1214" t="s">
        <v>349</v>
      </c>
      <c r="B38" s="305"/>
      <c r="C38" s="292"/>
      <c r="D38" s="292"/>
      <c r="E38" s="293"/>
      <c r="F38" s="309"/>
      <c r="G38" s="309"/>
      <c r="H38" s="309"/>
      <c r="I38" s="309"/>
      <c r="J38" s="1914"/>
      <c r="K38" s="1222">
        <f>'数据-汇总表'!D3</f>
        <v>134204</v>
      </c>
      <c r="L38" s="1223">
        <f>'数据-汇总表'!E3</f>
        <v>335510</v>
      </c>
      <c r="M38" s="1223">
        <f ca="1">C34</f>
        <v>926</v>
      </c>
      <c r="N38" s="1223">
        <f ca="1">C33</f>
        <v>370</v>
      </c>
      <c r="O38" s="1224">
        <f ca="1">C32</f>
        <v>12422</v>
      </c>
      <c r="P38" s="1912"/>
      <c r="V38" s="1912"/>
    </row>
    <row r="39" spans="1:26" ht="16.5" customHeight="1" thickBot="1">
      <c r="A39" s="1219"/>
      <c r="B39" s="306"/>
      <c r="C39" s="307"/>
      <c r="D39" s="307"/>
      <c r="E39" s="308"/>
      <c r="F39" s="309"/>
      <c r="G39" s="309"/>
      <c r="H39" s="309"/>
      <c r="I39" s="309"/>
      <c r="J39" s="1914"/>
      <c r="K39" s="3446" t="str">
        <f>MID(A44,3,LEN(A44)-2)</f>
        <v>抵押价格</v>
      </c>
      <c r="L39" s="3447"/>
      <c r="M39" s="3447"/>
      <c r="N39" s="3448"/>
      <c r="O39" s="1341">
        <f ca="1">C44</f>
        <v>12422</v>
      </c>
      <c r="P39" s="1912"/>
      <c r="V39" s="1912"/>
    </row>
    <row r="40" spans="1:26" ht="19.5" thickBot="1">
      <c r="A40" s="104" t="s">
        <v>864</v>
      </c>
      <c r="B40" s="309"/>
      <c r="C40" s="309"/>
      <c r="D40" s="309"/>
      <c r="E40" s="309"/>
      <c r="F40" s="309"/>
      <c r="G40" s="309"/>
      <c r="H40" s="309"/>
      <c r="I40" s="309"/>
      <c r="J40" s="1914"/>
      <c r="K40" s="3446" t="str">
        <f t="shared" ref="K40:K41" si="0">MID(A45,3,LEN(A45)-2)</f>
        <v/>
      </c>
      <c r="L40" s="3447"/>
      <c r="M40" s="3447"/>
      <c r="N40" s="3448"/>
      <c r="O40" s="1341" t="str">
        <f>C45</f>
        <v>——</v>
      </c>
      <c r="P40" s="1912"/>
      <c r="V40" s="1912"/>
    </row>
    <row r="41" spans="1:26" ht="16.5" thickBot="1">
      <c r="A41" s="310" t="s">
        <v>356</v>
      </c>
      <c r="B41" s="311"/>
      <c r="C41" s="312" t="s">
        <v>357</v>
      </c>
      <c r="D41" s="313" t="s">
        <v>358</v>
      </c>
      <c r="E41" s="313" t="s">
        <v>359</v>
      </c>
      <c r="F41" s="314" t="s">
        <v>360</v>
      </c>
      <c r="G41" s="309"/>
      <c r="H41" s="309"/>
      <c r="I41" s="309"/>
      <c r="J41" s="1914"/>
      <c r="K41" s="3446" t="str">
        <f t="shared" si="0"/>
        <v>抵押净值</v>
      </c>
      <c r="L41" s="3447"/>
      <c r="M41" s="3447"/>
      <c r="N41" s="3448"/>
      <c r="O41" s="1341">
        <f ca="1">C46</f>
        <v>10510</v>
      </c>
      <c r="P41" s="1912"/>
      <c r="V41" s="1912"/>
    </row>
    <row r="42" spans="1:26" ht="29.25">
      <c r="A42" s="3390" t="s">
        <v>2056</v>
      </c>
      <c r="B42" s="3391"/>
      <c r="C42" s="262">
        <f ca="1">C32</f>
        <v>12422</v>
      </c>
      <c r="D42" s="315">
        <f ca="1">C33</f>
        <v>370</v>
      </c>
      <c r="E42" s="315">
        <f ca="1">C34</f>
        <v>926</v>
      </c>
      <c r="F42" s="316">
        <f ca="1">C35</f>
        <v>62</v>
      </c>
      <c r="G42" s="309"/>
      <c r="H42" s="309"/>
      <c r="I42" s="317"/>
      <c r="J42" s="1914"/>
      <c r="K42" s="1225" t="s">
        <v>361</v>
      </c>
      <c r="L42" s="1931" t="s">
        <v>362</v>
      </c>
      <c r="M42" s="1226" t="s">
        <v>363</v>
      </c>
      <c r="N42" s="1932" t="s">
        <v>364</v>
      </c>
      <c r="O42" s="1933" t="s">
        <v>365</v>
      </c>
      <c r="P42" s="1912"/>
      <c r="V42" s="1912"/>
    </row>
    <row r="43" spans="1:26" ht="30">
      <c r="A43" s="3401" t="s">
        <v>2710</v>
      </c>
      <c r="B43" s="3402"/>
      <c r="C43" s="262">
        <f>IF(H33="正常操作",G33+G34+G35,G34+G35)</f>
        <v>0</v>
      </c>
      <c r="D43" s="315" t="s">
        <v>43</v>
      </c>
      <c r="E43" s="315" t="s">
        <v>44</v>
      </c>
      <c r="F43" s="316" t="s">
        <v>44</v>
      </c>
      <c r="G43" s="2584" t="s">
        <v>943</v>
      </c>
      <c r="H43" s="309"/>
      <c r="I43" s="317"/>
      <c r="J43" s="1914"/>
      <c r="K43" s="1227" t="str">
        <f>C4</f>
        <v>剩余法-待开发</v>
      </c>
      <c r="L43" s="1228">
        <f ca="1">IF(L42="估价结果/万元",C19,C20)</f>
        <v>14924</v>
      </c>
      <c r="M43" s="1229">
        <f>C18</f>
        <v>0.6</v>
      </c>
      <c r="N43" s="1230">
        <f ca="1">IF(N42="测算结果/万元",G19,G20)</f>
        <v>12422</v>
      </c>
      <c r="O43" s="1231">
        <f ca="1">IF(O42="最终结果/万元",C32,C33)</f>
        <v>12422</v>
      </c>
      <c r="P43" s="1912"/>
      <c r="V43" s="1912"/>
    </row>
    <row r="44" spans="1:26" ht="30.75" thickBot="1">
      <c r="A44" s="3390" t="str">
        <f>IF(OR(项目基本情况!E8="抵押价格",项目基本情况!E8="已注销及未注销"),"3.抵押价格","——")</f>
        <v>3.抵押价格</v>
      </c>
      <c r="B44" s="3391"/>
      <c r="C44" s="262">
        <f ca="1">IF(A44="——","——",C42-C43)</f>
        <v>12422</v>
      </c>
      <c r="D44" s="315">
        <f ca="1">ROUND(C44*10000/'数据-汇总表'!E3,0)</f>
        <v>370</v>
      </c>
      <c r="E44" s="315">
        <f ca="1">ROUND(C44*10000/'数据-汇总表'!D3,0)</f>
        <v>926</v>
      </c>
      <c r="F44" s="316">
        <f ca="1">ROUND(C44/('数据-汇总表'!D3/666.67),0)</f>
        <v>62</v>
      </c>
      <c r="G44" s="309"/>
      <c r="H44" s="309"/>
      <c r="I44" s="317"/>
      <c r="J44" s="1914"/>
      <c r="K44" s="1232" t="str">
        <f>D4</f>
        <v>比较法-住宅、综合</v>
      </c>
      <c r="L44" s="1233">
        <f ca="1">IF(L42="估价结果/万元",D19,D20)</f>
        <v>8670</v>
      </c>
      <c r="M44" s="1234">
        <f>D18</f>
        <v>0.4</v>
      </c>
      <c r="N44" s="1235"/>
      <c r="O44" s="1236"/>
      <c r="P44" s="1912"/>
      <c r="V44" s="1912"/>
    </row>
    <row r="45" spans="1:26" ht="15">
      <c r="A45" s="3396" t="str">
        <f>IF(项目基本情况!E8="已注销及未注销","4.抵押担保权已注销时的抵押价格",IF(项目基本情况!E8="已注销","3.抵押担保权已注销时的抵押价格","——"))</f>
        <v>——</v>
      </c>
      <c r="B45" s="3397"/>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392" t="str">
        <f>IF(项目基本情况!E9="抵押净值",IF(A45="——","4.抵押净值","5.抵押净值"),"——")</f>
        <v>4.抵押净值</v>
      </c>
      <c r="B46" s="3393"/>
      <c r="C46" s="318">
        <f ca="1">IF(A46="——","——",O79)</f>
        <v>10510</v>
      </c>
      <c r="D46" s="315">
        <f ca="1">ROUND(C46*10000/'数据-汇总表'!E3,0)</f>
        <v>313</v>
      </c>
      <c r="E46" s="315">
        <f ca="1">ROUND(C46*10000/'数据-汇总表'!D3,0)</f>
        <v>783</v>
      </c>
      <c r="F46" s="316">
        <f ca="1">ROUND(C46/('数据-汇总表'!D3/666.67),0)</f>
        <v>52</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0" t="s">
        <v>374</v>
      </c>
      <c r="B63" s="3441"/>
      <c r="C63" s="3442"/>
      <c r="D63" s="339">
        <f ca="1">ROUND(C42*F63,0)</f>
        <v>12422</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398" t="s">
        <v>378</v>
      </c>
      <c r="B64" s="3399"/>
      <c r="C64" s="3399"/>
      <c r="D64" s="3399"/>
      <c r="E64" s="3399"/>
      <c r="F64" s="3399"/>
      <c r="G64" s="3400"/>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394" t="s">
        <v>386</v>
      </c>
      <c r="B66" s="3395"/>
      <c r="C66" s="3395"/>
      <c r="D66" s="259">
        <f ca="1">IF(H66="情况1",0,IF(H66="情况2",D70,IF(H66="情况3",D71,IF(H66="情况4",D72))))</f>
        <v>651</v>
      </c>
      <c r="E66" s="981" t="str">
        <f>IF(H66="情况4","(销售额-原购置价)×税（费）率","销售额×税（费）率")</f>
        <v>销售额×税（费）率</v>
      </c>
      <c r="F66" s="348">
        <f>IF(H66="情况1","免征",'数据-取费表'!B41)</f>
        <v>5.5000000000000007E-2</v>
      </c>
      <c r="G66" s="349" t="s">
        <v>387</v>
      </c>
      <c r="H66" s="189" t="s">
        <v>3070</v>
      </c>
      <c r="I66" s="1242"/>
      <c r="J66" s="1918"/>
      <c r="K66" s="1245">
        <v>1</v>
      </c>
      <c r="L66" s="3455" t="s">
        <v>385</v>
      </c>
      <c r="M66" s="3456"/>
      <c r="N66" s="2313"/>
      <c r="O66" s="2314"/>
      <c r="P66" s="2315"/>
      <c r="Q66" s="1912"/>
      <c r="R66" s="1912"/>
      <c r="S66" s="1912"/>
      <c r="T66" s="1912"/>
      <c r="U66" s="1912"/>
      <c r="V66" s="1912"/>
    </row>
    <row r="67" spans="1:22" ht="25.5" customHeight="1">
      <c r="A67" s="350" t="s">
        <v>389</v>
      </c>
      <c r="B67" s="3385" t="s">
        <v>390</v>
      </c>
      <c r="C67" s="3385"/>
      <c r="D67" s="351">
        <v>0</v>
      </c>
      <c r="E67" s="41" t="s">
        <v>391</v>
      </c>
      <c r="F67" s="62" t="s">
        <v>21</v>
      </c>
      <c r="G67" s="3443"/>
      <c r="H67" s="3006" t="s">
        <v>2967</v>
      </c>
      <c r="I67" s="3008"/>
      <c r="J67" s="1919"/>
      <c r="K67" s="1891">
        <v>2</v>
      </c>
      <c r="L67" s="3449" t="s">
        <v>388</v>
      </c>
      <c r="M67" s="3449"/>
      <c r="N67" s="1279">
        <f>'数据-取费表'!B2</f>
        <v>44369</v>
      </c>
      <c r="O67" s="1279"/>
      <c r="P67" s="1279"/>
      <c r="Q67" s="1912"/>
      <c r="R67" s="1912"/>
      <c r="S67" s="1912"/>
      <c r="T67" s="1912"/>
      <c r="U67" s="1912"/>
      <c r="V67" s="1912"/>
    </row>
    <row r="68" spans="1:22" ht="25.5" customHeight="1">
      <c r="A68" s="352"/>
      <c r="B68" s="3385" t="s">
        <v>393</v>
      </c>
      <c r="C68" s="3385"/>
      <c r="D68" s="353"/>
      <c r="E68" s="77"/>
      <c r="F68" s="354"/>
      <c r="G68" s="3444"/>
      <c r="H68" s="3007" t="s">
        <v>2968</v>
      </c>
      <c r="I68" s="3008"/>
      <c r="J68" s="1919"/>
      <c r="K68" s="1891">
        <v>3</v>
      </c>
      <c r="L68" s="3449" t="s">
        <v>392</v>
      </c>
      <c r="M68" s="3449"/>
      <c r="N68" s="1247">
        <f ca="1">C42</f>
        <v>12422</v>
      </c>
      <c r="O68" s="1247"/>
      <c r="P68" s="1247"/>
      <c r="Q68" s="1912"/>
      <c r="R68" s="1912"/>
      <c r="S68" s="1912"/>
      <c r="T68" s="1912"/>
      <c r="U68" s="1912"/>
      <c r="V68" s="1912"/>
    </row>
    <row r="69" spans="1:22" ht="23.45" customHeight="1">
      <c r="A69" s="355"/>
      <c r="B69" s="3385" t="s">
        <v>394</v>
      </c>
      <c r="C69" s="3385"/>
      <c r="D69" s="356"/>
      <c r="E69" s="73"/>
      <c r="F69" s="354"/>
      <c r="G69" s="3445"/>
      <c r="H69" s="3007" t="s">
        <v>2969</v>
      </c>
      <c r="I69" s="3008"/>
      <c r="J69" s="1919"/>
      <c r="K69" s="1248">
        <v>4</v>
      </c>
      <c r="L69" s="3459" t="s">
        <v>2862</v>
      </c>
      <c r="M69" s="3460"/>
      <c r="N69" s="1249">
        <f ca="1">C44</f>
        <v>12422</v>
      </c>
      <c r="O69" s="1249"/>
      <c r="P69" s="1249"/>
      <c r="Q69" s="1912"/>
      <c r="R69" s="1912"/>
      <c r="S69" s="1912"/>
      <c r="T69" s="1912"/>
      <c r="U69" s="1912"/>
      <c r="V69" s="1912"/>
    </row>
    <row r="70" spans="1:22" ht="24" customHeight="1">
      <c r="A70" s="357" t="s">
        <v>395</v>
      </c>
      <c r="B70" s="3385" t="s">
        <v>396</v>
      </c>
      <c r="C70" s="3385"/>
      <c r="D70" s="356">
        <f ca="1">ROUND(D63*'数据-取费表'!B41/(1+'数据-取费表'!C42),0)</f>
        <v>651</v>
      </c>
      <c r="E70" s="17" t="s">
        <v>397</v>
      </c>
      <c r="F70" s="358">
        <f>'数据-取费表'!B41</f>
        <v>5.5000000000000007E-2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386" t="s">
        <v>2998</v>
      </c>
      <c r="C71" s="3387"/>
      <c r="D71" s="356">
        <f ca="1">ROUND(D63*'数据-取费表'!B41/(1+'数据-取费表'!C42),0)</f>
        <v>651</v>
      </c>
      <c r="E71" s="17" t="s">
        <v>397</v>
      </c>
      <c r="F71" s="358">
        <f>'数据-取费表'!B41</f>
        <v>5.5000000000000007E-2</v>
      </c>
      <c r="G71" s="359"/>
      <c r="H71" s="309"/>
      <c r="I71" s="1246"/>
      <c r="J71" s="1919"/>
      <c r="K71" s="2764" t="s">
        <v>398</v>
      </c>
      <c r="L71" s="3461" t="s">
        <v>399</v>
      </c>
      <c r="M71" s="3461"/>
      <c r="N71" s="2764" t="s">
        <v>400</v>
      </c>
      <c r="O71" s="2764" t="s">
        <v>401</v>
      </c>
      <c r="P71" s="2764" t="s">
        <v>402</v>
      </c>
      <c r="Q71" s="1912"/>
      <c r="R71" s="1912"/>
      <c r="S71" s="1912"/>
      <c r="T71" s="1912"/>
      <c r="U71" s="1912"/>
      <c r="V71" s="1912"/>
    </row>
    <row r="72" spans="1:22" ht="12" customHeight="1">
      <c r="A72" s="357" t="s">
        <v>405</v>
      </c>
      <c r="B72" s="3386" t="s">
        <v>2999</v>
      </c>
      <c r="C72" s="3387"/>
      <c r="D72" s="356">
        <f ca="1">C86</f>
        <v>651</v>
      </c>
      <c r="E72" s="73" t="s">
        <v>406</v>
      </c>
      <c r="F72" s="358">
        <f>'数据-取费表'!B41</f>
        <v>5.5000000000000007E-2</v>
      </c>
      <c r="G72" s="359"/>
      <c r="H72" s="1252"/>
      <c r="I72" s="1246"/>
      <c r="J72" s="1919"/>
      <c r="K72" s="1891">
        <v>1</v>
      </c>
      <c r="L72" s="3436" t="s">
        <v>404</v>
      </c>
      <c r="M72" s="3436"/>
      <c r="N72" s="1250">
        <f ca="1">D66</f>
        <v>651</v>
      </c>
      <c r="O72" s="1774" t="str">
        <f>E66</f>
        <v>销售额×税（费）率</v>
      </c>
      <c r="P72" s="1251">
        <f>F66</f>
        <v>5.5000000000000007E-2</v>
      </c>
      <c r="Q72" s="1912"/>
      <c r="R72" s="1912"/>
      <c r="S72" s="1912"/>
      <c r="T72" s="1912"/>
      <c r="U72" s="1912"/>
      <c r="V72" s="1912"/>
    </row>
    <row r="73" spans="1:22" ht="24" customHeight="1">
      <c r="A73" s="3431" t="s">
        <v>408</v>
      </c>
      <c r="B73" s="3395"/>
      <c r="C73" s="3395"/>
      <c r="D73" s="360">
        <f ca="1">IF(H73="个人住宅",0,ROUND(D63*I73,0))</f>
        <v>6</v>
      </c>
      <c r="E73" s="17" t="s">
        <v>409</v>
      </c>
      <c r="F73" s="358">
        <f>IF(H73="正常",I73,"免征")</f>
        <v>5.0000000000000001E-4</v>
      </c>
      <c r="G73" s="359"/>
      <c r="H73" s="189" t="s">
        <v>3061</v>
      </c>
      <c r="I73" s="358">
        <f>'数据-取费表'!B49</f>
        <v>5.0000000000000001E-4</v>
      </c>
      <c r="J73" s="1919"/>
      <c r="K73" s="1891">
        <v>2</v>
      </c>
      <c r="L73" s="3436" t="s">
        <v>407</v>
      </c>
      <c r="M73" s="3436"/>
      <c r="N73" s="1250">
        <f t="shared" ref="N73:P74" ca="1" si="1">D73</f>
        <v>6</v>
      </c>
      <c r="O73" s="1774" t="str">
        <f t="shared" si="1"/>
        <v>销售额×税（费）率</v>
      </c>
      <c r="P73" s="1251">
        <f t="shared" si="1"/>
        <v>5.0000000000000001E-4</v>
      </c>
      <c r="Q73" s="1912"/>
      <c r="R73" s="1912"/>
      <c r="S73" s="1912"/>
      <c r="T73" s="1912"/>
      <c r="U73" s="1912"/>
      <c r="V73" s="1912"/>
    </row>
    <row r="74" spans="1:22" ht="24.75">
      <c r="A74" s="3431" t="s">
        <v>411</v>
      </c>
      <c r="B74" s="3395"/>
      <c r="C74" s="3395"/>
      <c r="D74" s="360">
        <f ca="1">IF(H74="个人住宅",D75,D76)</f>
        <v>1255</v>
      </c>
      <c r="E74" s="17" t="s">
        <v>412</v>
      </c>
      <c r="F74" s="358" t="str">
        <f>IF(H74="正常",F76,"免征")</f>
        <v>——</v>
      </c>
      <c r="G74" s="971" t="s">
        <v>413</v>
      </c>
      <c r="H74" s="361" t="s">
        <v>3061</v>
      </c>
      <c r="I74" s="42"/>
      <c r="J74" s="1919"/>
      <c r="K74" s="1891">
        <v>3</v>
      </c>
      <c r="L74" s="3436" t="s">
        <v>410</v>
      </c>
      <c r="M74" s="3436"/>
      <c r="N74" s="1250">
        <f t="shared" ca="1" si="1"/>
        <v>1255</v>
      </c>
      <c r="O74" s="1774" t="str">
        <f t="shared" si="1"/>
        <v>增值额×税（费）率</v>
      </c>
      <c r="P74" s="1253" t="str">
        <f t="shared" si="1"/>
        <v>——</v>
      </c>
      <c r="Q74" s="1912"/>
      <c r="R74" s="1912"/>
      <c r="S74" s="1912"/>
      <c r="T74" s="1912"/>
      <c r="U74" s="1912"/>
      <c r="V74" s="1912"/>
    </row>
    <row r="75" spans="1:22" ht="12.75">
      <c r="A75" s="357" t="s">
        <v>414</v>
      </c>
      <c r="B75" s="3383" t="s">
        <v>415</v>
      </c>
      <c r="C75" s="3419"/>
      <c r="D75" s="362">
        <v>0</v>
      </c>
      <c r="E75" s="41" t="s">
        <v>416</v>
      </c>
      <c r="F75" s="363"/>
      <c r="G75" s="359"/>
      <c r="H75" s="42"/>
      <c r="I75" s="42"/>
      <c r="J75" s="1919"/>
      <c r="K75" s="2758" t="str">
        <f>IF(H77="非个人房产","",4)</f>
        <v/>
      </c>
      <c r="L75" s="3436" t="str">
        <f>IF(H77="非个人房产","——","个人所得税")</f>
        <v>——</v>
      </c>
      <c r="M75" s="3436"/>
      <c r="N75" s="1254" t="str">
        <f>D77</f>
        <v>——</v>
      </c>
      <c r="O75" s="1787" t="str">
        <f>E77</f>
        <v>——</v>
      </c>
      <c r="P75" s="1255" t="str">
        <f>F77</f>
        <v>——</v>
      </c>
      <c r="Q75" s="1912"/>
      <c r="R75" s="1912"/>
      <c r="S75" s="1912"/>
      <c r="T75" s="1912"/>
      <c r="U75" s="1912"/>
      <c r="V75" s="1912"/>
    </row>
    <row r="76" spans="1:22" ht="24.75">
      <c r="A76" s="357" t="s">
        <v>395</v>
      </c>
      <c r="B76" s="3383" t="s">
        <v>418</v>
      </c>
      <c r="C76" s="3384"/>
      <c r="D76" s="360">
        <f ca="1">IF(H76="转让取得",C99,C115)</f>
        <v>1255</v>
      </c>
      <c r="E76" s="17" t="s">
        <v>419</v>
      </c>
      <c r="F76" s="53" t="s">
        <v>21</v>
      </c>
      <c r="G76" s="359"/>
      <c r="H76" s="361" t="s">
        <v>3071</v>
      </c>
      <c r="I76" s="42"/>
      <c r="J76" s="1919"/>
      <c r="K76" s="2758" t="str">
        <f>IF(项目基本情况!K6="上海银行",IF(K75="",4,K75+1),"")</f>
        <v/>
      </c>
      <c r="L76" s="3451" t="str">
        <f>IF(项目基本情况!K6="上海银行","其他处置费用","")</f>
        <v/>
      </c>
      <c r="M76" s="3452"/>
      <c r="N76" s="1250" t="str">
        <f>IF(项目基本情况!K6="上海银行",N89,"")</f>
        <v/>
      </c>
      <c r="O76" s="3453" t="str">
        <f>IF(项目基本情况!K6="上海银行","包含处置中涉及的律师、诉讼、拍卖、评估等费用","")</f>
        <v/>
      </c>
      <c r="P76" s="3454"/>
      <c r="Q76" s="1912"/>
      <c r="R76" s="1912"/>
      <c r="S76" s="1912"/>
      <c r="T76" s="1912"/>
      <c r="U76" s="1912"/>
      <c r="V76" s="1912"/>
    </row>
    <row r="77" spans="1:22" ht="24.75" thickBot="1">
      <c r="A77" s="3438" t="s">
        <v>421</v>
      </c>
      <c r="B77" s="3439"/>
      <c r="C77" s="3439"/>
      <c r="D77" s="3011" t="str">
        <f>IF(H77="非个人房产","——",IF(H77="个人住宅（满五唯一有凭证）",0,IF(H77="个人其他（无凭证）",ROUND(D63*F77,0),ROUND(C84*F77,0))))</f>
        <v>——</v>
      </c>
      <c r="E77" s="3012" t="str">
        <f>IF(H77="非个人房产","——",IF(H77="个人其他（无凭证）","销售额×税（费）率",IF(H77="个人住宅（满五唯一有凭证）","免征","差额计税")))</f>
        <v>——</v>
      </c>
      <c r="F77" s="3013" t="str">
        <f>IF(OR(H77="非个人房产",H77="个人住宅（满五唯一有凭证）"),"——",IF(H77="个人其他（有凭证）",20%,1%))</f>
        <v>——</v>
      </c>
      <c r="G77" s="972" t="s">
        <v>413</v>
      </c>
      <c r="H77" s="3010" t="s">
        <v>3072</v>
      </c>
      <c r="I77" s="3009" t="s">
        <v>2970</v>
      </c>
      <c r="J77" s="1919"/>
      <c r="K77" s="3437">
        <f>IF(AND(K75="",K76=""),4,IF(项目基本情况!K6="上海银行",K76+1,K75+1))</f>
        <v>4</v>
      </c>
      <c r="L77" s="3436" t="s">
        <v>2863</v>
      </c>
      <c r="M77" s="2763" t="s">
        <v>417</v>
      </c>
      <c r="N77" s="1256"/>
      <c r="O77" s="1257">
        <f ca="1">SUMIF(N72:N76,"&lt;9e307")</f>
        <v>1912</v>
      </c>
      <c r="P77" s="1258"/>
      <c r="Q77" s="2761">
        <f ca="1">O77/N69</f>
        <v>0.15392046369344711</v>
      </c>
      <c r="R77" s="1912"/>
      <c r="S77" s="1912"/>
      <c r="T77" s="1912"/>
      <c r="U77" s="1912"/>
      <c r="V77" s="1912"/>
    </row>
    <row r="78" spans="1:22" ht="12" customHeight="1">
      <c r="A78" s="1259"/>
      <c r="B78" s="309"/>
      <c r="C78" s="309"/>
      <c r="D78" s="309"/>
      <c r="E78" s="42"/>
      <c r="F78" s="42"/>
      <c r="G78" s="42"/>
      <c r="H78" s="991"/>
      <c r="I78" s="309"/>
      <c r="J78" s="1919"/>
      <c r="K78" s="3437"/>
      <c r="L78" s="3436"/>
      <c r="M78" s="2763" t="s">
        <v>420</v>
      </c>
      <c r="N78" s="1256"/>
      <c r="O78" s="1257" t="str">
        <f ca="1">NUMBERSTRING(INT(O77*10000),2)&amp;"元整"</f>
        <v>壹仟玖佰壹拾贰万元整</v>
      </c>
      <c r="P78" s="1258"/>
      <c r="Q78" s="1912"/>
      <c r="R78" s="1912"/>
      <c r="S78" s="1912"/>
      <c r="T78" s="1912"/>
      <c r="U78" s="1912"/>
      <c r="V78" s="1912"/>
    </row>
    <row r="79" spans="1:22" ht="13.5" thickBot="1">
      <c r="A79" s="3403" t="s">
        <v>422</v>
      </c>
      <c r="B79" s="3403"/>
      <c r="C79" s="3403"/>
      <c r="D79" s="3403"/>
      <c r="E79" s="3403"/>
      <c r="F79" s="42"/>
      <c r="G79" s="42"/>
      <c r="H79" s="991"/>
      <c r="I79" s="309"/>
      <c r="J79" s="1919"/>
      <c r="K79" s="3457">
        <f>K77+1</f>
        <v>5</v>
      </c>
      <c r="L79" s="3436" t="s">
        <v>2864</v>
      </c>
      <c r="M79" s="2763" t="s">
        <v>417</v>
      </c>
      <c r="N79" s="1256"/>
      <c r="O79" s="1257">
        <f ca="1">N69-O77</f>
        <v>10510</v>
      </c>
      <c r="P79" s="1258"/>
      <c r="Q79" s="1912"/>
      <c r="R79" s="1912"/>
      <c r="S79" s="1912"/>
      <c r="T79" s="1912"/>
      <c r="U79" s="1912"/>
      <c r="V79" s="1912"/>
    </row>
    <row r="80" spans="1:22" ht="25.5">
      <c r="A80" s="3404" t="s">
        <v>423</v>
      </c>
      <c r="B80" s="3405"/>
      <c r="C80" s="982"/>
      <c r="D80" s="982" t="s">
        <v>424</v>
      </c>
      <c r="E80" s="364" t="s">
        <v>425</v>
      </c>
      <c r="F80" s="42"/>
      <c r="G80" s="42"/>
      <c r="H80" s="991"/>
      <c r="I80" s="309"/>
      <c r="J80" s="1912"/>
      <c r="K80" s="3458"/>
      <c r="L80" s="3436"/>
      <c r="M80" s="2763" t="s">
        <v>420</v>
      </c>
      <c r="N80" s="1256"/>
      <c r="O80" s="1257" t="str">
        <f ca="1">NUMBERSTRING(INT(O79*10000),2)&amp;"元整"</f>
        <v>壹亿零伍佰壹拾万元整</v>
      </c>
      <c r="P80" s="1258"/>
      <c r="Q80" s="1912"/>
      <c r="R80" s="1912"/>
      <c r="S80" s="1912"/>
      <c r="T80" s="1912"/>
      <c r="U80" s="1912"/>
      <c r="V80" s="1912"/>
    </row>
    <row r="81" spans="1:26" ht="13.5" thickBot="1">
      <c r="A81" s="375" t="s">
        <v>1814</v>
      </c>
      <c r="B81" s="365" t="s">
        <v>426</v>
      </c>
      <c r="C81" s="366">
        <f ca="1">ROUND((C82+C83)/(1+'数据-取费表'!C42),0)</f>
        <v>11830</v>
      </c>
      <c r="D81" s="367"/>
      <c r="E81" s="368"/>
      <c r="F81" s="42"/>
      <c r="G81" s="42"/>
      <c r="H81" s="991"/>
      <c r="I81" s="309"/>
      <c r="J81" s="1912"/>
      <c r="K81" s="2758">
        <f>K79+1</f>
        <v>6</v>
      </c>
      <c r="L81" s="3434" t="s">
        <v>2865</v>
      </c>
      <c r="M81" s="3435"/>
      <c r="N81" s="1260"/>
      <c r="O81" s="1261">
        <f ca="1">ROUND(O79*10000/'数据-汇总表'!E3,0)</f>
        <v>313</v>
      </c>
      <c r="P81" s="1262"/>
      <c r="Q81" s="1912"/>
      <c r="R81" s="1912"/>
      <c r="S81" s="1912"/>
      <c r="T81" s="1912"/>
      <c r="U81" s="1912"/>
      <c r="V81" s="1912"/>
    </row>
    <row r="82" spans="1:26" ht="13.5" thickTop="1">
      <c r="A82" s="369" t="s">
        <v>1815</v>
      </c>
      <c r="B82" s="370" t="s">
        <v>427</v>
      </c>
      <c r="C82" s="371">
        <f ca="1">D63</f>
        <v>12422</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50" t="s">
        <v>2853</v>
      </c>
      <c r="L83" s="2769" t="s">
        <v>2854</v>
      </c>
      <c r="M83" s="2759">
        <f ca="1">IF(N69&gt;10000,N69*0.5%,IF(AND(N69&gt;1000,N69&lt;=10000),N69*1%,IF(AND(N69&gt;100,N69&lt;=1000),N69*3%,IF(AND(N69&gt;10,N69&lt;=100),N69*5%,N69*8%))))</f>
        <v>62.11</v>
      </c>
      <c r="N83" s="53">
        <f ca="1">ROUND(M83,1)</f>
        <v>62.1</v>
      </c>
      <c r="O83" s="2762"/>
      <c r="P83" s="1912"/>
      <c r="Q83" s="1912"/>
      <c r="R83" s="1912"/>
      <c r="S83" s="1912"/>
      <c r="T83" s="1912"/>
      <c r="U83" s="1912"/>
      <c r="V83" s="1912"/>
    </row>
    <row r="84" spans="1:26" ht="12.75">
      <c r="A84" s="375" t="s">
        <v>1817</v>
      </c>
      <c r="B84" s="376" t="s">
        <v>429</v>
      </c>
      <c r="C84" s="377"/>
      <c r="D84" s="378" t="s">
        <v>19</v>
      </c>
      <c r="E84" s="2787" t="s">
        <v>2908</v>
      </c>
      <c r="F84" s="42"/>
      <c r="G84" s="42"/>
      <c r="H84" s="991"/>
      <c r="I84" s="309"/>
      <c r="J84" s="1912"/>
      <c r="K84" s="3450"/>
      <c r="L84" s="2769" t="s">
        <v>2855</v>
      </c>
      <c r="M84" s="2759">
        <f ca="1">IF(N69&gt;2000,N69*0.5%,IF(AND(N69&gt;1000,N69&lt;=2000),N69*0.6%,IF(AND(N69&gt;500,N69&lt;=1000),N69*0.7%,IF(AND(N69&gt;200,N69&lt;=500),N69*0.8%,IF(AND(N69&gt;100,N69&lt;=200),N69*0.9%,IF(AND(N69&gt;50,N69&lt;=100),N69*1%,IF(AND(N69&gt;20,N69&lt;=50),N69*1.5%,IF(AND(N69&gt;10,N69&lt;=20),N69*2%,IF(AND(N69&gt;1,N69&lt;=10),N69*2.5%)))))))))</f>
        <v>62.11</v>
      </c>
      <c r="N84" s="53">
        <f t="shared" ref="N84:N85" ca="1" si="2">ROUND(M84,1)</f>
        <v>62.1</v>
      </c>
      <c r="O84" s="1912" t="s">
        <v>2856</v>
      </c>
      <c r="P84" s="1912"/>
      <c r="Q84" s="1912"/>
      <c r="R84" s="1912"/>
      <c r="S84" s="1912"/>
      <c r="T84" s="1912"/>
      <c r="U84" s="1912"/>
      <c r="V84" s="1912"/>
    </row>
    <row r="85" spans="1:26" ht="12.75">
      <c r="A85" s="375" t="s">
        <v>1818</v>
      </c>
      <c r="B85" s="376" t="s">
        <v>430</v>
      </c>
      <c r="C85" s="379">
        <f ca="1">C81-C84</f>
        <v>11830</v>
      </c>
      <c r="D85" s="372" t="s">
        <v>19</v>
      </c>
      <c r="E85" s="373"/>
      <c r="F85" s="42"/>
      <c r="G85" s="42"/>
      <c r="H85" s="991"/>
      <c r="I85" s="309"/>
      <c r="J85" s="1912"/>
      <c r="K85" s="3450"/>
      <c r="L85" s="2769" t="s">
        <v>2857</v>
      </c>
      <c r="M85" s="2759">
        <f ca="1">IF(N69&gt;1000,N69*0.1%,IF(AND(N69&gt;500,N69&lt;=1000),N69*0.5%,IF(AND(N69&gt;50,N69&lt;=500),N69*1%,IF(AND(N69&gt;1,N69&lt;=50),N69*1.5%))))</f>
        <v>12.422000000000001</v>
      </c>
      <c r="N85" s="53">
        <f t="shared" ca="1" si="2"/>
        <v>12.4</v>
      </c>
      <c r="O85" s="1912" t="s">
        <v>2856</v>
      </c>
      <c r="P85" s="1912"/>
      <c r="Q85" s="1912"/>
      <c r="R85" s="1912"/>
      <c r="S85" s="1912"/>
      <c r="T85" s="1912"/>
      <c r="U85" s="1912"/>
      <c r="V85" s="1912"/>
    </row>
    <row r="86" spans="1:26" ht="13.5" thickBot="1">
      <c r="A86" s="380" t="s">
        <v>1819</v>
      </c>
      <c r="B86" s="381" t="s">
        <v>431</v>
      </c>
      <c r="C86" s="382">
        <f ca="1">IF(C85&lt;=0,0,ROUND(C85*D86,0))</f>
        <v>651</v>
      </c>
      <c r="D86" s="383">
        <f>'数据-取费表'!B41</f>
        <v>5.5000000000000007E-2</v>
      </c>
      <c r="E86" s="384"/>
      <c r="F86" s="42"/>
      <c r="G86" s="42"/>
      <c r="H86" s="991"/>
      <c r="I86" s="309"/>
      <c r="J86" s="1912"/>
      <c r="K86" s="3450"/>
      <c r="L86" s="2769" t="s">
        <v>2858</v>
      </c>
      <c r="M86" s="2759">
        <f ca="1">N69*0.5%</f>
        <v>62.11</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50"/>
      <c r="L87" s="2769" t="s">
        <v>2860</v>
      </c>
      <c r="M87" s="2759">
        <f ca="1">IF(N69&gt;=10000,(8.25+(N69-10000)*0.01%),IF(AND(N69&gt;=8000,N69&lt;10000),(7.85+(N69-8000)*0.02%),IF(AND(N69&gt;=5000,N69&lt;8000),(6.65+(N69-5000)*0.04%),IF(AND(N69&gt;=2000,N69&lt;5000),(4.25+(PN69-2000)*0.08%),IF(AND(N69&gt;=1000,N69&lt;2000),(2.75+(N69-1000)*0.15%),IF(AND(N69&gt;=100,N69&lt;1000),(0.5+(N69-100)*0.25%),IF(AND(N69&gt;0,N69&lt;100),N69*0.5%)))))))</f>
        <v>8.4922000000000004</v>
      </c>
      <c r="N87" s="53">
        <f ca="1">ROUND(M87*0.9,1)</f>
        <v>7.6</v>
      </c>
      <c r="O87" s="2762"/>
      <c r="P87" s="1912"/>
      <c r="Q87" s="1912"/>
      <c r="R87" s="1912"/>
      <c r="S87" s="1912"/>
      <c r="T87" s="1912"/>
      <c r="U87" s="1912"/>
      <c r="V87" s="1912"/>
      <c r="W87" s="290"/>
      <c r="X87" s="290"/>
      <c r="Y87" s="290"/>
      <c r="Z87" s="290"/>
    </row>
    <row r="88" spans="1:26" s="1268" customFormat="1" ht="15" thickBot="1">
      <c r="A88" s="3429" t="s">
        <v>432</v>
      </c>
      <c r="B88" s="3430"/>
      <c r="C88" s="3430"/>
      <c r="D88" s="3430"/>
      <c r="E88" s="3430"/>
      <c r="F88" s="3430"/>
      <c r="G88" s="3430"/>
      <c r="H88" s="3430"/>
      <c r="I88" s="1269"/>
      <c r="J88" s="1920"/>
      <c r="K88" s="3450"/>
      <c r="L88" s="2769" t="s">
        <v>2861</v>
      </c>
      <c r="M88" s="2759">
        <f ca="1">IF(N69&gt;10000,N69*0.5%,IF(AND(N69&gt;5000,N69&lt;=10000),N69*1%,IF(AND(N69&gt;1000,N69&lt;=5000),N69*2%,IF(AND(N69&gt;200,N69&lt;=1000),N69*3%,N69*5%))))</f>
        <v>62.11</v>
      </c>
      <c r="N88" s="53">
        <f ca="1">ROUND(M88,1)</f>
        <v>62.1</v>
      </c>
      <c r="O88" s="2762"/>
      <c r="P88" s="1917"/>
      <c r="Q88" s="1917"/>
      <c r="R88" s="1917"/>
      <c r="S88" s="1917"/>
      <c r="T88" s="1917"/>
      <c r="U88" s="1917"/>
      <c r="V88" s="1917"/>
      <c r="W88" s="1921"/>
      <c r="X88" s="1921"/>
      <c r="Y88" s="1921"/>
      <c r="Z88" s="1921"/>
    </row>
    <row r="89" spans="1:26" s="1268" customFormat="1" ht="14.25">
      <c r="A89" s="3404" t="s">
        <v>423</v>
      </c>
      <c r="B89" s="3405"/>
      <c r="C89" s="982"/>
      <c r="D89" s="982" t="s">
        <v>424</v>
      </c>
      <c r="E89" s="385" t="s">
        <v>433</v>
      </c>
      <c r="F89" s="386"/>
      <c r="G89" s="386"/>
      <c r="H89" s="387"/>
      <c r="I89" s="1270"/>
      <c r="J89" s="1922"/>
      <c r="K89" s="3450"/>
      <c r="L89" s="2769" t="s">
        <v>27</v>
      </c>
      <c r="M89" s="2760"/>
      <c r="N89" s="53">
        <f ca="1">ROUND(SUM(N83:N88),0)</f>
        <v>207</v>
      </c>
      <c r="O89" s="2770">
        <f ca="1">N89/N69</f>
        <v>1.6663983255514409E-2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11830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59</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386" t="s">
        <v>441</v>
      </c>
      <c r="F94" s="3385"/>
      <c r="G94" s="3385"/>
      <c r="H94" s="3428"/>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59</v>
      </c>
      <c r="D96" s="400">
        <f>'数据-取费表'!B43</f>
        <v>5.000000000000001E-3</v>
      </c>
      <c r="E96" s="3420" t="s">
        <v>2413</v>
      </c>
      <c r="F96" s="3421"/>
      <c r="G96" s="3421"/>
      <c r="H96" s="3422"/>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11771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199.5084745762712</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7042</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29" t="s">
        <v>448</v>
      </c>
      <c r="B101" s="3430"/>
      <c r="C101" s="3430"/>
      <c r="D101" s="3430"/>
      <c r="E101" s="3430"/>
      <c r="F101" s="3430"/>
      <c r="G101" s="3430"/>
      <c r="H101" s="3430"/>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4" t="s">
        <v>423</v>
      </c>
      <c r="B102" s="3405"/>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11830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7726</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7302</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f>信息!C2</f>
        <v>7086</v>
      </c>
      <c r="D106" s="400"/>
      <c r="E106" s="411" t="s">
        <v>451</v>
      </c>
      <c r="F106" s="974"/>
      <c r="G106" s="412" t="s">
        <v>452</v>
      </c>
      <c r="H106" s="413" t="s">
        <v>3073</v>
      </c>
      <c r="I106" s="11"/>
      <c r="J106" s="1917"/>
      <c r="K106" s="3244" t="s">
        <v>2991</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216</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380" t="s">
        <v>2962</v>
      </c>
      <c r="H108" s="3381"/>
      <c r="I108" s="2859"/>
      <c r="J108" s="1917"/>
      <c r="K108" s="3244" t="s">
        <v>2992</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23" t="s">
        <v>456</v>
      </c>
      <c r="F109" s="3421"/>
      <c r="G109" s="3421"/>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365</v>
      </c>
      <c r="D110" s="3275">
        <v>0.05</v>
      </c>
      <c r="E110" s="3423" t="s">
        <v>458</v>
      </c>
      <c r="F110" s="3421"/>
      <c r="G110" s="3421"/>
      <c r="H110" s="3422"/>
      <c r="I110" s="11"/>
      <c r="J110" s="1917"/>
      <c r="K110" s="3245" t="s">
        <v>2993</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59</v>
      </c>
      <c r="D111" s="400">
        <f>'数据-取费表'!B43</f>
        <v>5.000000000000001E-3</v>
      </c>
      <c r="E111" s="3420" t="s">
        <v>2413</v>
      </c>
      <c r="F111" s="3421"/>
      <c r="G111" s="3421"/>
      <c r="H111" s="3422"/>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23" t="s">
        <v>2436</v>
      </c>
      <c r="F112" s="3421"/>
      <c r="G112" s="3421"/>
      <c r="H112" s="3422"/>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4104</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0.53119337302614544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1255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4" zoomScale="80" zoomScaleNormal="95" zoomScaleSheetLayoutView="80" workbookViewId="0">
      <selection activeCell="I52" sqref="I52"/>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8670</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258</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646</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43</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471" t="s">
        <v>516</v>
      </c>
      <c r="D6" s="3472"/>
      <c r="E6" s="3471" t="s">
        <v>517</v>
      </c>
      <c r="F6" s="3472"/>
      <c r="G6" s="3471" t="s">
        <v>518</v>
      </c>
      <c r="H6" s="3472"/>
      <c r="I6" s="3471" t="s">
        <v>519</v>
      </c>
      <c r="J6" s="3472"/>
      <c r="K6" s="508" t="s">
        <v>520</v>
      </c>
      <c r="L6" s="2016"/>
      <c r="M6" s="2015"/>
      <c r="N6" s="2015"/>
      <c r="O6" s="2017"/>
      <c r="P6" s="3473" t="s">
        <v>521</v>
      </c>
      <c r="Q6" s="3474"/>
      <c r="R6" s="3479" t="s">
        <v>517</v>
      </c>
      <c r="S6" s="3480"/>
      <c r="T6" s="3479" t="s">
        <v>518</v>
      </c>
      <c r="U6" s="3480"/>
      <c r="V6" s="3466" t="s">
        <v>519</v>
      </c>
      <c r="W6" s="3466"/>
      <c r="X6" s="1502"/>
      <c r="Y6" s="3479" t="s">
        <v>521</v>
      </c>
      <c r="Z6" s="3480"/>
      <c r="AA6" s="3468" t="s">
        <v>517</v>
      </c>
      <c r="AB6" s="3469" t="s">
        <v>518</v>
      </c>
      <c r="AC6" s="3468" t="s">
        <v>519</v>
      </c>
    </row>
    <row r="7" spans="1:30" ht="20.25">
      <c r="A7" s="509"/>
      <c r="B7" s="510"/>
      <c r="C7" s="3487" t="s">
        <v>2897</v>
      </c>
      <c r="D7" s="3488"/>
      <c r="E7" s="3487" t="s">
        <v>2898</v>
      </c>
      <c r="F7" s="3488"/>
      <c r="G7" s="3487" t="s">
        <v>2899</v>
      </c>
      <c r="H7" s="3488"/>
      <c r="I7" s="3487" t="s">
        <v>2900</v>
      </c>
      <c r="J7" s="3488"/>
      <c r="K7" s="508"/>
      <c r="L7" s="2016"/>
      <c r="M7" s="2015"/>
      <c r="N7" s="2015"/>
      <c r="O7" s="2017"/>
      <c r="P7" s="3475"/>
      <c r="Q7" s="3476"/>
      <c r="R7" s="3481"/>
      <c r="S7" s="3482"/>
      <c r="T7" s="3481"/>
      <c r="U7" s="3482"/>
      <c r="V7" s="3466"/>
      <c r="W7" s="3466"/>
      <c r="X7" s="1502"/>
      <c r="Y7" s="3481"/>
      <c r="Z7" s="3482"/>
      <c r="AA7" s="3469"/>
      <c r="AB7" s="3469"/>
      <c r="AC7" s="3469"/>
    </row>
    <row r="8" spans="1:30" ht="21" thickBot="1">
      <c r="A8" s="509"/>
      <c r="B8" s="510"/>
      <c r="C8" s="3489" t="s">
        <v>2901</v>
      </c>
      <c r="D8" s="3490"/>
      <c r="E8" s="3489" t="s">
        <v>2901</v>
      </c>
      <c r="F8" s="3490"/>
      <c r="G8" s="3485" t="s">
        <v>2901</v>
      </c>
      <c r="H8" s="3486"/>
      <c r="I8" s="3485" t="s">
        <v>2901</v>
      </c>
      <c r="J8" s="3486"/>
      <c r="K8" s="508" t="s">
        <v>522</v>
      </c>
      <c r="L8" s="2016"/>
      <c r="M8" s="2015"/>
      <c r="N8" s="2015"/>
      <c r="O8" s="2017"/>
      <c r="P8" s="3477"/>
      <c r="Q8" s="3478"/>
      <c r="R8" s="3481"/>
      <c r="S8" s="3482"/>
      <c r="T8" s="3483"/>
      <c r="U8" s="3484"/>
      <c r="V8" s="3466"/>
      <c r="W8" s="3466"/>
      <c r="X8" s="1502"/>
      <c r="Y8" s="3483"/>
      <c r="Z8" s="3484"/>
      <c r="AA8" s="3470"/>
      <c r="AB8" s="3470"/>
      <c r="AC8" s="3470"/>
    </row>
    <row r="9" spans="1:30" s="1203" customFormat="1" ht="21" thickBot="1">
      <c r="A9" s="2630"/>
      <c r="B9" s="2637" t="s">
        <v>523</v>
      </c>
      <c r="C9" s="2629">
        <f>'数据-取费表'!B2</f>
        <v>44369</v>
      </c>
      <c r="D9" s="514">
        <v>100</v>
      </c>
      <c r="E9" s="515" t="str">
        <f>土地案例!K2</f>
        <v>2021-01-13</v>
      </c>
      <c r="F9" s="516">
        <f>SUMIF(72:72,YEAR(E9)&amp;"-"&amp;INT((MONTH(E9)+2)/3),73:73)</f>
        <v>100</v>
      </c>
      <c r="G9" s="517" t="str">
        <f>土地案例!K3</f>
        <v>2020-07-30</v>
      </c>
      <c r="H9" s="514">
        <f>SUMIF(72:72,YEAR(G9)&amp;"-"&amp;INT((MONTH(G9)+2)/3),73:73)</f>
        <v>100</v>
      </c>
      <c r="I9" s="517" t="str">
        <f>土地案例!K4</f>
        <v>2019-09-11</v>
      </c>
      <c r="J9" s="514">
        <f>SUMIF(72:72,YEAR(I9)&amp;"-"&amp;INT((MONTH(I9)+2)/3),73:73)</f>
        <v>100</v>
      </c>
      <c r="K9" s="518"/>
      <c r="L9" s="2018"/>
      <c r="M9" s="2015"/>
      <c r="N9" s="2015"/>
      <c r="O9" s="2019"/>
      <c r="P9" s="3496" t="s">
        <v>524</v>
      </c>
      <c r="Q9" s="3498"/>
      <c r="R9" s="1503" t="s">
        <v>8</v>
      </c>
      <c r="S9" s="1504">
        <f t="shared" ref="S9:S17" si="0">F9</f>
        <v>100</v>
      </c>
      <c r="T9" s="1503" t="s">
        <v>8</v>
      </c>
      <c r="U9" s="1504">
        <f t="shared" ref="U9:U17" si="1">H9</f>
        <v>100</v>
      </c>
      <c r="V9" s="1503" t="s">
        <v>8</v>
      </c>
      <c r="W9" s="1504">
        <f t="shared" ref="W9:W17" si="2">J9</f>
        <v>100</v>
      </c>
      <c r="X9" s="1505"/>
      <c r="Y9" s="3496" t="s">
        <v>524</v>
      </c>
      <c r="Z9" s="3497"/>
      <c r="AA9" s="1506">
        <f>D9/F9</f>
        <v>1</v>
      </c>
      <c r="AB9" s="1506">
        <f>D9/H9</f>
        <v>1</v>
      </c>
      <c r="AC9" s="1506">
        <f>D9/J9</f>
        <v>1</v>
      </c>
    </row>
    <row r="10" spans="1:30" s="1203" customFormat="1" ht="21" thickBot="1">
      <c r="A10" s="2631"/>
      <c r="B10" s="2638" t="s">
        <v>525</v>
      </c>
      <c r="C10" s="845" t="s">
        <v>526</v>
      </c>
      <c r="D10" s="514">
        <v>100</v>
      </c>
      <c r="E10" s="519" t="s">
        <v>3061</v>
      </c>
      <c r="F10" s="516">
        <f>SUMIF(75:75,E10,76:76)-SUMIF(75:75,C10,76:76)+100</f>
        <v>100</v>
      </c>
      <c r="G10" s="519" t="s">
        <v>3061</v>
      </c>
      <c r="H10" s="514">
        <f>SUMIF(75:75,G10,76:76)-SUMIF(75:75,C10,76:76)+100</f>
        <v>100</v>
      </c>
      <c r="I10" s="519" t="s">
        <v>3061</v>
      </c>
      <c r="J10" s="514">
        <f>SUMIF(75:75,I10,76:76)-SUMIF(75:75,C10,76:76)+100</f>
        <v>100</v>
      </c>
      <c r="K10" s="518"/>
      <c r="L10" s="2018"/>
      <c r="M10" s="2015"/>
      <c r="N10" s="2015"/>
      <c r="O10" s="2019"/>
      <c r="P10" s="3496" t="s">
        <v>527</v>
      </c>
      <c r="Q10" s="3497"/>
      <c r="R10" s="1503" t="s">
        <v>8</v>
      </c>
      <c r="S10" s="1504">
        <f t="shared" si="0"/>
        <v>100</v>
      </c>
      <c r="T10" s="1503" t="s">
        <v>8</v>
      </c>
      <c r="U10" s="1504">
        <f t="shared" si="1"/>
        <v>100</v>
      </c>
      <c r="V10" s="1503" t="s">
        <v>8</v>
      </c>
      <c r="W10" s="1504">
        <f t="shared" si="2"/>
        <v>100</v>
      </c>
      <c r="X10" s="1505"/>
      <c r="Y10" s="3496" t="s">
        <v>527</v>
      </c>
      <c r="Z10" s="3497"/>
      <c r="AA10" s="1506">
        <f t="shared" ref="AA10:AA47" si="3">D10/F10</f>
        <v>1</v>
      </c>
      <c r="AB10" s="1506">
        <f t="shared" ref="AB10:AB47" si="4">D10/H10</f>
        <v>1</v>
      </c>
      <c r="AC10" s="1506">
        <f t="shared" ref="AC10:AC47" si="5">D10/J10</f>
        <v>1</v>
      </c>
    </row>
    <row r="11" spans="1:30" s="1203" customFormat="1" ht="20.25">
      <c r="A11" s="2632"/>
      <c r="B11" s="2639" t="s">
        <v>2736</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65" t="s">
        <v>529</v>
      </c>
      <c r="Q11" s="1134" t="str">
        <f t="shared" ref="Q11:Q17" si="6">B11</f>
        <v>用途</v>
      </c>
      <c r="R11" s="1503" t="s">
        <v>8</v>
      </c>
      <c r="S11" s="1504">
        <f t="shared" si="0"/>
        <v>100</v>
      </c>
      <c r="T11" s="1503" t="s">
        <v>8</v>
      </c>
      <c r="U11" s="1504">
        <f t="shared" si="1"/>
        <v>100</v>
      </c>
      <c r="V11" s="1503" t="s">
        <v>8</v>
      </c>
      <c r="W11" s="1504">
        <f t="shared" si="2"/>
        <v>100</v>
      </c>
      <c r="X11" s="1505"/>
      <c r="Y11" s="3411" t="s">
        <v>530</v>
      </c>
      <c r="Z11" s="1133" t="str">
        <f t="shared" ref="Z11:Z17" si="7">Q11</f>
        <v>用途</v>
      </c>
      <c r="AA11" s="1506">
        <f t="shared" si="3"/>
        <v>1</v>
      </c>
      <c r="AB11" s="1506">
        <f t="shared" si="4"/>
        <v>1</v>
      </c>
      <c r="AC11" s="1506">
        <f t="shared" si="5"/>
        <v>1</v>
      </c>
    </row>
    <row r="12" spans="1:30" s="1292" customFormat="1" ht="27">
      <c r="A12" s="2633"/>
      <c r="B12" s="2638" t="s">
        <v>2737</v>
      </c>
      <c r="C12" s="899"/>
      <c r="D12" s="253">
        <v>100</v>
      </c>
      <c r="E12" s="523"/>
      <c r="F12" s="253">
        <f>ROUND(100/'数据-取费表'!G16,0)</f>
        <v>101</v>
      </c>
      <c r="G12" s="524"/>
      <c r="H12" s="253">
        <f>ROUND(100/'数据-取费表'!G16,0)</f>
        <v>101</v>
      </c>
      <c r="I12" s="524"/>
      <c r="J12" s="253">
        <f>ROUND(100/'数据-取费表'!G16,0)</f>
        <v>101</v>
      </c>
      <c r="K12" s="525"/>
      <c r="L12" s="2021"/>
      <c r="M12" s="2015"/>
      <c r="N12" s="2015"/>
      <c r="O12" s="2022"/>
      <c r="P12" s="3465"/>
      <c r="Q12" s="1134" t="str">
        <f t="shared" si="6"/>
        <v>土地使用年限（年）</v>
      </c>
      <c r="R12" s="1503" t="s">
        <v>8</v>
      </c>
      <c r="S12" s="1504">
        <f t="shared" si="0"/>
        <v>101</v>
      </c>
      <c r="T12" s="1503" t="s">
        <v>8</v>
      </c>
      <c r="U12" s="1504">
        <f t="shared" si="1"/>
        <v>101</v>
      </c>
      <c r="V12" s="1503" t="s">
        <v>8</v>
      </c>
      <c r="W12" s="1504">
        <f t="shared" si="2"/>
        <v>101</v>
      </c>
      <c r="X12" s="1505"/>
      <c r="Y12" s="3411"/>
      <c r="Z12" s="1133" t="str">
        <f t="shared" si="7"/>
        <v>土地使用年限（年）</v>
      </c>
      <c r="AA12" s="1506">
        <f t="shared" si="3"/>
        <v>0.99009900990099009</v>
      </c>
      <c r="AB12" s="1506">
        <f t="shared" si="4"/>
        <v>0.99009900990099009</v>
      </c>
      <c r="AC12" s="1506">
        <f t="shared" si="5"/>
        <v>0.99009900990099009</v>
      </c>
    </row>
    <row r="13" spans="1:30" ht="20.25">
      <c r="A13" s="2634"/>
      <c r="B13" s="2638" t="s">
        <v>2738</v>
      </c>
      <c r="C13" s="528">
        <f>'数据-汇总表'!I6</f>
        <v>2.5</v>
      </c>
      <c r="D13" s="253">
        <v>100</v>
      </c>
      <c r="E13" s="527">
        <v>2.5</v>
      </c>
      <c r="F13" s="253">
        <f>LOOKUP(E13,82:82,83:83)-LOOKUP(C13,82:82,83:83)+100</f>
        <v>100</v>
      </c>
      <c r="G13" s="528">
        <v>2.5</v>
      </c>
      <c r="H13" s="253">
        <f>LOOKUP(G13,82:82,83:83)-LOOKUP(C13,82:82,83:83)+100</f>
        <v>100</v>
      </c>
      <c r="I13" s="527">
        <v>1</v>
      </c>
      <c r="J13" s="253">
        <f>LOOKUP(I13,82:82,83:83)-LOOKUP(C13,82:82,83:83)+100</f>
        <v>95</v>
      </c>
      <c r="K13" s="529">
        <v>5</v>
      </c>
      <c r="L13" s="2023"/>
      <c r="M13" s="2015"/>
      <c r="N13" s="2015"/>
      <c r="O13" s="2024"/>
      <c r="P13" s="3465"/>
      <c r="Q13" s="1134" t="str">
        <f t="shared" si="6"/>
        <v>容积率</v>
      </c>
      <c r="R13" s="1503" t="s">
        <v>8</v>
      </c>
      <c r="S13" s="1504">
        <f t="shared" si="0"/>
        <v>100</v>
      </c>
      <c r="T13" s="1503" t="s">
        <v>8</v>
      </c>
      <c r="U13" s="1504">
        <f t="shared" si="1"/>
        <v>100</v>
      </c>
      <c r="V13" s="1503" t="s">
        <v>8</v>
      </c>
      <c r="W13" s="1504">
        <f t="shared" si="2"/>
        <v>95</v>
      </c>
      <c r="X13" s="1505"/>
      <c r="Y13" s="3411"/>
      <c r="Z13" s="1133" t="str">
        <f t="shared" si="7"/>
        <v>容积率</v>
      </c>
      <c r="AA13" s="1506">
        <f t="shared" si="3"/>
        <v>1</v>
      </c>
      <c r="AB13" s="1506">
        <f t="shared" si="4"/>
        <v>1</v>
      </c>
      <c r="AC13" s="1506">
        <f t="shared" si="5"/>
        <v>1.0526315789473684</v>
      </c>
    </row>
    <row r="14" spans="1:30" s="1203" customFormat="1" ht="20.25">
      <c r="A14" s="2631"/>
      <c r="B14" s="2640" t="s">
        <v>2739</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65"/>
      <c r="Q14" s="1134" t="str">
        <f t="shared" si="6"/>
        <v>配建</v>
      </c>
      <c r="R14" s="1503" t="s">
        <v>8</v>
      </c>
      <c r="S14" s="1504">
        <f t="shared" si="0"/>
        <v>100</v>
      </c>
      <c r="T14" s="1503" t="s">
        <v>8</v>
      </c>
      <c r="U14" s="1504">
        <f t="shared" si="1"/>
        <v>100</v>
      </c>
      <c r="V14" s="1503" t="s">
        <v>8</v>
      </c>
      <c r="W14" s="1504">
        <f t="shared" si="2"/>
        <v>100</v>
      </c>
      <c r="X14" s="1505"/>
      <c r="Y14" s="3411"/>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65"/>
      <c r="Q15" s="1134">
        <f t="shared" si="6"/>
        <v>111</v>
      </c>
      <c r="R15" s="1503" t="s">
        <v>8</v>
      </c>
      <c r="S15" s="1504">
        <f t="shared" si="0"/>
        <v>100</v>
      </c>
      <c r="T15" s="1503" t="s">
        <v>8</v>
      </c>
      <c r="U15" s="1504">
        <f t="shared" si="1"/>
        <v>100</v>
      </c>
      <c r="V15" s="1503" t="s">
        <v>8</v>
      </c>
      <c r="W15" s="1504">
        <f t="shared" si="2"/>
        <v>100</v>
      </c>
      <c r="X15" s="1505"/>
      <c r="Y15" s="3411"/>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65"/>
      <c r="Q16" s="1134">
        <f t="shared" si="6"/>
        <v>111</v>
      </c>
      <c r="R16" s="1503" t="s">
        <v>8</v>
      </c>
      <c r="S16" s="1504">
        <f t="shared" si="0"/>
        <v>100</v>
      </c>
      <c r="T16" s="1503" t="s">
        <v>8</v>
      </c>
      <c r="U16" s="1504">
        <f t="shared" si="1"/>
        <v>100</v>
      </c>
      <c r="V16" s="1503" t="s">
        <v>8</v>
      </c>
      <c r="W16" s="1504">
        <f t="shared" si="2"/>
        <v>100</v>
      </c>
      <c r="X16" s="1505"/>
      <c r="Y16" s="3411"/>
      <c r="Z16" s="1133">
        <f t="shared" si="7"/>
        <v>111</v>
      </c>
      <c r="AA16" s="1506">
        <f>D16/F16</f>
        <v>1</v>
      </c>
      <c r="AB16" s="1506">
        <f>D16/H16</f>
        <v>1</v>
      </c>
      <c r="AC16" s="1506">
        <f>D16/J16</f>
        <v>1</v>
      </c>
    </row>
    <row r="17" spans="1:29" ht="99.75">
      <c r="A17" s="2628"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9" t="s">
        <v>534</v>
      </c>
      <c r="Q17" s="1507" t="str">
        <f t="shared" si="6"/>
        <v>居住社区成熟度</v>
      </c>
      <c r="R17" s="1508" t="s">
        <v>8</v>
      </c>
      <c r="S17" s="1509">
        <f t="shared" si="0"/>
        <v>100</v>
      </c>
      <c r="T17" s="1508" t="s">
        <v>8</v>
      </c>
      <c r="U17" s="1509">
        <f t="shared" si="1"/>
        <v>100</v>
      </c>
      <c r="V17" s="1508" t="s">
        <v>8</v>
      </c>
      <c r="W17" s="1509">
        <f t="shared" si="2"/>
        <v>100</v>
      </c>
      <c r="X17" s="1502"/>
      <c r="Y17" s="3499"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00"/>
      <c r="Q18" s="1507"/>
      <c r="R18" s="1508"/>
      <c r="S18" s="1509"/>
      <c r="T18" s="1508"/>
      <c r="U18" s="1509"/>
      <c r="V18" s="1508"/>
      <c r="W18" s="1509"/>
      <c r="X18" s="1502"/>
      <c r="Y18" s="3500"/>
      <c r="Z18" s="1510"/>
      <c r="AA18" s="1511">
        <v>1</v>
      </c>
      <c r="AB18" s="1511">
        <v>1</v>
      </c>
      <c r="AC18" s="1511">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103</v>
      </c>
      <c r="G19" s="556"/>
      <c r="H19" s="559">
        <f>SUMIF(92:92,G20,93:93)-SUMIF(92:92,C20,93:93)+100</f>
        <v>100</v>
      </c>
      <c r="I19" s="558"/>
      <c r="J19" s="559">
        <f>SUMIF(92:92,I20,93:93)-SUMIF(92:92,C20,93:93)+100</f>
        <v>103</v>
      </c>
      <c r="K19" s="529">
        <v>3</v>
      </c>
      <c r="L19" s="2025"/>
      <c r="M19" s="2015"/>
      <c r="N19" s="2015"/>
      <c r="O19" s="2024"/>
      <c r="P19" s="3500"/>
      <c r="Q19" s="1507" t="str">
        <f>B19</f>
        <v>商业繁华度</v>
      </c>
      <c r="R19" s="1508" t="s">
        <v>8</v>
      </c>
      <c r="S19" s="1509">
        <f>F19</f>
        <v>103</v>
      </c>
      <c r="T19" s="1508" t="s">
        <v>8</v>
      </c>
      <c r="U19" s="1509">
        <f>H19</f>
        <v>100</v>
      </c>
      <c r="V19" s="1508" t="s">
        <v>8</v>
      </c>
      <c r="W19" s="1509">
        <f>J19</f>
        <v>103</v>
      </c>
      <c r="X19" s="1502"/>
      <c r="Y19" s="3500"/>
      <c r="Z19" s="1510" t="str">
        <f>Q19</f>
        <v>商业繁华度</v>
      </c>
      <c r="AA19" s="1511">
        <f t="shared" si="3"/>
        <v>0.970873786407767</v>
      </c>
      <c r="AB19" s="1511">
        <f t="shared" si="4"/>
        <v>1</v>
      </c>
      <c r="AC19" s="1511">
        <f t="shared" si="5"/>
        <v>0.970873786407767</v>
      </c>
    </row>
    <row r="20" spans="1:29" ht="20.25">
      <c r="A20" s="526"/>
      <c r="B20" s="560"/>
      <c r="C20" s="561" t="s">
        <v>3065</v>
      </c>
      <c r="D20" s="557"/>
      <c r="E20" s="563" t="s">
        <v>3064</v>
      </c>
      <c r="F20" s="553"/>
      <c r="G20" s="562" t="s">
        <v>3065</v>
      </c>
      <c r="H20" s="549"/>
      <c r="I20" s="563" t="s">
        <v>3064</v>
      </c>
      <c r="J20" s="549"/>
      <c r="K20" s="525"/>
      <c r="L20" s="2025"/>
      <c r="M20" s="2015"/>
      <c r="N20" s="2015"/>
      <c r="O20" s="2024"/>
      <c r="P20" s="3500"/>
      <c r="Q20" s="1507"/>
      <c r="R20" s="1508"/>
      <c r="S20" s="1509"/>
      <c r="T20" s="1508"/>
      <c r="U20" s="1509"/>
      <c r="V20" s="1508"/>
      <c r="W20" s="1509"/>
      <c r="X20" s="1502"/>
      <c r="Y20" s="3500"/>
      <c r="Z20" s="1510"/>
      <c r="AA20" s="1511">
        <v>1</v>
      </c>
      <c r="AB20" s="1511">
        <v>1</v>
      </c>
      <c r="AC20" s="1511">
        <v>1</v>
      </c>
    </row>
    <row r="21" spans="1:29" ht="71.25">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00"/>
      <c r="Q21" s="1507" t="str">
        <f>B21</f>
        <v>办公集聚程度</v>
      </c>
      <c r="R21" s="1508" t="s">
        <v>8</v>
      </c>
      <c r="S21" s="1509">
        <f>F21</f>
        <v>100</v>
      </c>
      <c r="T21" s="1508" t="s">
        <v>8</v>
      </c>
      <c r="U21" s="1509">
        <f>H21</f>
        <v>100</v>
      </c>
      <c r="V21" s="1508" t="s">
        <v>8</v>
      </c>
      <c r="W21" s="1509">
        <f>J21</f>
        <v>100</v>
      </c>
      <c r="X21" s="1502"/>
      <c r="Y21" s="3500"/>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00"/>
      <c r="Q22" s="1507"/>
      <c r="R22" s="1508"/>
      <c r="S22" s="1509"/>
      <c r="T22" s="1508"/>
      <c r="U22" s="1509"/>
      <c r="V22" s="1508"/>
      <c r="W22" s="1509"/>
      <c r="X22" s="1502"/>
      <c r="Y22" s="3500"/>
      <c r="Z22" s="1510"/>
      <c r="AA22" s="1511">
        <v>1</v>
      </c>
      <c r="AB22" s="1511">
        <v>1</v>
      </c>
      <c r="AC22" s="1511">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102</v>
      </c>
      <c r="G23" s="556"/>
      <c r="H23" s="553">
        <f>SUMIF(96:96,G24,97:97)-SUMIF(96:96,C24,97:97)+100</f>
        <v>100</v>
      </c>
      <c r="I23" s="558"/>
      <c r="J23" s="553">
        <f>SUMIF(96:96,I24,97:97)-SUMIF(96:96,C24,97:97)+100</f>
        <v>102</v>
      </c>
      <c r="K23" s="529">
        <v>2</v>
      </c>
      <c r="L23" s="2025"/>
      <c r="M23" s="2015"/>
      <c r="N23" s="2015"/>
      <c r="O23" s="2024"/>
      <c r="P23" s="3500"/>
      <c r="Q23" s="1507" t="str">
        <f>B23</f>
        <v>交通便捷度</v>
      </c>
      <c r="R23" s="1508" t="s">
        <v>8</v>
      </c>
      <c r="S23" s="1509">
        <f>F23</f>
        <v>102</v>
      </c>
      <c r="T23" s="1508" t="s">
        <v>8</v>
      </c>
      <c r="U23" s="1509">
        <f>H23</f>
        <v>100</v>
      </c>
      <c r="V23" s="1508" t="s">
        <v>8</v>
      </c>
      <c r="W23" s="1509">
        <f>J23</f>
        <v>102</v>
      </c>
      <c r="X23" s="1502"/>
      <c r="Y23" s="3500"/>
      <c r="Z23" s="1510" t="str">
        <f>Q23</f>
        <v>交通便捷度</v>
      </c>
      <c r="AA23" s="1511">
        <f t="shared" si="3"/>
        <v>0.98039215686274506</v>
      </c>
      <c r="AB23" s="1511">
        <f t="shared" si="4"/>
        <v>1</v>
      </c>
      <c r="AC23" s="1511">
        <f t="shared" si="5"/>
        <v>0.98039215686274506</v>
      </c>
    </row>
    <row r="24" spans="1:29" ht="20.25">
      <c r="A24" s="526"/>
      <c r="B24" s="572"/>
      <c r="C24" s="548" t="s">
        <v>3064</v>
      </c>
      <c r="D24" s="551"/>
      <c r="E24" s="552" t="s">
        <v>3066</v>
      </c>
      <c r="F24" s="549"/>
      <c r="G24" s="550" t="s">
        <v>3064</v>
      </c>
      <c r="H24" s="549"/>
      <c r="I24" s="552" t="s">
        <v>3066</v>
      </c>
      <c r="J24" s="549"/>
      <c r="K24" s="525"/>
      <c r="L24" s="2025"/>
      <c r="M24" s="2015"/>
      <c r="N24" s="2015"/>
      <c r="O24" s="2024"/>
      <c r="P24" s="3500"/>
      <c r="Q24" s="1507"/>
      <c r="R24" s="1508"/>
      <c r="S24" s="1509"/>
      <c r="T24" s="1508"/>
      <c r="U24" s="1509"/>
      <c r="V24" s="1508"/>
      <c r="W24" s="1509"/>
      <c r="X24" s="1502"/>
      <c r="Y24" s="3500"/>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00"/>
      <c r="Q25" s="1507" t="str">
        <f t="shared" ref="Q25:Q39" si="8">B25</f>
        <v>区域土地利用方向</v>
      </c>
      <c r="R25" s="1508" t="s">
        <v>8</v>
      </c>
      <c r="S25" s="1509">
        <f>F25</f>
        <v>100</v>
      </c>
      <c r="T25" s="1508" t="s">
        <v>8</v>
      </c>
      <c r="U25" s="1509">
        <f>H25</f>
        <v>100</v>
      </c>
      <c r="V25" s="1508" t="s">
        <v>8</v>
      </c>
      <c r="W25" s="1509">
        <f>J25</f>
        <v>100</v>
      </c>
      <c r="X25" s="1502"/>
      <c r="Y25" s="3500"/>
      <c r="Z25" s="1510" t="str">
        <f>Q25</f>
        <v>区域土地利用方向</v>
      </c>
      <c r="AA25" s="1511">
        <f t="shared" si="3"/>
        <v>1</v>
      </c>
      <c r="AB25" s="1511">
        <f t="shared" si="4"/>
        <v>1</v>
      </c>
      <c r="AC25" s="1511">
        <f t="shared" si="5"/>
        <v>1</v>
      </c>
    </row>
    <row r="26" spans="1:29" ht="20.25">
      <c r="A26" s="509"/>
      <c r="B26" s="994"/>
      <c r="C26" s="548"/>
      <c r="D26" s="551"/>
      <c r="E26" s="552"/>
      <c r="F26" s="549"/>
      <c r="G26" s="550"/>
      <c r="H26" s="549"/>
      <c r="I26" s="552"/>
      <c r="J26" s="549"/>
      <c r="K26" s="525"/>
      <c r="L26" s="2025"/>
      <c r="M26" s="2015"/>
      <c r="N26" s="2015"/>
      <c r="O26" s="2024"/>
      <c r="P26" s="3500"/>
      <c r="Q26" s="1507"/>
      <c r="R26" s="1508"/>
      <c r="S26" s="1509"/>
      <c r="T26" s="1508"/>
      <c r="U26" s="1509"/>
      <c r="V26" s="1508"/>
      <c r="W26" s="1509"/>
      <c r="X26" s="1502"/>
      <c r="Y26" s="3500"/>
      <c r="Z26" s="1510"/>
      <c r="AA26" s="1511"/>
      <c r="AB26" s="1511"/>
      <c r="AC26" s="1511"/>
    </row>
    <row r="27" spans="1:29" ht="57">
      <c r="A27" s="509"/>
      <c r="B27" s="572" t="s">
        <v>539</v>
      </c>
      <c r="C27" s="555" t="str">
        <f>估价对象房地状况!C20</f>
        <v>区域自然环境：；人文环境；综合评价环境状况一般</v>
      </c>
      <c r="D27" s="557">
        <v>100</v>
      </c>
      <c r="E27" s="558"/>
      <c r="F27" s="553">
        <f>SUMIF(100:100,E28,101:101)-SUMIF(100:100,C28,101:101)+100</f>
        <v>102</v>
      </c>
      <c r="G27" s="556"/>
      <c r="H27" s="553">
        <f>SUMIF(100:100,G28,101:101)-SUMIF(100:100,C28,101:101)+100</f>
        <v>100</v>
      </c>
      <c r="I27" s="558"/>
      <c r="J27" s="553">
        <f>SUMIF(100:100,I28,101:101)-SUMIF(100:100,C28,101:101)+100</f>
        <v>102</v>
      </c>
      <c r="K27" s="529">
        <v>2</v>
      </c>
      <c r="L27" s="2025"/>
      <c r="M27" s="2015"/>
      <c r="N27" s="2015"/>
      <c r="O27" s="2024"/>
      <c r="P27" s="3500"/>
      <c r="Q27" s="1507" t="str">
        <f t="shared" si="8"/>
        <v>自然及人文环境状况</v>
      </c>
      <c r="R27" s="1508" t="s">
        <v>8</v>
      </c>
      <c r="S27" s="1509">
        <f>F27</f>
        <v>102</v>
      </c>
      <c r="T27" s="1508" t="s">
        <v>8</v>
      </c>
      <c r="U27" s="1509">
        <f>H27</f>
        <v>100</v>
      </c>
      <c r="V27" s="1508" t="s">
        <v>8</v>
      </c>
      <c r="W27" s="1509">
        <f>J27</f>
        <v>102</v>
      </c>
      <c r="X27" s="1502"/>
      <c r="Y27" s="3500"/>
      <c r="Z27" s="1510" t="str">
        <f>Q27</f>
        <v>自然及人文环境状况</v>
      </c>
      <c r="AA27" s="1511">
        <f t="shared" si="3"/>
        <v>0.98039215686274506</v>
      </c>
      <c r="AB27" s="1511">
        <f t="shared" si="4"/>
        <v>1</v>
      </c>
      <c r="AC27" s="1511">
        <f t="shared" si="5"/>
        <v>0.98039215686274506</v>
      </c>
    </row>
    <row r="28" spans="1:29" ht="20.25">
      <c r="A28" s="509"/>
      <c r="B28" s="560"/>
      <c r="C28" s="548" t="s">
        <v>3064</v>
      </c>
      <c r="D28" s="551"/>
      <c r="E28" s="570" t="s">
        <v>3066</v>
      </c>
      <c r="F28" s="549"/>
      <c r="G28" s="548" t="s">
        <v>3064</v>
      </c>
      <c r="H28" s="549"/>
      <c r="I28" s="570" t="s">
        <v>3066</v>
      </c>
      <c r="J28" s="549"/>
      <c r="K28" s="525"/>
      <c r="L28" s="2025"/>
      <c r="M28" s="2015"/>
      <c r="N28" s="2015"/>
      <c r="O28" s="2024"/>
      <c r="P28" s="3500"/>
      <c r="Q28" s="1507"/>
      <c r="R28" s="1508"/>
      <c r="S28" s="1509"/>
      <c r="T28" s="1508"/>
      <c r="U28" s="1509"/>
      <c r="V28" s="1508"/>
      <c r="W28" s="1509"/>
      <c r="X28" s="1502"/>
      <c r="Y28" s="3500"/>
      <c r="Z28" s="1510"/>
      <c r="AA28" s="1511">
        <v>1</v>
      </c>
      <c r="AB28" s="1511">
        <v>1</v>
      </c>
      <c r="AC28" s="1511">
        <v>1</v>
      </c>
    </row>
    <row r="29" spans="1:29" s="1203" customFormat="1" ht="42.75">
      <c r="A29" s="571"/>
      <c r="B29" s="2436" t="s">
        <v>2529</v>
      </c>
      <c r="C29" s="567" t="str">
        <f>估价对象房地状况!C21</f>
        <v>估价对象所在区域公共配套设施齐备情况</v>
      </c>
      <c r="D29" s="557">
        <v>100</v>
      </c>
      <c r="E29" s="558"/>
      <c r="F29" s="553">
        <f>SUMIF(102:102,E30,103:103)-SUMIF(102:102,C30,103:103)+100</f>
        <v>102</v>
      </c>
      <c r="G29" s="556"/>
      <c r="H29" s="553">
        <f>SUMIF(102:102,G30,103:103)-SUMIF(102:102,C30,103:103)+100</f>
        <v>100</v>
      </c>
      <c r="I29" s="558"/>
      <c r="J29" s="553">
        <f>SUMIF(102:102,I30,103:103)-SUMIF(102:102,C30,103:103)+100</f>
        <v>102</v>
      </c>
      <c r="K29" s="529">
        <v>2</v>
      </c>
      <c r="L29" s="2018"/>
      <c r="M29" s="2015"/>
      <c r="N29" s="2015"/>
      <c r="O29" s="2020"/>
      <c r="P29" s="3500"/>
      <c r="Q29" s="1134" t="str">
        <f t="shared" si="8"/>
        <v>公共配套设施</v>
      </c>
      <c r="R29" s="1503" t="s">
        <v>8</v>
      </c>
      <c r="S29" s="1504">
        <f>F29</f>
        <v>102</v>
      </c>
      <c r="T29" s="1503" t="s">
        <v>8</v>
      </c>
      <c r="U29" s="1504">
        <f>H29</f>
        <v>100</v>
      </c>
      <c r="V29" s="1503" t="s">
        <v>8</v>
      </c>
      <c r="W29" s="1504">
        <f>J29</f>
        <v>102</v>
      </c>
      <c r="X29" s="1505"/>
      <c r="Y29" s="3500"/>
      <c r="Z29" s="1133" t="str">
        <f>Q29</f>
        <v>公共配套设施</v>
      </c>
      <c r="AA29" s="1511">
        <f>D29/F29</f>
        <v>0.98039215686274506</v>
      </c>
      <c r="AB29" s="1511">
        <f>D29/H29</f>
        <v>1</v>
      </c>
      <c r="AC29" s="1511">
        <f>D29/J29</f>
        <v>0.98039215686274506</v>
      </c>
    </row>
    <row r="30" spans="1:29" s="1203" customFormat="1" ht="20.25">
      <c r="A30" s="571"/>
      <c r="B30" s="560"/>
      <c r="C30" s="573" t="s">
        <v>3064</v>
      </c>
      <c r="D30" s="551"/>
      <c r="E30" s="570" t="s">
        <v>3066</v>
      </c>
      <c r="F30" s="549"/>
      <c r="G30" s="548" t="s">
        <v>3064</v>
      </c>
      <c r="H30" s="549"/>
      <c r="I30" s="570" t="s">
        <v>3066</v>
      </c>
      <c r="J30" s="549"/>
      <c r="K30" s="525"/>
      <c r="L30" s="2018"/>
      <c r="M30" s="2015"/>
      <c r="N30" s="2015"/>
      <c r="O30" s="2020"/>
      <c r="P30" s="3500"/>
      <c r="Q30" s="1134"/>
      <c r="R30" s="1503"/>
      <c r="S30" s="1504"/>
      <c r="T30" s="1503"/>
      <c r="U30" s="1504"/>
      <c r="V30" s="1503"/>
      <c r="W30" s="1504"/>
      <c r="X30" s="1505"/>
      <c r="Y30" s="3500"/>
      <c r="Z30" s="1133"/>
      <c r="AA30" s="1511">
        <v>1</v>
      </c>
      <c r="AB30" s="1511">
        <v>1</v>
      </c>
      <c r="AC30" s="1511">
        <v>1</v>
      </c>
    </row>
    <row r="31" spans="1:29" s="1203" customFormat="1" ht="28.5">
      <c r="A31" s="571"/>
      <c r="B31" s="2436"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00"/>
      <c r="Q31" s="2429" t="str">
        <f t="shared" ref="Q31" si="9">B31</f>
        <v>基础设施水平</v>
      </c>
      <c r="R31" s="1503" t="s">
        <v>8</v>
      </c>
      <c r="S31" s="1504">
        <f>F31</f>
        <v>100</v>
      </c>
      <c r="T31" s="1503" t="s">
        <v>8</v>
      </c>
      <c r="U31" s="1504">
        <f>H31</f>
        <v>100</v>
      </c>
      <c r="V31" s="1503" t="s">
        <v>8</v>
      </c>
      <c r="W31" s="1504">
        <f>J31</f>
        <v>100</v>
      </c>
      <c r="X31" s="1505"/>
      <c r="Y31" s="3500"/>
      <c r="Z31" s="2428" t="str">
        <f>Q31</f>
        <v>基础设施水平</v>
      </c>
      <c r="AA31" s="1511">
        <f>D31/F31</f>
        <v>1</v>
      </c>
      <c r="AB31" s="1511">
        <f>D31/H31</f>
        <v>1</v>
      </c>
      <c r="AC31" s="1511">
        <f>D31/J31</f>
        <v>1</v>
      </c>
    </row>
    <row r="32" spans="1:29" s="1203" customFormat="1" ht="20.25">
      <c r="A32" s="571"/>
      <c r="B32" s="560"/>
      <c r="C32" s="573"/>
      <c r="D32" s="551"/>
      <c r="E32" s="2437"/>
      <c r="F32" s="549"/>
      <c r="G32" s="573"/>
      <c r="H32" s="549"/>
      <c r="I32" s="573"/>
      <c r="J32" s="549"/>
      <c r="K32" s="525"/>
      <c r="L32" s="2018"/>
      <c r="M32" s="2015"/>
      <c r="N32" s="2015"/>
      <c r="O32" s="2020"/>
      <c r="P32" s="3500"/>
      <c r="Q32" s="2429"/>
      <c r="R32" s="1503"/>
      <c r="S32" s="1504"/>
      <c r="T32" s="1503"/>
      <c r="U32" s="1504"/>
      <c r="V32" s="1503"/>
      <c r="W32" s="1504"/>
      <c r="X32" s="1505"/>
      <c r="Y32" s="3500"/>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00"/>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00"/>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00"/>
      <c r="Q34" s="1507" t="str">
        <f t="shared" si="8"/>
        <v>毗邻道路的类型与等级</v>
      </c>
      <c r="R34" s="1508" t="s">
        <v>8</v>
      </c>
      <c r="S34" s="1509">
        <f t="shared" si="10"/>
        <v>100</v>
      </c>
      <c r="T34" s="1508" t="s">
        <v>8</v>
      </c>
      <c r="U34" s="1509">
        <f t="shared" si="11"/>
        <v>100</v>
      </c>
      <c r="V34" s="1508" t="s">
        <v>8</v>
      </c>
      <c r="W34" s="1509">
        <f t="shared" si="12"/>
        <v>100</v>
      </c>
      <c r="X34" s="1502"/>
      <c r="Y34" s="3500"/>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00"/>
      <c r="Q35" s="1507"/>
      <c r="R35" s="1508"/>
      <c r="S35" s="1509"/>
      <c r="T35" s="1508"/>
      <c r="U35" s="1509"/>
      <c r="V35" s="1508"/>
      <c r="W35" s="1509"/>
      <c r="X35" s="1502"/>
      <c r="Y35" s="3500"/>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00"/>
      <c r="Q36" s="1507" t="str">
        <f t="shared" si="8"/>
        <v>土地级别</v>
      </c>
      <c r="R36" s="1508" t="s">
        <v>8</v>
      </c>
      <c r="S36" s="1509">
        <f t="shared" si="10"/>
        <v>100</v>
      </c>
      <c r="T36" s="1508" t="s">
        <v>8</v>
      </c>
      <c r="U36" s="1509">
        <f t="shared" si="11"/>
        <v>100</v>
      </c>
      <c r="V36" s="1508" t="s">
        <v>8</v>
      </c>
      <c r="W36" s="1509">
        <f t="shared" si="12"/>
        <v>100</v>
      </c>
      <c r="X36" s="1502"/>
      <c r="Y36" s="3500"/>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00"/>
      <c r="Q37" s="1507">
        <f t="shared" si="8"/>
        <v>111</v>
      </c>
      <c r="R37" s="1508" t="s">
        <v>8</v>
      </c>
      <c r="S37" s="1509">
        <f t="shared" si="10"/>
        <v>100</v>
      </c>
      <c r="T37" s="1508" t="s">
        <v>8</v>
      </c>
      <c r="U37" s="1509">
        <f t="shared" si="11"/>
        <v>100</v>
      </c>
      <c r="V37" s="1508" t="s">
        <v>8</v>
      </c>
      <c r="W37" s="1509">
        <f t="shared" si="12"/>
        <v>100</v>
      </c>
      <c r="X37" s="1502"/>
      <c r="Y37" s="3500"/>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01" t="s">
        <v>544</v>
      </c>
      <c r="Q38" s="1507">
        <f t="shared" si="8"/>
        <v>111</v>
      </c>
      <c r="R38" s="1508" t="s">
        <v>8</v>
      </c>
      <c r="S38" s="1509">
        <f t="shared" si="10"/>
        <v>100</v>
      </c>
      <c r="T38" s="1508" t="s">
        <v>8</v>
      </c>
      <c r="U38" s="1509">
        <f t="shared" si="11"/>
        <v>100</v>
      </c>
      <c r="V38" s="1508" t="s">
        <v>8</v>
      </c>
      <c r="W38" s="1509">
        <f t="shared" si="12"/>
        <v>100</v>
      </c>
      <c r="X38" s="1502"/>
      <c r="Y38" s="3502"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02"/>
      <c r="Q39" s="1507">
        <f t="shared" si="8"/>
        <v>111</v>
      </c>
      <c r="R39" s="1512" t="s">
        <v>8</v>
      </c>
      <c r="S39" s="1513">
        <f t="shared" si="10"/>
        <v>100</v>
      </c>
      <c r="T39" s="1512" t="s">
        <v>8</v>
      </c>
      <c r="U39" s="1513">
        <f t="shared" si="11"/>
        <v>100</v>
      </c>
      <c r="V39" s="1512" t="s">
        <v>8</v>
      </c>
      <c r="W39" s="1513">
        <f t="shared" si="12"/>
        <v>100</v>
      </c>
      <c r="X39" s="1514"/>
      <c r="Y39" s="3502"/>
      <c r="Z39" s="1515">
        <f t="shared" si="13"/>
        <v>111</v>
      </c>
      <c r="AA39" s="1511">
        <f t="shared" si="3"/>
        <v>1</v>
      </c>
      <c r="AB39" s="1511">
        <f t="shared" si="4"/>
        <v>1</v>
      </c>
      <c r="AC39" s="1511">
        <f t="shared" si="5"/>
        <v>1</v>
      </c>
    </row>
    <row r="40" spans="1:29" ht="20.25">
      <c r="A40" s="2625" t="s">
        <v>2735</v>
      </c>
      <c r="B40" s="589" t="s">
        <v>546</v>
      </c>
      <c r="C40" s="590">
        <f>'数据-基础表'!A3</f>
        <v>134204</v>
      </c>
      <c r="D40" s="591">
        <v>100</v>
      </c>
      <c r="E40" s="590">
        <f>土地案例!D2</f>
        <v>1000</v>
      </c>
      <c r="F40" s="591">
        <f>LOOKUP(E40,119:119,120:120)-LOOKUP(C40,119:119,120:120)+100</f>
        <v>92</v>
      </c>
      <c r="G40" s="590">
        <f>土地案例!D3</f>
        <v>2400.21</v>
      </c>
      <c r="H40" s="591">
        <f>LOOKUP(G40,119:119,120:120)-LOOKUP(C40,119:119,120:120)+100</f>
        <v>92</v>
      </c>
      <c r="I40" s="592">
        <f>土地案例!D4</f>
        <v>6044.81</v>
      </c>
      <c r="J40" s="591">
        <f>LOOKUP(I40,119:119,120:120)-LOOKUP(C40,119:119,120:120)+100</f>
        <v>92</v>
      </c>
      <c r="K40" s="575"/>
      <c r="L40" s="2025"/>
      <c r="M40" s="2015"/>
      <c r="N40" s="2015"/>
      <c r="O40" s="2024"/>
      <c r="P40" s="3502"/>
      <c r="Q40" s="1507" t="str">
        <f>B40</f>
        <v>宗地面积</v>
      </c>
      <c r="R40" s="1508" t="s">
        <v>8</v>
      </c>
      <c r="S40" s="1509">
        <f t="shared" si="10"/>
        <v>92</v>
      </c>
      <c r="T40" s="1508" t="s">
        <v>8</v>
      </c>
      <c r="U40" s="1509">
        <f t="shared" si="11"/>
        <v>92</v>
      </c>
      <c r="V40" s="1508" t="s">
        <v>8</v>
      </c>
      <c r="W40" s="1509">
        <f t="shared" si="12"/>
        <v>92</v>
      </c>
      <c r="X40" s="1502"/>
      <c r="Y40" s="3502"/>
      <c r="Z40" s="1510" t="str">
        <f t="shared" si="13"/>
        <v>宗地面积</v>
      </c>
      <c r="AA40" s="1511">
        <f t="shared" si="3"/>
        <v>1.0869565217391304</v>
      </c>
      <c r="AB40" s="1511">
        <f t="shared" si="4"/>
        <v>1.0869565217391304</v>
      </c>
      <c r="AC40" s="1511">
        <f t="shared" si="5"/>
        <v>1.0869565217391304</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502"/>
      <c r="Q41" s="1507" t="str">
        <f t="shared" ref="Q41:Q47" si="14">B41</f>
        <v>宗地形状</v>
      </c>
      <c r="R41" s="1508" t="s">
        <v>8</v>
      </c>
      <c r="S41" s="1509">
        <f t="shared" si="10"/>
        <v>100</v>
      </c>
      <c r="T41" s="1508" t="s">
        <v>8</v>
      </c>
      <c r="U41" s="1509">
        <f t="shared" si="11"/>
        <v>100</v>
      </c>
      <c r="V41" s="1508" t="s">
        <v>8</v>
      </c>
      <c r="W41" s="1509">
        <f t="shared" si="12"/>
        <v>100</v>
      </c>
      <c r="X41" s="1502"/>
      <c r="Y41" s="3502"/>
      <c r="Z41" s="1510" t="str">
        <f t="shared" si="13"/>
        <v>宗地形状</v>
      </c>
      <c r="AA41" s="1511">
        <f t="shared" si="3"/>
        <v>1</v>
      </c>
      <c r="AB41" s="1511">
        <f t="shared" si="4"/>
        <v>1</v>
      </c>
      <c r="AC41" s="1511">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02"/>
      <c r="Q42" s="1507" t="str">
        <f t="shared" si="14"/>
        <v>临街宽度及深度</v>
      </c>
      <c r="R42" s="1508" t="s">
        <v>8</v>
      </c>
      <c r="S42" s="1509">
        <f t="shared" si="10"/>
        <v>100</v>
      </c>
      <c r="T42" s="1508" t="s">
        <v>8</v>
      </c>
      <c r="U42" s="1509">
        <f t="shared" si="11"/>
        <v>100</v>
      </c>
      <c r="V42" s="1508" t="s">
        <v>8</v>
      </c>
      <c r="W42" s="1509">
        <f t="shared" si="12"/>
        <v>100</v>
      </c>
      <c r="X42" s="1502"/>
      <c r="Y42" s="3502"/>
      <c r="Z42" s="1510" t="str">
        <f t="shared" si="13"/>
        <v>临街宽度及深度</v>
      </c>
      <c r="AA42" s="1511">
        <f t="shared" si="3"/>
        <v>1</v>
      </c>
      <c r="AB42" s="1511">
        <f t="shared" si="4"/>
        <v>1</v>
      </c>
      <c r="AC42" s="1511">
        <f t="shared" si="5"/>
        <v>1</v>
      </c>
    </row>
    <row r="43" spans="1:29" s="1203" customFormat="1" ht="20.25">
      <c r="A43" s="594"/>
      <c r="B43" s="1810" t="s">
        <v>2409</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502"/>
      <c r="Q43" s="1507" t="str">
        <f t="shared" si="14"/>
        <v>宗地开发程度</v>
      </c>
      <c r="R43" s="1503" t="s">
        <v>8</v>
      </c>
      <c r="S43" s="1504">
        <f t="shared" si="10"/>
        <v>100</v>
      </c>
      <c r="T43" s="1503" t="s">
        <v>8</v>
      </c>
      <c r="U43" s="1504">
        <f t="shared" si="11"/>
        <v>100</v>
      </c>
      <c r="V43" s="1503" t="s">
        <v>8</v>
      </c>
      <c r="W43" s="1504">
        <f t="shared" si="12"/>
        <v>100</v>
      </c>
      <c r="X43" s="1505"/>
      <c r="Y43" s="3502"/>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02" t="s">
        <v>544</v>
      </c>
      <c r="Q44" s="1507" t="str">
        <f t="shared" si="14"/>
        <v>工程地质条件</v>
      </c>
      <c r="R44" s="1508" t="s">
        <v>8</v>
      </c>
      <c r="S44" s="1509">
        <f t="shared" si="10"/>
        <v>100</v>
      </c>
      <c r="T44" s="1508" t="s">
        <v>8</v>
      </c>
      <c r="U44" s="1509">
        <f t="shared" si="11"/>
        <v>100</v>
      </c>
      <c r="V44" s="1508" t="s">
        <v>8</v>
      </c>
      <c r="W44" s="1509">
        <f t="shared" si="12"/>
        <v>100</v>
      </c>
      <c r="X44" s="1502"/>
      <c r="Y44" s="3502"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02"/>
      <c r="Q45" s="1507">
        <f t="shared" si="14"/>
        <v>111</v>
      </c>
      <c r="R45" s="1508" t="s">
        <v>8</v>
      </c>
      <c r="S45" s="1509">
        <f t="shared" si="10"/>
        <v>100</v>
      </c>
      <c r="T45" s="1508" t="s">
        <v>8</v>
      </c>
      <c r="U45" s="1509">
        <f t="shared" si="11"/>
        <v>100</v>
      </c>
      <c r="V45" s="1508" t="s">
        <v>8</v>
      </c>
      <c r="W45" s="1509">
        <f t="shared" si="12"/>
        <v>100</v>
      </c>
      <c r="X45" s="1502"/>
      <c r="Y45" s="3502"/>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02"/>
      <c r="Q46" s="1507">
        <f t="shared" si="14"/>
        <v>111</v>
      </c>
      <c r="R46" s="1508" t="s">
        <v>8</v>
      </c>
      <c r="S46" s="1509">
        <f t="shared" si="10"/>
        <v>100</v>
      </c>
      <c r="T46" s="1508" t="s">
        <v>8</v>
      </c>
      <c r="U46" s="1509">
        <f t="shared" si="11"/>
        <v>100</v>
      </c>
      <c r="V46" s="1508" t="s">
        <v>8</v>
      </c>
      <c r="W46" s="1509">
        <f t="shared" si="12"/>
        <v>100</v>
      </c>
      <c r="X46" s="1502"/>
      <c r="Y46" s="3502"/>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02"/>
      <c r="Q47" s="1507">
        <f t="shared" si="14"/>
        <v>111</v>
      </c>
      <c r="R47" s="1512" t="s">
        <v>8</v>
      </c>
      <c r="S47" s="1513">
        <f t="shared" si="10"/>
        <v>100</v>
      </c>
      <c r="T47" s="1512" t="s">
        <v>8</v>
      </c>
      <c r="U47" s="1513">
        <f t="shared" si="11"/>
        <v>100</v>
      </c>
      <c r="V47" s="1512" t="s">
        <v>8</v>
      </c>
      <c r="W47" s="1513">
        <f t="shared" si="12"/>
        <v>100</v>
      </c>
      <c r="X47" s="1514"/>
      <c r="Y47" s="3502"/>
      <c r="Z47" s="1515">
        <f t="shared" si="13"/>
        <v>111</v>
      </c>
      <c r="AA47" s="1511">
        <f t="shared" si="3"/>
        <v>1</v>
      </c>
      <c r="AB47" s="1511">
        <f t="shared" si="4"/>
        <v>1</v>
      </c>
      <c r="AC47" s="1511">
        <f t="shared" si="5"/>
        <v>1</v>
      </c>
    </row>
    <row r="48" spans="1:29" ht="20.25">
      <c r="A48" s="601" t="s">
        <v>550</v>
      </c>
      <c r="B48" s="602" t="s">
        <v>3052</v>
      </c>
      <c r="C48" s="603" t="s">
        <v>1</v>
      </c>
      <c r="D48" s="604"/>
      <c r="E48" s="605">
        <f>土地案例!O2</f>
        <v>640</v>
      </c>
      <c r="F48" s="606"/>
      <c r="G48" s="607">
        <f>土地案例!O3</f>
        <v>608</v>
      </c>
      <c r="H48" s="608"/>
      <c r="I48" s="605">
        <f>土地案例!O4</f>
        <v>632</v>
      </c>
      <c r="J48" s="608"/>
      <c r="K48" s="1294"/>
      <c r="L48" s="2027"/>
      <c r="M48" s="2015"/>
      <c r="N48" s="2015"/>
      <c r="O48" s="2028"/>
      <c r="P48" s="3465" t="str">
        <f>A48</f>
        <v>成交单价</v>
      </c>
      <c r="Q48" s="3465"/>
      <c r="R48" s="3466">
        <f>E48</f>
        <v>640</v>
      </c>
      <c r="S48" s="3466"/>
      <c r="T48" s="3466">
        <f>G48</f>
        <v>608</v>
      </c>
      <c r="U48" s="3466"/>
      <c r="V48" s="3466">
        <f>I48</f>
        <v>632</v>
      </c>
      <c r="W48" s="3466"/>
      <c r="X48" s="1497"/>
      <c r="Y48" s="1516"/>
      <c r="Z48" s="1497"/>
      <c r="AA48" s="1497"/>
      <c r="AB48" s="1497"/>
      <c r="AC48" s="1497"/>
    </row>
    <row r="49" spans="1:29" ht="21" thickBot="1">
      <c r="A49" s="609" t="s">
        <v>2673</v>
      </c>
      <c r="B49" s="610"/>
      <c r="C49" s="611">
        <f>R50</f>
        <v>646</v>
      </c>
      <c r="D49" s="3014" t="s">
        <v>2971</v>
      </c>
      <c r="E49" s="611">
        <f>R49</f>
        <v>630</v>
      </c>
      <c r="F49" s="3015"/>
      <c r="G49" s="612">
        <f>T49</f>
        <v>654</v>
      </c>
      <c r="H49" s="3015"/>
      <c r="I49" s="611">
        <f>V49</f>
        <v>655</v>
      </c>
      <c r="J49" s="3015"/>
      <c r="K49" s="3016">
        <f>F49+H49+J49</f>
        <v>0</v>
      </c>
      <c r="L49" s="2027"/>
      <c r="M49" s="2015"/>
      <c r="N49" s="2015"/>
      <c r="O49" s="2028"/>
      <c r="P49" s="3465" t="str">
        <f>A49</f>
        <v>比较价格（元/平方米）</v>
      </c>
      <c r="Q49" s="3465"/>
      <c r="R49" s="3467">
        <f>ROUND(PRODUCT(R48,AA9:AA47),0)</f>
        <v>630</v>
      </c>
      <c r="S49" s="3467"/>
      <c r="T49" s="3467">
        <f>ROUND(PRODUCT(T48,AB9:AB47),0)</f>
        <v>654</v>
      </c>
      <c r="U49" s="3467"/>
      <c r="V49" s="3467">
        <f>ROUND(PRODUCT(V48,AC9:AC47),0)</f>
        <v>655</v>
      </c>
      <c r="W49" s="3467"/>
      <c r="X49" s="1497"/>
      <c r="Y49" s="1497"/>
      <c r="Z49" s="1497"/>
      <c r="AA49" s="1497"/>
      <c r="AB49" s="1497"/>
      <c r="AC49" s="1497"/>
    </row>
    <row r="50" spans="1:29" ht="21" thickBot="1">
      <c r="A50" s="613" t="s">
        <v>2903</v>
      </c>
      <c r="B50" s="614"/>
      <c r="C50" s="615">
        <f>R50</f>
        <v>646</v>
      </c>
      <c r="D50" s="615"/>
      <c r="E50" s="615"/>
      <c r="F50" s="615"/>
      <c r="G50" s="615"/>
      <c r="H50" s="615"/>
      <c r="I50" s="615"/>
      <c r="J50" s="615"/>
      <c r="K50" s="1295"/>
      <c r="L50" s="2027"/>
      <c r="M50" s="2015"/>
      <c r="N50" s="2015"/>
      <c r="O50" s="2028"/>
      <c r="P50" s="3462" t="str">
        <f>A50</f>
        <v>估价对象XX用房的比较价格（楼面单价，元/平方米）</v>
      </c>
      <c r="Q50" s="3463"/>
      <c r="R50" s="3464">
        <f>ROUND(IF(D49="简单平均",AVERAGE(R49:W49),R49*F49+T49*H49+V49*J49),0)</f>
        <v>646</v>
      </c>
      <c r="S50" s="3464"/>
      <c r="T50" s="3464"/>
      <c r="U50" s="3464"/>
      <c r="V50" s="3464"/>
      <c r="W50" s="3464"/>
      <c r="X50" s="1497"/>
      <c r="Y50" s="1497"/>
      <c r="Z50" s="1497"/>
      <c r="AA50" s="1497"/>
      <c r="AB50" s="1497"/>
      <c r="AC50" s="1497"/>
    </row>
    <row r="51" spans="1:29" ht="20.25">
      <c r="A51" s="3214"/>
      <c r="B51" s="3214"/>
      <c r="C51" s="3214"/>
      <c r="D51" s="3214">
        <f>C49*666.67/10000</f>
        <v>43.066881999999993</v>
      </c>
      <c r="E51" s="3214">
        <f>E48*666.67/10000</f>
        <v>42.666879999999999</v>
      </c>
      <c r="F51" s="3214"/>
      <c r="G51" s="3214">
        <f>G48*666.67/10000</f>
        <v>40.533535999999998</v>
      </c>
      <c r="H51" s="3214"/>
      <c r="I51" s="3214">
        <f>I48*666.67/10000</f>
        <v>42.133544000000001</v>
      </c>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f>E48/E13</f>
        <v>256</v>
      </c>
      <c r="F52" s="3214"/>
      <c r="G52" s="3214">
        <f t="shared" ref="F52:I52" si="15">G48/G13</f>
        <v>243.2</v>
      </c>
      <c r="H52" s="3214"/>
      <c r="I52" s="3214">
        <f>I48/I13</f>
        <v>632</v>
      </c>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1.5873015873015817E-2</v>
      </c>
      <c r="F53" s="619" t="str">
        <f>IF(OR(E53&gt;=0.3,E53&lt;=-0.3),"超过30%","")</f>
        <v/>
      </c>
      <c r="G53" s="618">
        <f>IF(G48&lt;G49,G49/G48-1,G48/G49-1)</f>
        <v>7.5657894736842035E-2</v>
      </c>
      <c r="H53" s="619" t="str">
        <f>IF(OR(G53&gt;=0.3,G53&lt;=-0.3),"超过30%","")</f>
        <v/>
      </c>
      <c r="I53" s="618">
        <f>IF(I48&lt;I49,I49/I48-1,I48/I49-1)</f>
        <v>3.6392405063291111E-2</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3.8095238095238182E-2</v>
      </c>
      <c r="F54" s="619" t="str">
        <f>IF(OR(E54&gt;=0.2,E54&lt;=-0.2),"超过20%","")</f>
        <v/>
      </c>
      <c r="G54" s="618">
        <f>IF(G49&lt;I49,I49/G49-1,G49/I49-1)</f>
        <v>1.5290519877675379E-3</v>
      </c>
      <c r="H54" s="619" t="str">
        <f>IF(OR(G54&gt;=0.2,G54&lt;=-0.2),"超过20%","")</f>
        <v/>
      </c>
      <c r="I54" s="618">
        <f>IF(I49&lt;E49,E49/I49-1,I49/E49-1)</f>
        <v>3.9682539682539764E-2</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5.2631578947368363E-2</v>
      </c>
      <c r="F55" s="619" t="str">
        <f>IF(OR(E55&gt;=0.3,E55&lt;=-0.3),"超过30%","")</f>
        <v/>
      </c>
      <c r="G55" s="618">
        <f>IF(G48&lt;I48,I48/G48-1,G48/I48-1)</f>
        <v>3.9473684210526327E-2</v>
      </c>
      <c r="H55" s="619" t="str">
        <f>IF(OR(G55&gt;=0.3,G55&lt;=-0.3),"超过30%","")</f>
        <v/>
      </c>
      <c r="I55" s="618">
        <f>IF(I48&lt;E48,E48/I48-1,I48/E48-1)</f>
        <v>1.2658227848101333E-2</v>
      </c>
      <c r="J55" s="619" t="str">
        <f>IF(OR(I55&gt;=0.3,I55&lt;=-0.3),"超过30%","")</f>
        <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1" t="s">
        <v>2269</v>
      </c>
      <c r="H57" s="3492"/>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646</v>
      </c>
      <c r="C58" s="627">
        <v>1</v>
      </c>
      <c r="D58" s="2109">
        <v>1</v>
      </c>
      <c r="E58" s="627">
        <f>'数据-汇总表'!E8+'数据-汇总表'!E9</f>
        <v>335510</v>
      </c>
      <c r="F58" s="628">
        <f t="shared" ref="F58:F67" si="16">ROUND(B58*E58/10000,0)</f>
        <v>21674</v>
      </c>
      <c r="G58" s="3493"/>
      <c r="H58" s="3494"/>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7">IF($C$57="北京市系数",I59,J59)</f>
        <v>0</v>
      </c>
      <c r="D59" s="2110">
        <v>0.25</v>
      </c>
      <c r="E59" s="631">
        <v>0</v>
      </c>
      <c r="F59" s="628">
        <f t="shared" si="16"/>
        <v>0</v>
      </c>
      <c r="G59" s="3495"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8">ROUND($C$50*C60*D60,0)</f>
        <v>0</v>
      </c>
      <c r="C60" s="372">
        <f t="shared" si="17"/>
        <v>0</v>
      </c>
      <c r="D60" s="2110">
        <v>0.25</v>
      </c>
      <c r="E60" s="631">
        <v>0</v>
      </c>
      <c r="F60" s="628">
        <f t="shared" si="16"/>
        <v>0</v>
      </c>
      <c r="G60" s="3495"/>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8"/>
        <v>0</v>
      </c>
      <c r="C61" s="372">
        <f t="shared" si="17"/>
        <v>0</v>
      </c>
      <c r="D61" s="2110">
        <v>0.25</v>
      </c>
      <c r="E61" s="631">
        <v>0</v>
      </c>
      <c r="F61" s="628">
        <f t="shared" si="16"/>
        <v>0</v>
      </c>
      <c r="G61" s="3495"/>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8"/>
        <v>0</v>
      </c>
      <c r="C62" s="372">
        <f t="shared" si="17"/>
        <v>0</v>
      </c>
      <c r="D62" s="2110">
        <v>0.25</v>
      </c>
      <c r="E62" s="631">
        <v>0</v>
      </c>
      <c r="F62" s="628">
        <f t="shared" si="16"/>
        <v>0</v>
      </c>
      <c r="G62" s="3495"/>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8"/>
        <v>0</v>
      </c>
      <c r="C63" s="372">
        <f t="shared" si="17"/>
        <v>0</v>
      </c>
      <c r="D63" s="2110">
        <v>0.25</v>
      </c>
      <c r="E63" s="633">
        <f>'数据-汇总表'!E11</f>
        <v>0</v>
      </c>
      <c r="F63" s="628">
        <f t="shared" si="16"/>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8"/>
        <v>0</v>
      </c>
      <c r="C64" s="372">
        <f t="shared" si="17"/>
        <v>0</v>
      </c>
      <c r="D64" s="2110">
        <v>0.25</v>
      </c>
      <c r="E64" s="633">
        <f>'数据-汇总表'!E12</f>
        <v>0</v>
      </c>
      <c r="F64" s="628">
        <f t="shared" si="16"/>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8"/>
        <v>0</v>
      </c>
      <c r="C65" s="372">
        <f t="shared" si="17"/>
        <v>0</v>
      </c>
      <c r="D65" s="2110">
        <v>0.25</v>
      </c>
      <c r="E65" s="633">
        <f>'数据-汇总表'!E13</f>
        <v>0</v>
      </c>
      <c r="F65" s="628">
        <f t="shared" si="16"/>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8"/>
        <v>0</v>
      </c>
      <c r="C66" s="372">
        <f t="shared" si="17"/>
        <v>0</v>
      </c>
      <c r="D66" s="2110">
        <v>0.25</v>
      </c>
      <c r="E66" s="633">
        <f>'数据-汇总表'!E14</f>
        <v>0</v>
      </c>
      <c r="F66" s="628">
        <f t="shared" si="16"/>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8"/>
        <v>0</v>
      </c>
      <c r="C67" s="372">
        <f t="shared" si="17"/>
        <v>0</v>
      </c>
      <c r="D67" s="2110">
        <v>0.25</v>
      </c>
      <c r="E67" s="633">
        <f>'数据-汇总表'!E15</f>
        <v>0</v>
      </c>
      <c r="F67" s="628">
        <f t="shared" si="16"/>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134204</v>
      </c>
      <c r="F68" s="636">
        <f>IF(B48="楼面地价",SUM(F58:F67),ROUND(C50*E68/10000,0))</f>
        <v>8670</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2021-6-1</v>
      </c>
      <c r="D70" s="2517">
        <f>EDATE(C70,-3)</f>
        <v>44256</v>
      </c>
      <c r="E70" s="2517">
        <f t="shared" ref="E70:N70" si="19">EDATE(D70,-3)</f>
        <v>44166</v>
      </c>
      <c r="F70" s="2517">
        <f t="shared" si="19"/>
        <v>44075</v>
      </c>
      <c r="G70" s="2517">
        <f t="shared" si="19"/>
        <v>43983</v>
      </c>
      <c r="H70" s="2517">
        <f t="shared" si="19"/>
        <v>43891</v>
      </c>
      <c r="I70" s="2517">
        <f t="shared" si="19"/>
        <v>43800</v>
      </c>
      <c r="J70" s="2517">
        <f t="shared" si="19"/>
        <v>43709</v>
      </c>
      <c r="K70" s="2517">
        <f t="shared" si="19"/>
        <v>43617</v>
      </c>
      <c r="L70" s="2517">
        <f t="shared" si="19"/>
        <v>43525</v>
      </c>
      <c r="M70" s="2517">
        <f t="shared" si="19"/>
        <v>43435</v>
      </c>
      <c r="N70" s="2517">
        <f t="shared" si="19"/>
        <v>43344</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2513</v>
      </c>
      <c r="B72" s="2423"/>
      <c r="C72" s="2514" t="str">
        <f>YEAR(C70)&amp;"-"&amp;ROUNDUP(MONTH(C70)/3,0)</f>
        <v>2021-2</v>
      </c>
      <c r="D72" s="2519" t="str">
        <f>YEAR(D70)&amp;"-"&amp;ROUNDUP(MONTH(D70)/3,0)</f>
        <v>2021-1</v>
      </c>
      <c r="E72" s="2519" t="str">
        <f t="shared" ref="E72:N72" si="20">YEAR(E70)&amp;"-"&amp;ROUNDUP(MONTH(E70)/3,0)</f>
        <v>2020-4</v>
      </c>
      <c r="F72" s="2519" t="str">
        <f t="shared" si="20"/>
        <v>2020-3</v>
      </c>
      <c r="G72" s="2519" t="str">
        <f t="shared" si="20"/>
        <v>2020-2</v>
      </c>
      <c r="H72" s="2519" t="str">
        <f t="shared" si="20"/>
        <v>2020-1</v>
      </c>
      <c r="I72" s="2519" t="str">
        <f t="shared" si="20"/>
        <v>2019-4</v>
      </c>
      <c r="J72" s="2519" t="str">
        <f t="shared" si="20"/>
        <v>2019-3</v>
      </c>
      <c r="K72" s="2519" t="str">
        <f t="shared" si="20"/>
        <v>2019-2</v>
      </c>
      <c r="L72" s="2519" t="str">
        <f t="shared" si="20"/>
        <v>2019-1</v>
      </c>
      <c r="M72" s="2519" t="str">
        <f t="shared" si="20"/>
        <v>2018-4</v>
      </c>
      <c r="N72" s="2519" t="str">
        <f t="shared" si="20"/>
        <v>2018-3</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北京市平均增长率1.73%</v>
      </c>
      <c r="C73" s="883">
        <v>100</v>
      </c>
      <c r="D73" s="722">
        <f>C73</f>
        <v>100</v>
      </c>
      <c r="E73" s="722">
        <f t="shared" ref="E73:N73" si="21">D73</f>
        <v>100</v>
      </c>
      <c r="F73" s="722">
        <f t="shared" si="21"/>
        <v>100</v>
      </c>
      <c r="G73" s="722">
        <f t="shared" si="21"/>
        <v>100</v>
      </c>
      <c r="H73" s="722">
        <f t="shared" si="21"/>
        <v>100</v>
      </c>
      <c r="I73" s="722">
        <f t="shared" si="21"/>
        <v>100</v>
      </c>
      <c r="J73" s="722">
        <f t="shared" si="21"/>
        <v>100</v>
      </c>
      <c r="K73" s="722">
        <f t="shared" si="21"/>
        <v>100</v>
      </c>
      <c r="L73" s="722">
        <f t="shared" si="21"/>
        <v>100</v>
      </c>
      <c r="M73" s="722">
        <f t="shared" si="21"/>
        <v>100</v>
      </c>
      <c r="N73" s="722">
        <f t="shared" si="21"/>
        <v>100</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2">D82&amp;"（含）"&amp;"-"&amp;E82</f>
        <v>1（含）-2</v>
      </c>
      <c r="E81" s="674" t="str">
        <f t="shared" si="22"/>
        <v>2（含）-3</v>
      </c>
      <c r="F81" s="674" t="str">
        <f t="shared" si="22"/>
        <v>3（含）-4</v>
      </c>
      <c r="G81" s="674" t="str">
        <f t="shared" si="22"/>
        <v>4（含）-5</v>
      </c>
      <c r="H81" s="674" t="str">
        <f t="shared" si="22"/>
        <v>5（含）-</v>
      </c>
      <c r="I81" s="674" t="str">
        <f t="shared" si="22"/>
        <v>（含）-</v>
      </c>
      <c r="J81" s="674" t="str">
        <f t="shared" si="22"/>
        <v>（含）-</v>
      </c>
      <c r="K81" s="674" t="str">
        <f t="shared" si="22"/>
        <v>（含）-</v>
      </c>
      <c r="L81" s="674" t="str">
        <f t="shared" si="22"/>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v>5</v>
      </c>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105</v>
      </c>
      <c r="E83" s="671">
        <f t="shared" ref="E83:M83" si="23">IF($B$48="单位面积地价",D83+$K13,D83-$K13)</f>
        <v>110</v>
      </c>
      <c r="F83" s="671">
        <f t="shared" si="23"/>
        <v>115</v>
      </c>
      <c r="G83" s="671">
        <f t="shared" si="23"/>
        <v>120</v>
      </c>
      <c r="H83" s="671">
        <f t="shared" si="23"/>
        <v>125</v>
      </c>
      <c r="I83" s="671">
        <f t="shared" si="23"/>
        <v>130</v>
      </c>
      <c r="J83" s="671">
        <f t="shared" si="23"/>
        <v>135</v>
      </c>
      <c r="K83" s="671">
        <f t="shared" si="23"/>
        <v>140</v>
      </c>
      <c r="L83" s="671">
        <f t="shared" si="23"/>
        <v>145</v>
      </c>
      <c r="M83" s="671">
        <f t="shared" si="23"/>
        <v>150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97</v>
      </c>
      <c r="E93" s="671">
        <f>D93-$K19</f>
        <v>94</v>
      </c>
      <c r="F93" s="671">
        <f>E93-$K19</f>
        <v>91</v>
      </c>
      <c r="G93" s="671">
        <f>F93-$K19</f>
        <v>88</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4">D107-$K33</f>
        <v>100</v>
      </c>
      <c r="F107" s="671">
        <f t="shared" si="24"/>
        <v>100</v>
      </c>
      <c r="G107" s="671">
        <f t="shared" si="24"/>
        <v>100</v>
      </c>
      <c r="H107" s="671">
        <f t="shared" si="24"/>
        <v>100</v>
      </c>
      <c r="I107" s="671">
        <f t="shared" si="24"/>
        <v>100</v>
      </c>
      <c r="J107" s="671">
        <f t="shared" si="24"/>
        <v>100</v>
      </c>
      <c r="K107" s="671">
        <f t="shared" si="24"/>
        <v>100</v>
      </c>
      <c r="L107" s="671">
        <f t="shared" si="24"/>
        <v>100</v>
      </c>
      <c r="M107" s="671">
        <f t="shared" si="24"/>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5">D109-$K34</f>
        <v>100</v>
      </c>
      <c r="F109" s="671">
        <f t="shared" si="25"/>
        <v>100</v>
      </c>
      <c r="G109" s="671">
        <f t="shared" si="25"/>
        <v>100</v>
      </c>
      <c r="H109" s="671">
        <f t="shared" si="25"/>
        <v>100</v>
      </c>
      <c r="I109" s="671">
        <f t="shared" si="25"/>
        <v>100</v>
      </c>
      <c r="J109" s="671">
        <f t="shared" si="25"/>
        <v>100</v>
      </c>
      <c r="K109" s="671">
        <f t="shared" si="25"/>
        <v>100</v>
      </c>
      <c r="L109" s="671">
        <f t="shared" si="25"/>
        <v>100</v>
      </c>
      <c r="M109" s="671">
        <f t="shared" si="25"/>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6">D111-$K36</f>
        <v>100</v>
      </c>
      <c r="F111" s="671">
        <f t="shared" si="26"/>
        <v>100</v>
      </c>
      <c r="G111" s="671">
        <f t="shared" si="26"/>
        <v>100</v>
      </c>
      <c r="H111" s="671">
        <f t="shared" si="26"/>
        <v>100</v>
      </c>
      <c r="I111" s="671">
        <f t="shared" si="26"/>
        <v>100</v>
      </c>
      <c r="J111" s="671">
        <f t="shared" si="26"/>
        <v>100</v>
      </c>
      <c r="K111" s="671">
        <f t="shared" si="26"/>
        <v>100</v>
      </c>
      <c r="L111" s="671">
        <f t="shared" si="26"/>
        <v>100</v>
      </c>
      <c r="M111" s="671">
        <f t="shared" si="26"/>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7">C119&amp;"(含)"&amp;"-"&amp;D119</f>
        <v>0(含)-10000</v>
      </c>
      <c r="D118" s="696" t="str">
        <f t="shared" si="27"/>
        <v>10000(含)-20000</v>
      </c>
      <c r="E118" s="696" t="str">
        <f t="shared" si="27"/>
        <v>20000(含)-50000</v>
      </c>
      <c r="F118" s="696" t="str">
        <f t="shared" si="27"/>
        <v>50000(含)-100000</v>
      </c>
      <c r="G118" s="696" t="str">
        <f t="shared" si="27"/>
        <v>100000(含)-</v>
      </c>
      <c r="H118" s="696" t="str">
        <f t="shared" si="27"/>
        <v>(含)-</v>
      </c>
      <c r="I118" s="696" t="str">
        <f t="shared" si="27"/>
        <v>(含)-</v>
      </c>
      <c r="J118" s="2780" t="str">
        <f t="shared" si="27"/>
        <v>(含)-</v>
      </c>
      <c r="K118" s="2780" t="str">
        <f t="shared" si="27"/>
        <v>(含)-</v>
      </c>
      <c r="L118" s="2781" t="str">
        <f t="shared" si="27"/>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10000</v>
      </c>
      <c r="E119" s="722">
        <v>20000</v>
      </c>
      <c r="F119" s="722">
        <v>50000</v>
      </c>
      <c r="G119" s="722">
        <v>100000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89" t="str">
        <f>项目基本情况!B1</f>
        <v>出让国有建设用地使用权抵押价格预评估</v>
      </c>
      <c r="C37" s="3289"/>
      <c r="D37" s="3289"/>
      <c r="E37" s="3289"/>
      <c r="F37" s="3289"/>
      <c r="G37" s="3289"/>
      <c r="H37" s="3289"/>
      <c r="I37" s="3289"/>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土地估价师、土地估价师</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B8790-9D8D-4188-A9E3-FBADB14127BA}">
  <dimension ref="A1:S4"/>
  <sheetViews>
    <sheetView workbookViewId="0">
      <selection activeCell="A4" sqref="A4"/>
    </sheetView>
  </sheetViews>
  <sheetFormatPr defaultRowHeight="13.5"/>
  <cols>
    <col min="1" max="1" width="15" bestFit="1" customWidth="1"/>
    <col min="2" max="2" width="6.375" bestFit="1" customWidth="1"/>
    <col min="3" max="3" width="12.375" bestFit="1" customWidth="1"/>
    <col min="4" max="5" width="15.125" bestFit="1" customWidth="1"/>
    <col min="6" max="6" width="28" bestFit="1" customWidth="1"/>
    <col min="7" max="7" width="8" bestFit="1" customWidth="1"/>
    <col min="8" max="8" width="11.375" bestFit="1" customWidth="1"/>
    <col min="9" max="9" width="8" bestFit="1" customWidth="1"/>
    <col min="10" max="11" width="10.25" bestFit="1" customWidth="1"/>
    <col min="12" max="13" width="11.5" bestFit="1" customWidth="1"/>
    <col min="14" max="14" width="16.125" bestFit="1" customWidth="1"/>
    <col min="15" max="15" width="16.125" customWidth="1"/>
    <col min="16" max="16" width="9.625" customWidth="1"/>
    <col min="17" max="17" width="6.375" bestFit="1" customWidth="1"/>
    <col min="18" max="18" width="25.75" bestFit="1" customWidth="1"/>
    <col min="19" max="19" width="8" bestFit="1" customWidth="1"/>
  </cols>
  <sheetData>
    <row r="1" spans="1:19" s="3288" customFormat="1" ht="12.75" customHeight="1">
      <c r="A1" s="3288" t="s">
        <v>3019</v>
      </c>
      <c r="B1" s="3288" t="s">
        <v>3020</v>
      </c>
      <c r="C1" s="3288" t="s">
        <v>3021</v>
      </c>
      <c r="D1" s="3288" t="s">
        <v>3022</v>
      </c>
      <c r="E1" s="3288" t="s">
        <v>3023</v>
      </c>
      <c r="F1" s="3288" t="s">
        <v>2021</v>
      </c>
      <c r="G1" s="3288" t="s">
        <v>3024</v>
      </c>
      <c r="H1" s="3288" t="s">
        <v>3025</v>
      </c>
      <c r="I1" s="3288" t="s">
        <v>3026</v>
      </c>
      <c r="J1" s="3288" t="s">
        <v>3027</v>
      </c>
      <c r="K1" s="3288" t="s">
        <v>3028</v>
      </c>
      <c r="L1" s="3288" t="s">
        <v>3029</v>
      </c>
      <c r="M1" s="3288" t="s">
        <v>3030</v>
      </c>
      <c r="N1" s="3288" t="s">
        <v>3031</v>
      </c>
      <c r="O1" s="3288" t="s">
        <v>3050</v>
      </c>
      <c r="P1" s="3288" t="s">
        <v>3051</v>
      </c>
      <c r="Q1" s="3288" t="s">
        <v>3032</v>
      </c>
      <c r="R1" s="3288" t="s">
        <v>3033</v>
      </c>
      <c r="S1" s="3288" t="s">
        <v>3034</v>
      </c>
    </row>
    <row r="2" spans="1:19" s="3288" customFormat="1" ht="12">
      <c r="A2" s="3288" t="s">
        <v>3035</v>
      </c>
      <c r="B2" s="3288" t="s">
        <v>3036</v>
      </c>
      <c r="C2" s="3288" t="s">
        <v>3037</v>
      </c>
      <c r="D2" s="3288">
        <v>1000</v>
      </c>
      <c r="E2" s="3288">
        <v>2500</v>
      </c>
      <c r="F2" s="3288" t="s">
        <v>3038</v>
      </c>
      <c r="G2" s="3288" t="s">
        <v>3039</v>
      </c>
      <c r="H2" s="3288" t="s">
        <v>3040</v>
      </c>
      <c r="I2" s="3288">
        <v>0</v>
      </c>
      <c r="J2" s="3288" t="s">
        <v>3041</v>
      </c>
      <c r="K2" s="3288" t="s">
        <v>3041</v>
      </c>
      <c r="L2" s="3288">
        <v>64</v>
      </c>
      <c r="M2" s="3288">
        <v>64</v>
      </c>
      <c r="N2" s="3288">
        <v>256</v>
      </c>
      <c r="O2" s="3288">
        <f>ROUND(M2/D2*10000,0)</f>
        <v>640</v>
      </c>
      <c r="P2" s="3288">
        <f>O2*666.67/10000</f>
        <v>42.666879999999999</v>
      </c>
      <c r="Q2" s="3288">
        <v>0</v>
      </c>
      <c r="R2" s="3288" t="s">
        <v>3042</v>
      </c>
      <c r="S2" s="3288" t="s">
        <v>3043</v>
      </c>
    </row>
    <row r="3" spans="1:19" s="3288" customFormat="1" ht="12">
      <c r="A3" s="3288" t="s">
        <v>3044</v>
      </c>
      <c r="B3" s="3288" t="s">
        <v>3036</v>
      </c>
      <c r="C3" s="3288" t="s">
        <v>3037</v>
      </c>
      <c r="D3" s="3288">
        <v>2400.21</v>
      </c>
      <c r="E3" s="3288">
        <v>6000.53</v>
      </c>
      <c r="F3" s="3288" t="s">
        <v>3045</v>
      </c>
      <c r="G3" s="3288" t="s">
        <v>3039</v>
      </c>
      <c r="H3" s="3288" t="s">
        <v>3040</v>
      </c>
      <c r="I3" s="3288">
        <v>0</v>
      </c>
      <c r="J3" s="3288" t="s">
        <v>3046</v>
      </c>
      <c r="K3" s="3288" t="s">
        <v>3046</v>
      </c>
      <c r="L3" s="3288">
        <v>146</v>
      </c>
      <c r="M3" s="3288">
        <v>146</v>
      </c>
      <c r="N3" s="3288">
        <v>243.31</v>
      </c>
      <c r="O3" s="3288">
        <f>ROUND(M3/D3*10000,0)</f>
        <v>608</v>
      </c>
      <c r="P3" s="3288">
        <f t="shared" ref="P3:P4" si="0">O3*666.67/10000</f>
        <v>40.533535999999998</v>
      </c>
      <c r="Q3" s="3288">
        <v>0</v>
      </c>
      <c r="R3" s="3288" t="s">
        <v>3042</v>
      </c>
      <c r="S3" s="3288" t="s">
        <v>3043</v>
      </c>
    </row>
    <row r="4" spans="1:19" s="3288" customFormat="1" ht="12">
      <c r="A4" s="3288" t="s">
        <v>3035</v>
      </c>
      <c r="B4" s="3288" t="s">
        <v>3036</v>
      </c>
      <c r="C4" s="3288" t="s">
        <v>3037</v>
      </c>
      <c r="D4" s="3288">
        <v>6044.81</v>
      </c>
      <c r="E4" s="3288">
        <v>6044.81</v>
      </c>
      <c r="F4" s="3288" t="s">
        <v>3047</v>
      </c>
      <c r="G4" s="3288" t="s">
        <v>3039</v>
      </c>
      <c r="H4" s="3288" t="s">
        <v>3040</v>
      </c>
      <c r="I4" s="3288">
        <v>0</v>
      </c>
      <c r="J4" s="3288" t="s">
        <v>3048</v>
      </c>
      <c r="K4" s="3288" t="s">
        <v>3048</v>
      </c>
      <c r="L4" s="3288">
        <v>362</v>
      </c>
      <c r="M4" s="3288">
        <v>382</v>
      </c>
      <c r="N4" s="3288">
        <v>631.95000000000005</v>
      </c>
      <c r="O4" s="3288">
        <f>ROUND(M4/D4*10000,0)</f>
        <v>632</v>
      </c>
      <c r="P4" s="3288">
        <f t="shared" si="0"/>
        <v>42.133544000000001</v>
      </c>
      <c r="Q4" s="3288">
        <v>5.52</v>
      </c>
      <c r="R4" s="3288" t="s">
        <v>3049</v>
      </c>
      <c r="S4" s="3288" t="s">
        <v>3043</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tabSelected="1" view="pageBreakPreview" zoomScale="80" zoomScaleNormal="80" zoomScaleSheetLayoutView="80" workbookViewId="0">
      <selection activeCell="E20" sqref="E20"/>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14924</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445</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1112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74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109263</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3015</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3257</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335510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f ca="1">不动产收益法!B2</f>
        <v>109263</v>
      </c>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60392</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2295</v>
      </c>
      <c r="D14" s="2562"/>
      <c r="E14" s="2563"/>
      <c r="F14" s="2565">
        <f>'数据-取费表'!B33</f>
        <v>3.7999999999999999E-2</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5033</v>
      </c>
      <c r="D16" s="2562">
        <f ca="1">IF(B1="",'数据-汇总表'!E3,INDIRECT("'数据-取费表'!K"&amp;$K$1)+INDIRECT("'数据-取费表'!S"&amp;$K$1))</f>
        <v>335510</v>
      </c>
      <c r="E16" s="53">
        <f>'数据-取费表'!B35</f>
        <v>150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906</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68626</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671</v>
      </c>
      <c r="D19" s="2572">
        <f ca="1">D16</f>
        <v>335510</v>
      </c>
      <c r="E19" s="2526">
        <f>'数据-取费表'!B32</f>
        <v>20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1678</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50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1678</v>
      </c>
      <c r="D22" s="2562">
        <f ca="1">IF(B1="",'数据-汇总表'!E6,IF(INDIRECT("'数据-取费表'!c"&amp;$K$1)="住宅",INDIRECT("'数据-取费表'!s"&amp;$K$1),INDIRECT("'数据-取费表'!k"&amp;$K$1)+INDIRECT("'数据-取费表'!s"&amp;$K$1)))</f>
        <v>335510</v>
      </c>
      <c r="E22" s="53">
        <f>'数据-取费表'!B28</f>
        <v>50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1420</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 ca="1">ROUND(C6*F24,0)</f>
        <v>2185</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3244</v>
      </c>
      <c r="D26" s="461">
        <f ca="1">C27</f>
        <v>9.1499999999999998E-2</v>
      </c>
      <c r="E26" s="463" t="s">
        <v>489</v>
      </c>
      <c r="F26" s="465">
        <f ca="1">'数据-取费表'!B40</f>
        <v>4.3499999999999997E-2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9.1499999999999998E-2</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3244</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5723</v>
      </c>
      <c r="D29" s="462"/>
      <c r="E29" s="462"/>
      <c r="F29" s="2750">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83547</v>
      </c>
      <c r="D30" s="471">
        <f ca="1">C32</f>
        <v>0.1205</v>
      </c>
      <c r="E30" s="463" t="s">
        <v>489</v>
      </c>
      <c r="F30" s="465"/>
      <c r="G30" s="2538" t="s">
        <v>2936</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83547</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0.1205</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7458</v>
      </c>
      <c r="D33" s="461">
        <f ca="1">C34</f>
        <v>0.10290000000000001</v>
      </c>
      <c r="E33" s="463" t="s">
        <v>489</v>
      </c>
      <c r="F33" s="473">
        <f ca="1">IF(B1="",'数据-取费表'!Q16,INDIRECT("'数据-取费表'!q"&amp;$K$1))</f>
        <v>0.1</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0.10290000000000001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7458</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14924</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J49" sqref="J49"/>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3015</v>
      </c>
      <c r="D1" s="2798" t="s">
        <v>3056</v>
      </c>
      <c r="E1" s="2243" t="s">
        <v>2359</v>
      </c>
      <c r="F1" s="2244">
        <f ca="1">J53</f>
        <v>36.64</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109263</v>
      </c>
      <c r="C2" s="3264"/>
      <c r="D2" s="3265"/>
      <c r="E2" s="3266"/>
      <c r="F2" s="3266"/>
      <c r="G2" s="3260"/>
      <c r="H2" s="1941"/>
      <c r="I2" s="1941"/>
      <c r="J2" s="1941"/>
      <c r="K2" s="1942"/>
      <c r="L2" s="1941"/>
      <c r="M2" s="1941"/>
    </row>
    <row r="3" spans="1:33" ht="18" customHeight="1" thickBot="1">
      <c r="A3" s="822" t="s">
        <v>1718</v>
      </c>
      <c r="B3" s="823">
        <f ca="1">IF(ISERROR(B2*10000/F43),0,ROUND(B2*10000/F43,0))</f>
        <v>3257</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7256</v>
      </c>
      <c r="D5" s="2350" t="s">
        <v>2442</v>
      </c>
      <c r="E5" s="2344"/>
      <c r="F5" s="2345"/>
      <c r="G5" s="1946"/>
      <c r="H5" s="771">
        <v>1</v>
      </c>
      <c r="I5" s="772" t="s">
        <v>2439</v>
      </c>
      <c r="J5" s="55">
        <f ca="1">J6+J10+J12</f>
        <v>0</v>
      </c>
      <c r="K5" s="2350" t="s">
        <v>2442</v>
      </c>
      <c r="L5" s="2344"/>
      <c r="M5" s="2345"/>
    </row>
    <row r="6" spans="1:33" ht="18" customHeight="1">
      <c r="A6" s="1746" t="s">
        <v>1815</v>
      </c>
      <c r="B6" s="3505" t="s">
        <v>2444</v>
      </c>
      <c r="C6" s="773">
        <f ca="1">ROUND(F6*F8*F7*(1-F9)/10000,0)</f>
        <v>7247</v>
      </c>
      <c r="D6" s="2351" t="s">
        <v>2443</v>
      </c>
      <c r="E6" s="774" t="s">
        <v>1729</v>
      </c>
      <c r="F6" s="775">
        <f ca="1">INDIRECT("'数据-取费表'!u"&amp;$G$1)</f>
        <v>20</v>
      </c>
      <c r="G6" s="1946"/>
      <c r="H6" s="2358" t="s">
        <v>2449</v>
      </c>
      <c r="I6" s="3505" t="s">
        <v>2444</v>
      </c>
      <c r="J6" s="773">
        <f ca="1">ROUND(M6*M8*M7*(1-M9)/10000,0)</f>
        <v>0</v>
      </c>
      <c r="K6" s="339" t="s">
        <v>1728</v>
      </c>
      <c r="L6" s="774" t="s">
        <v>1729</v>
      </c>
      <c r="M6" s="775">
        <f ca="1">INDIRECT("'数据-取费表'!z"&amp;$G$1)</f>
        <v>0</v>
      </c>
    </row>
    <row r="7" spans="1:33" ht="18" customHeight="1">
      <c r="A7" s="2354"/>
      <c r="B7" s="3506"/>
      <c r="C7" s="778"/>
      <c r="D7" s="779"/>
      <c r="E7" s="774" t="s">
        <v>1730</v>
      </c>
      <c r="F7" s="775">
        <f ca="1">IF(INDIRECT("'数据-取费表'!ah"&amp;$G$1)="",INDIRECT("'数据-取费表'!k"&amp;$G$1),INDIRECT("'数据-取费表'!ah"&amp;$G$1))</f>
        <v>335510</v>
      </c>
      <c r="G7" s="1946"/>
      <c r="H7" s="2343"/>
      <c r="I7" s="3506"/>
      <c r="J7" s="778"/>
      <c r="K7" s="779"/>
      <c r="L7" s="774" t="s">
        <v>1730</v>
      </c>
      <c r="M7" s="775">
        <f ca="1">F7</f>
        <v>335510</v>
      </c>
    </row>
    <row r="8" spans="1:33" ht="18" customHeight="1">
      <c r="A8" s="2347"/>
      <c r="B8" s="3507"/>
      <c r="C8" s="778"/>
      <c r="D8" s="779"/>
      <c r="E8" s="774" t="s">
        <v>1731</v>
      </c>
      <c r="F8" s="775">
        <f ca="1">INDIRECT("'数据-取费表'!ai"&amp;$G$1)</f>
        <v>12</v>
      </c>
      <c r="G8" s="1946"/>
      <c r="H8" s="2343"/>
      <c r="I8" s="3507"/>
      <c r="J8" s="778"/>
      <c r="K8" s="779"/>
      <c r="L8" s="774" t="s">
        <v>1731</v>
      </c>
      <c r="M8" s="775">
        <f ca="1">INDIRECT("'数据-取费表'!ai"&amp;$G$1)</f>
        <v>12</v>
      </c>
    </row>
    <row r="9" spans="1:33" ht="18" customHeight="1">
      <c r="A9" s="776"/>
      <c r="B9" s="3508"/>
      <c r="C9" s="778"/>
      <c r="D9" s="779"/>
      <c r="E9" s="774" t="s">
        <v>1732</v>
      </c>
      <c r="F9" s="784">
        <f ca="1">INDIRECT("'数据-取费表'!w"&amp;$G$1)</f>
        <v>0.1</v>
      </c>
      <c r="G9" s="1946"/>
      <c r="H9" s="2359"/>
      <c r="I9" s="3507"/>
      <c r="J9" s="778"/>
      <c r="K9" s="779"/>
      <c r="L9" s="785" t="s">
        <v>1732</v>
      </c>
      <c r="M9" s="786">
        <f ca="1">INDIRECT("'数据-取费表'!ab"&amp;$G$1)</f>
        <v>0</v>
      </c>
    </row>
    <row r="10" spans="1:33" ht="18" customHeight="1">
      <c r="A10" s="1746" t="s">
        <v>2447</v>
      </c>
      <c r="B10" s="2348" t="s">
        <v>2440</v>
      </c>
      <c r="C10" s="789">
        <f ca="1">ROUND(IF(F10="押一",C6/12*F11,IF(F10="押二",C6/12*2*F11,IF(F10="押三",C6/12*3*F11,C11*F11))),0)</f>
        <v>9</v>
      </c>
      <c r="D10" s="2355" t="s">
        <v>2938</v>
      </c>
      <c r="E10" s="2352" t="s">
        <v>2445</v>
      </c>
      <c r="F10" s="2466" t="s">
        <v>3057</v>
      </c>
      <c r="G10" s="1946"/>
      <c r="H10" s="2415" t="s">
        <v>2450</v>
      </c>
      <c r="I10" s="2420" t="s">
        <v>2440</v>
      </c>
      <c r="J10" s="773">
        <f ca="1">ROUND(IF(M10="押一",J6/12*M11,IF(M10="押二",J6/12*2*M11,IF(M10="押三",J6/12*3*M11,J11*M11))),0)</f>
        <v>0</v>
      </c>
      <c r="K10" s="2355" t="s">
        <v>2938</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86562</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60392</v>
      </c>
      <c r="D14" s="1894" t="s">
        <v>1736</v>
      </c>
      <c r="E14" s="1895"/>
      <c r="F14" s="795"/>
      <c r="G14" s="1946"/>
      <c r="H14" s="1578" t="s">
        <v>1821</v>
      </c>
      <c r="I14" s="2112" t="s">
        <v>2805</v>
      </c>
      <c r="J14" s="53">
        <f ca="1">C29</f>
        <v>86562</v>
      </c>
      <c r="K14" s="26"/>
      <c r="L14" s="791"/>
      <c r="M14" s="792"/>
    </row>
    <row r="15" spans="1:33" s="1948" customFormat="1" ht="18" customHeight="1" thickBot="1">
      <c r="A15" s="1577" t="s">
        <v>1876</v>
      </c>
      <c r="B15" s="774" t="s">
        <v>641</v>
      </c>
      <c r="C15" s="53">
        <f ca="1">ROUND(C14*F15,0)</f>
        <v>2295</v>
      </c>
      <c r="D15" s="796" t="s">
        <v>1737</v>
      </c>
      <c r="E15" s="796" t="s">
        <v>1738</v>
      </c>
      <c r="F15" s="797">
        <f>'数据-取费表'!B33</f>
        <v>3.7999999999999999E-2</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8150</v>
      </c>
      <c r="K16" s="1737" t="s">
        <v>1741</v>
      </c>
      <c r="L16" s="2340"/>
      <c r="M16" s="2345"/>
    </row>
    <row r="17" spans="1:33" s="1948" customFormat="1" ht="18" customHeight="1">
      <c r="A17" s="1577" t="s">
        <v>1878</v>
      </c>
      <c r="B17" s="774" t="s">
        <v>647</v>
      </c>
      <c r="C17" s="53">
        <f ca="1">ROUND(F17*(F43+INDIRECT("'数据-取费表'!S"&amp;$G$1))/10000,0)</f>
        <v>5033</v>
      </c>
      <c r="D17" s="774" t="s">
        <v>1742</v>
      </c>
      <c r="E17" s="774" t="s">
        <v>1743</v>
      </c>
      <c r="F17" s="56">
        <f>'数据-取费表'!B35</f>
        <v>150</v>
      </c>
      <c r="G17" s="3261"/>
      <c r="H17" s="1578" t="s">
        <v>1821</v>
      </c>
      <c r="I17" s="774" t="s">
        <v>650</v>
      </c>
      <c r="J17" s="3019">
        <f ca="1">ROUND(IF(AND(项目基本情况!B11="自然人",项目基本情况!B10="北京市"),J6*M17/(1+'数据-取费表'!C42),J18+J19+J20),0)</f>
        <v>7284</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906</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68626</v>
      </c>
      <c r="D19" s="259" t="s">
        <v>1748</v>
      </c>
      <c r="E19" s="1897"/>
      <c r="F19" s="56"/>
      <c r="G19" s="1946"/>
      <c r="H19" s="1577" t="s">
        <v>1876</v>
      </c>
      <c r="I19" s="774" t="s">
        <v>1749</v>
      </c>
      <c r="J19" s="53">
        <f ca="1">IF(K19="按租金收入计税",ROUND(J6*M19/(1+'数据-取费表'!C42),1),ROUND(C29*F33*0.7,1))</f>
        <v>7271.2</v>
      </c>
      <c r="K19" s="800" t="s">
        <v>659</v>
      </c>
      <c r="L19" s="774" t="s">
        <v>1738</v>
      </c>
      <c r="M19" s="799">
        <f>IF(K19="按租金收入计税",'数据-取费表'!B51,'数据-取费表'!B50)</f>
        <v>1.2E-2</v>
      </c>
    </row>
    <row r="20" spans="1:33" s="1948" customFormat="1" ht="18" customHeight="1">
      <c r="A20" s="1578" t="s">
        <v>1880</v>
      </c>
      <c r="B20" s="774" t="s">
        <v>660</v>
      </c>
      <c r="C20" s="53">
        <f ca="1">ROUND(C19*F20,0)</f>
        <v>1373</v>
      </c>
      <c r="D20" s="801" t="s">
        <v>1750</v>
      </c>
      <c r="E20" s="774" t="s">
        <v>1738</v>
      </c>
      <c r="F20" s="799">
        <f>'数据-取费表'!B37</f>
        <v>0.02</v>
      </c>
      <c r="G20" s="3261"/>
      <c r="H20" s="1580" t="s">
        <v>1871</v>
      </c>
      <c r="I20" s="339" t="s">
        <v>1751</v>
      </c>
      <c r="J20" s="54">
        <f ca="1">ROUND(M20*M21/10000,0)</f>
        <v>13</v>
      </c>
      <c r="K20" s="803" t="s">
        <v>1752</v>
      </c>
      <c r="L20" s="774" t="s">
        <v>1753</v>
      </c>
      <c r="M20" s="632">
        <f>'数据-取费表'!B52</f>
        <v>1</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134204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866</v>
      </c>
      <c r="K22" s="2338" t="s">
        <v>1760</v>
      </c>
      <c r="L22" s="774" t="s">
        <v>1738</v>
      </c>
      <c r="M22" s="806">
        <f ca="1">INDIRECT("'数据-取费表'!Ak"&amp;$G$1)</f>
        <v>0.01</v>
      </c>
    </row>
    <row r="23" spans="1:33" s="1948" customFormat="1" ht="18" customHeight="1">
      <c r="A23" s="1577" t="s">
        <v>1822</v>
      </c>
      <c r="B23" s="774" t="s">
        <v>2516</v>
      </c>
      <c r="C23" s="53">
        <f ca="1">ROUND(IF('数据-取费表'!B22&lt;=1,(C19+C20)*F24*F23/2,(C19+C20)*(POWER((1+F24),F23/2)-1)),0)</f>
        <v>3045</v>
      </c>
      <c r="D23" s="2424" t="str">
        <f>IF(F23&lt;=1,"(建造成本+管理费用)×利率×(建设周期÷2)","(建造成本+管理费用)×((1+利率)^(建设周期÷2)-1)")</f>
        <v>(建造成本+管理费用)×((1+利率)^(建设周期÷2)-1)</v>
      </c>
      <c r="E23" s="774" t="s">
        <v>1761</v>
      </c>
      <c r="F23" s="632">
        <f>'数据-取费表'!B20</f>
        <v>2</v>
      </c>
      <c r="G23" s="3261"/>
      <c r="H23" s="1578" t="s">
        <v>1881</v>
      </c>
      <c r="I23" s="774" t="s">
        <v>673</v>
      </c>
      <c r="J23" s="53">
        <f ca="1">ROUND(J13*M23,0)</f>
        <v>0</v>
      </c>
      <c r="K23" s="2338" t="s">
        <v>1762</v>
      </c>
      <c r="L23" s="774" t="s">
        <v>1738</v>
      </c>
      <c r="M23" s="807">
        <f ca="1">INDIRECT("'数据-取费表'!Al"&amp;$G$1)</f>
        <v>1E-3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-8150</v>
      </c>
      <c r="K25" s="2402" t="s">
        <v>1768</v>
      </c>
      <c r="L25" s="2403"/>
      <c r="M25" s="2404"/>
    </row>
    <row r="26" spans="1:33" ht="18" customHeight="1">
      <c r="A26" s="1577" t="s">
        <v>1822</v>
      </c>
      <c r="B26" s="774" t="s">
        <v>2422</v>
      </c>
      <c r="C26" s="53">
        <f ca="1">ROUND((C19+C20)*F26,0)</f>
        <v>7000</v>
      </c>
      <c r="D26" s="801" t="s">
        <v>1769</v>
      </c>
      <c r="E26" s="785" t="s">
        <v>1770</v>
      </c>
      <c r="F26" s="784">
        <f ca="1">INDIRECT("'数据-取费表'!q"&amp;$G$1)</f>
        <v>0.1</v>
      </c>
      <c r="G26" s="1946"/>
      <c r="H26" s="2356" t="s">
        <v>1771</v>
      </c>
      <c r="I26" s="2113" t="s">
        <v>2806</v>
      </c>
      <c r="J26" s="773">
        <f ca="1">IF(J5&lt;&gt;0,ROUND(J25*(1-((1+M28)/(1+M26))^M27)/(M26-M28),0),0)</f>
        <v>0</v>
      </c>
      <c r="K26" s="803" t="s">
        <v>1772</v>
      </c>
      <c r="L26" s="774" t="s">
        <v>2404</v>
      </c>
      <c r="M26" s="784">
        <f ca="1">INDIRECT("'数据-取费表'!I"&amp;$G$1)</f>
        <v>0.05</v>
      </c>
    </row>
    <row r="27" spans="1:33" ht="18" customHeight="1">
      <c r="A27" s="1577" t="s">
        <v>1823</v>
      </c>
      <c r="B27" s="774" t="s">
        <v>680</v>
      </c>
      <c r="C27" s="53">
        <f ca="1">ROUND(F21*F26,4)</f>
        <v>2E-3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86562</v>
      </c>
      <c r="D29" s="2399"/>
      <c r="E29" s="2400"/>
      <c r="F29" s="2401"/>
      <c r="G29" s="3261"/>
      <c r="H29" s="812" t="s">
        <v>1778</v>
      </c>
      <c r="I29" s="813" t="s">
        <v>1779</v>
      </c>
      <c r="J29" s="814">
        <f ca="1">ROUND(J26/(1+F40)^F41,0)</f>
        <v>0</v>
      </c>
      <c r="K29" s="815" t="s">
        <v>1780</v>
      </c>
      <c r="L29" s="816"/>
      <c r="M29" s="817">
        <f ca="1">INDIRECT("'数据-取费表'!k"&amp;$G$1)</f>
        <v>335510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2246</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1221</v>
      </c>
      <c r="D31" s="1894" t="s">
        <v>1783</v>
      </c>
      <c r="E31" s="1892" t="s">
        <v>1784</v>
      </c>
      <c r="F31" s="3018" t="str">
        <f>IF(项目基本情况!B11="企业","——",IF('数据-取费表'!B10="住宅",IF(F6*F7*F8/12/(1+'数据-取费表'!F30)&gt;100000,4%,2.5%),IF(F6*F7*F8/12/(1+'数据-取费表'!F30)&gt;100000,12%,7%)))</f>
        <v>——</v>
      </c>
      <c r="G31" s="1946"/>
      <c r="H31" s="3258" t="s">
        <v>2996</v>
      </c>
      <c r="I31" s="1950"/>
      <c r="J31" s="1951"/>
      <c r="K31" s="1952"/>
      <c r="L31" s="1953"/>
      <c r="M31" s="1954"/>
    </row>
    <row r="32" spans="1:33" ht="18" customHeight="1">
      <c r="A32" s="1577" t="s">
        <v>1822</v>
      </c>
      <c r="B32" s="774" t="s">
        <v>1785</v>
      </c>
      <c r="C32" s="53">
        <f ca="1">ROUND(C6*F32/(1+'数据-取费表'!C42),1)</f>
        <v>379.6</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828.2</v>
      </c>
      <c r="D33" s="800" t="s">
        <v>3058</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13.4</v>
      </c>
      <c r="D34" s="803" t="s">
        <v>1790</v>
      </c>
      <c r="E34" s="774" t="s">
        <v>1791</v>
      </c>
      <c r="F34" s="632">
        <f>'数据-取费表'!B52</f>
        <v>1</v>
      </c>
      <c r="G34" s="1946"/>
      <c r="H34" s="1949"/>
      <c r="I34" s="824" t="s">
        <v>1804</v>
      </c>
      <c r="J34" s="825"/>
      <c r="K34" s="1964"/>
      <c r="L34" s="1963"/>
      <c r="M34" s="1963"/>
    </row>
    <row r="35" spans="1:18" ht="18" customHeight="1">
      <c r="A35" s="804"/>
      <c r="B35" s="783"/>
      <c r="C35" s="69"/>
      <c r="D35" s="805"/>
      <c r="E35" s="774" t="s">
        <v>1792</v>
      </c>
      <c r="F35" s="775">
        <f ca="1">INDIRECT("'数据-取费表'!r"&amp;$G$1)</f>
        <v>134204</v>
      </c>
      <c r="G35" s="1946"/>
      <c r="H35" s="1949"/>
      <c r="I35" s="826" t="s">
        <v>1805</v>
      </c>
      <c r="J35" s="827">
        <f ca="1">ROUND(C13*J36,0)</f>
        <v>7358</v>
      </c>
      <c r="K35" s="1962"/>
      <c r="L35" s="1961"/>
      <c r="M35" s="1961"/>
    </row>
    <row r="36" spans="1:18" ht="18" customHeight="1">
      <c r="A36" s="1578" t="s">
        <v>1880</v>
      </c>
      <c r="B36" s="774" t="s">
        <v>1793</v>
      </c>
      <c r="C36" s="53">
        <f ca="1">ROUND(C29*F36,1)</f>
        <v>865.6</v>
      </c>
      <c r="D36" s="1892" t="s">
        <v>1794</v>
      </c>
      <c r="E36" s="774" t="s">
        <v>1787</v>
      </c>
      <c r="F36" s="806">
        <f ca="1">INDIRECT("'数据-取费表'!Ak"&amp;$G$1)</f>
        <v>0.01</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86.6</v>
      </c>
      <c r="D37" s="1892" t="s">
        <v>1795</v>
      </c>
      <c r="E37" s="774" t="s">
        <v>1787</v>
      </c>
      <c r="F37" s="807">
        <f ca="1">INDIRECT("'数据-取费表'!Al"&amp;$G$1)</f>
        <v>1E-3</v>
      </c>
      <c r="G37" s="1946"/>
      <c r="H37" s="1961"/>
      <c r="I37" s="830" t="s">
        <v>1807</v>
      </c>
      <c r="J37" s="831"/>
      <c r="K37" s="1965"/>
      <c r="L37" s="1961"/>
      <c r="M37" s="1961"/>
    </row>
    <row r="38" spans="1:18" ht="18" customHeight="1" thickBot="1">
      <c r="A38" s="2405" t="s">
        <v>1882</v>
      </c>
      <c r="B38" s="2400" t="s">
        <v>660</v>
      </c>
      <c r="C38" s="2398">
        <f ca="1">ROUND(C5*F38,1)</f>
        <v>72.599999999999994</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3" t="s">
        <v>2801</v>
      </c>
      <c r="C39" s="782">
        <f ca="1">C5-C30</f>
        <v>5010</v>
      </c>
      <c r="D39" s="2402" t="s">
        <v>1797</v>
      </c>
      <c r="E39" s="2403"/>
      <c r="F39" s="2404"/>
      <c r="G39" s="1946"/>
      <c r="H39" s="1961"/>
      <c r="I39" s="826" t="s">
        <v>1809</v>
      </c>
      <c r="J39" s="834">
        <f ca="1">ROUND(J35/C39,3)</f>
        <v>1.4690000000000001</v>
      </c>
      <c r="K39" s="1966"/>
      <c r="L39" s="1961"/>
      <c r="M39" s="1961"/>
    </row>
    <row r="40" spans="1:18" ht="18" customHeight="1">
      <c r="A40" s="771" t="s">
        <v>1886</v>
      </c>
      <c r="B40" s="2113" t="s">
        <v>2289</v>
      </c>
      <c r="C40" s="773">
        <f ca="1">ROUND(C39*(1-((1+F42)/(1+F40))^F41)/(F40-F42),0)</f>
        <v>109263</v>
      </c>
      <c r="D40" s="803" t="s">
        <v>1798</v>
      </c>
      <c r="E40" s="774" t="s">
        <v>2404</v>
      </c>
      <c r="F40" s="784">
        <f ca="1">INDIRECT("'数据-取费表'!I"&amp;$G$1)</f>
        <v>0.05</v>
      </c>
      <c r="G40" s="1946"/>
      <c r="H40" s="1946"/>
      <c r="I40" s="826" t="s">
        <v>1810</v>
      </c>
      <c r="J40" s="834">
        <f ca="1">1-J39</f>
        <v>-0.46900000000000008</v>
      </c>
      <c r="K40" s="1966"/>
      <c r="L40" s="1946"/>
      <c r="M40" s="1946"/>
    </row>
    <row r="41" spans="1:18" ht="18" customHeight="1">
      <c r="A41" s="776"/>
      <c r="B41" s="777"/>
      <c r="C41" s="778"/>
      <c r="D41" s="810" t="s">
        <v>1799</v>
      </c>
      <c r="E41" s="774" t="s">
        <v>2929</v>
      </c>
      <c r="F41" s="811">
        <f ca="1">IF(INDIRECT("'数据-取费表'!af"&amp;$G$1)=0,INDIRECT("'数据-取费表'!ae"&amp;$G$1),INDIRECT("'数据-取费表'!af"&amp;$G$1))</f>
        <v>36.64</v>
      </c>
      <c r="G41" s="1946"/>
      <c r="H41" s="1901"/>
      <c r="I41" s="832" t="s">
        <v>1811</v>
      </c>
      <c r="J41" s="835"/>
      <c r="K41" s="1965"/>
      <c r="L41" s="1901"/>
      <c r="M41" s="1901"/>
    </row>
    <row r="42" spans="1:18" ht="18" customHeight="1">
      <c r="A42" s="780"/>
      <c r="B42" s="781"/>
      <c r="C42" s="782"/>
      <c r="D42" s="805"/>
      <c r="E42" s="774" t="s">
        <v>1800</v>
      </c>
      <c r="F42" s="784">
        <f ca="1">INDIRECT("'数据-取费表'!v"&amp;$G$1)</f>
        <v>0.02</v>
      </c>
      <c r="G42" s="1946"/>
      <c r="H42" s="1901"/>
      <c r="I42" s="836" t="s">
        <v>1812</v>
      </c>
      <c r="J42" s="834">
        <f ca="1">ROUND(C13/C40,3)</f>
        <v>0.79200000000000004</v>
      </c>
      <c r="K42" s="1965"/>
      <c r="L42" s="1901"/>
      <c r="M42" s="1901"/>
    </row>
    <row r="43" spans="1:18" ht="18" customHeight="1" thickBot="1">
      <c r="A43" s="812" t="s">
        <v>1778</v>
      </c>
      <c r="B43" s="813" t="s">
        <v>1801</v>
      </c>
      <c r="C43" s="814">
        <f ca="1">ROUND(C40*10000/F43,0)</f>
        <v>3257</v>
      </c>
      <c r="D43" s="815" t="s">
        <v>1802</v>
      </c>
      <c r="E43" s="816" t="s">
        <v>1803</v>
      </c>
      <c r="F43" s="817">
        <f ca="1">INDIRECT("'数据-取费表'!k"&amp;$G$1)</f>
        <v>335510</v>
      </c>
      <c r="G43" s="1946"/>
      <c r="H43" s="1901"/>
      <c r="I43" s="836" t="s">
        <v>1813</v>
      </c>
      <c r="J43" s="837">
        <f ca="1">1-J42</f>
        <v>0.20799999999999996</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-125333</v>
      </c>
      <c r="D46" s="3262"/>
      <c r="E46" s="3262"/>
      <c r="F46" s="3262"/>
      <c r="I46" s="2234" t="s">
        <v>2328</v>
      </c>
      <c r="J46" s="2235"/>
      <c r="K46" s="2236"/>
      <c r="L46" s="2811">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t="s">
        <v>3059</v>
      </c>
      <c r="K47" s="2808" t="s">
        <v>2334</v>
      </c>
      <c r="L47" s="2812">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t="s">
        <v>2335</v>
      </c>
      <c r="K48" s="2809" t="s">
        <v>2336</v>
      </c>
      <c r="L48" s="1823">
        <f ca="1">INDIRECT("'数据-取费表'!f"&amp;$G$1)</f>
        <v>38.64</v>
      </c>
      <c r="M48" s="3263"/>
      <c r="O48" s="2254" t="s">
        <v>2364</v>
      </c>
      <c r="P48" s="2255" t="s">
        <v>2390</v>
      </c>
      <c r="Q48" s="2256">
        <f ca="1">C40+J29</f>
        <v>109263</v>
      </c>
      <c r="R48" s="2255" t="s">
        <v>2365</v>
      </c>
    </row>
    <row r="49" spans="1:18" s="1943" customFormat="1" ht="18" customHeight="1" thickBot="1">
      <c r="A49" s="776"/>
      <c r="B49" s="777"/>
      <c r="C49" s="778"/>
      <c r="D49" s="779"/>
      <c r="E49" s="774" t="s">
        <v>1730</v>
      </c>
      <c r="F49" s="775">
        <f ca="1">F7</f>
        <v>335510</v>
      </c>
      <c r="G49" s="1973"/>
      <c r="H49" s="1976"/>
      <c r="I49" s="2799" t="s">
        <v>2331</v>
      </c>
      <c r="J49" s="2239"/>
      <c r="K49" s="2810"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12</v>
      </c>
      <c r="G50" s="1978"/>
      <c r="H50" s="1976"/>
      <c r="I50" s="2799" t="s">
        <v>2332</v>
      </c>
      <c r="J50" s="2806">
        <f>SUMPRODUCT((I63:I65=J47)*(J62:L62=J48)*(J63:L65))</f>
        <v>60</v>
      </c>
      <c r="K50" s="2810" t="s">
        <v>2338</v>
      </c>
      <c r="L50" s="2240"/>
      <c r="M50" s="3263"/>
      <c r="O50" s="2257" t="s">
        <v>2368</v>
      </c>
      <c r="P50" s="2255" t="s">
        <v>2392</v>
      </c>
      <c r="Q50" s="2256">
        <f ca="1">C29</f>
        <v>86562</v>
      </c>
      <c r="R50" s="2255" t="s">
        <v>2365</v>
      </c>
    </row>
    <row r="51" spans="1:18" s="1943" customFormat="1" ht="18" customHeight="1" thickBot="1">
      <c r="A51" s="776"/>
      <c r="B51" s="777"/>
      <c r="C51" s="778"/>
      <c r="D51" s="779"/>
      <c r="E51" s="774" t="s">
        <v>634</v>
      </c>
      <c r="F51" s="2227"/>
      <c r="H51" s="1976"/>
      <c r="I51" s="2803" t="s">
        <v>2333</v>
      </c>
      <c r="J51" s="2807">
        <f>IF(J49="",J50,J49+J50-YEAR('数据-取费表'!B2))</f>
        <v>60</v>
      </c>
      <c r="K51" s="2799" t="s">
        <v>2339</v>
      </c>
      <c r="L51" s="2813">
        <f ca="1">ROUND(-PV(INDIRECT("'数据-取费表'!h"&amp;$G$1),J51,(C39-C13*J36),0),0)</f>
        <v>-48453</v>
      </c>
      <c r="M51" s="3263"/>
      <c r="O51" s="2257" t="s">
        <v>2369</v>
      </c>
      <c r="P51" s="2255" t="s">
        <v>2370</v>
      </c>
      <c r="Q51" s="2258" t="e">
        <f ca="1">J58</f>
        <v>#VALUE!</v>
      </c>
      <c r="R51" s="2259"/>
    </row>
    <row r="52" spans="1:18" s="1943" customFormat="1" ht="18" customHeight="1" thickBot="1">
      <c r="A52" s="771" t="s">
        <v>2517</v>
      </c>
      <c r="B52" s="2348" t="s">
        <v>2440</v>
      </c>
      <c r="C52" s="789">
        <f ca="1">ROUND(IF(F52="押一",C48/12*F11,IF(F52="押二",C48/12*2*F11,IF(F52="押三",C48/12*3*F11,C53*F11))),0)</f>
        <v>0</v>
      </c>
      <c r="D52" s="2355" t="s">
        <v>2939</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2942</v>
      </c>
      <c r="J53" s="2858">
        <f ca="1">IF(M47="住宅",IF(D1="——",MAX(J51,L48),MAX(J51,L48-'数据-取费表'!B20)),IF(D1="——",MIN(J51,L48),MIN(J51,L48-'数据-取费表'!B20)))</f>
        <v>36.64</v>
      </c>
      <c r="K53" s="3503" t="s">
        <v>2931</v>
      </c>
      <c r="L53" s="3504"/>
      <c r="M53" s="3263"/>
      <c r="O53" s="2257" t="s">
        <v>2373</v>
      </c>
      <c r="P53" s="2255" t="s">
        <v>2374</v>
      </c>
      <c r="Q53" s="2256">
        <f ca="1">J53</f>
        <v>36.64</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109263</v>
      </c>
      <c r="R54" s="2259" t="s">
        <v>2377</v>
      </c>
    </row>
    <row r="55" spans="1:18" s="1943" customFormat="1" ht="18" customHeight="1" thickTop="1" thickBot="1">
      <c r="A55" s="787">
        <v>2</v>
      </c>
      <c r="B55" s="788" t="s">
        <v>638</v>
      </c>
      <c r="C55" s="789">
        <f ca="1">C13</f>
        <v>86562</v>
      </c>
      <c r="D55" s="785"/>
      <c r="E55" s="785"/>
      <c r="F55" s="790"/>
      <c r="I55" s="2816" t="s">
        <v>2340</v>
      </c>
      <c r="J55" s="2788" t="e">
        <f ca="1">ROUND(IF(J47="钢混",J57/J50,1-(1-2%)*(J50-J57)/J50),3)</f>
        <v>#VALUE!</v>
      </c>
      <c r="K55" s="2817" t="s">
        <v>2341</v>
      </c>
      <c r="L55" s="2242"/>
      <c r="M55" s="3263"/>
      <c r="O55" s="2260" t="s">
        <v>2396</v>
      </c>
      <c r="P55" s="1527"/>
      <c r="Q55" s="1535"/>
      <c r="R55" s="1527"/>
    </row>
    <row r="56" spans="1:18" s="1943" customFormat="1" ht="42.75" customHeight="1" thickBot="1">
      <c r="A56" s="1579"/>
      <c r="B56" s="2112" t="s">
        <v>2290</v>
      </c>
      <c r="C56" s="53">
        <f ca="1">C29</f>
        <v>86562</v>
      </c>
      <c r="D56" s="2482"/>
      <c r="E56" s="774"/>
      <c r="F56" s="799"/>
      <c r="I56" s="2818" t="s">
        <v>2342</v>
      </c>
      <c r="J56" s="2828" t="s">
        <v>1669</v>
      </c>
      <c r="K56" s="2799"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965</v>
      </c>
      <c r="D57" s="26" t="s">
        <v>1741</v>
      </c>
      <c r="E57" s="2483"/>
      <c r="F57" s="56"/>
      <c r="I57" s="2819" t="s">
        <v>2343</v>
      </c>
      <c r="J57" s="2820" t="str">
        <f ca="1">IF(OR(M47="住宅",J51&lt;L48,J56="是"),"——",J51-L48)</f>
        <v>——</v>
      </c>
      <c r="K57" s="2799" t="s">
        <v>2348</v>
      </c>
      <c r="L57" s="1823" t="str">
        <f ca="1">IF(L48&lt;J51,"——",IF(L55="比较法",L49,IF(L55="基准地价",L50,L51)))</f>
        <v>——</v>
      </c>
      <c r="M57" s="3263"/>
      <c r="O57" s="2254" t="s">
        <v>2364</v>
      </c>
      <c r="P57" s="2255" t="s">
        <v>2394</v>
      </c>
      <c r="Q57" s="2256">
        <f ca="1">C40+J29</f>
        <v>109263</v>
      </c>
      <c r="R57" s="2255" t="s">
        <v>2365</v>
      </c>
    </row>
    <row r="58" spans="1:18" s="1943" customFormat="1" ht="28.5" customHeight="1" thickBot="1">
      <c r="A58" s="1578" t="s">
        <v>1815</v>
      </c>
      <c r="B58" s="774" t="s">
        <v>650</v>
      </c>
      <c r="C58" s="3019">
        <f ca="1">ROUND(IF(AND(项目基本情况!B11="自然人",项目基本情况!B10="北京市"),C48*F58/(1+'数据-取费表'!C42),C59+C60+C61),0)</f>
        <v>13</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13.4</v>
      </c>
      <c r="D61" s="803" t="s">
        <v>663</v>
      </c>
      <c r="E61" s="774" t="s">
        <v>664</v>
      </c>
      <c r="F61" s="632">
        <f t="shared" si="0"/>
        <v>1</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134204</v>
      </c>
      <c r="I62" s="2824" t="s">
        <v>2352</v>
      </c>
      <c r="J62" s="2825" t="s">
        <v>2353</v>
      </c>
      <c r="K62" s="2825" t="s">
        <v>2354</v>
      </c>
      <c r="L62" s="2825" t="s">
        <v>2335</v>
      </c>
      <c r="M62" s="2826" t="s">
        <v>2910</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865.6</v>
      </c>
      <c r="D63" s="2482" t="s">
        <v>1794</v>
      </c>
      <c r="E63" s="774" t="s">
        <v>1738</v>
      </c>
      <c r="F63" s="806">
        <f t="shared" ca="1" si="0"/>
        <v>0.01</v>
      </c>
      <c r="I63" s="2824" t="s">
        <v>2355</v>
      </c>
      <c r="J63" s="2825">
        <v>70</v>
      </c>
      <c r="K63" s="2825">
        <v>50</v>
      </c>
      <c r="L63" s="2825">
        <v>80</v>
      </c>
      <c r="M63" s="2827">
        <v>0.02</v>
      </c>
      <c r="O63" s="2254" t="s">
        <v>2376</v>
      </c>
      <c r="P63" s="2255" t="s">
        <v>2393</v>
      </c>
      <c r="Q63" s="2256">
        <f ca="1">Q57+Q58</f>
        <v>109263</v>
      </c>
      <c r="R63" s="2259" t="s">
        <v>2377</v>
      </c>
    </row>
    <row r="64" spans="1:18" s="1943" customFormat="1" ht="16.5" thickBot="1">
      <c r="A64" s="1578" t="s">
        <v>1881</v>
      </c>
      <c r="B64" s="774" t="s">
        <v>673</v>
      </c>
      <c r="C64" s="53">
        <f ca="1">ROUND(C55*F64,1)</f>
        <v>86.6</v>
      </c>
      <c r="D64" s="2482" t="s">
        <v>674</v>
      </c>
      <c r="E64" s="774" t="s">
        <v>1738</v>
      </c>
      <c r="F64" s="807">
        <f t="shared" ca="1" si="0"/>
        <v>1E-3</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-965</v>
      </c>
      <c r="D66" s="2481" t="s">
        <v>694</v>
      </c>
      <c r="E66" s="2480"/>
      <c r="F66" s="809"/>
      <c r="K66" s="1969"/>
      <c r="O66" s="2254" t="s">
        <v>2364</v>
      </c>
      <c r="P66" s="2255" t="s">
        <v>2394</v>
      </c>
      <c r="Q66" s="2256">
        <f ca="1">C40+J29</f>
        <v>109263</v>
      </c>
      <c r="R66" s="2255" t="s">
        <v>2365</v>
      </c>
    </row>
    <row r="67" spans="1:18" s="1943" customFormat="1" ht="20.25" thickBot="1">
      <c r="A67" s="771" t="s">
        <v>1771</v>
      </c>
      <c r="B67" s="2113" t="s">
        <v>2289</v>
      </c>
      <c r="C67" s="773">
        <f ca="1">ROUND(C66*(1-((1+F69)/(1+F67))^F68)/(F67-F69),0)</f>
        <v>-16070</v>
      </c>
      <c r="D67" s="803" t="s">
        <v>698</v>
      </c>
      <c r="E67" s="774" t="s">
        <v>699</v>
      </c>
      <c r="F67" s="784">
        <f ca="1">F40</f>
        <v>0.05</v>
      </c>
      <c r="K67" s="1969"/>
      <c r="O67" s="2254" t="s">
        <v>2366</v>
      </c>
      <c r="P67" s="2255" t="s">
        <v>2397</v>
      </c>
      <c r="Q67" s="2256">
        <f ca="1">L60</f>
        <v>0</v>
      </c>
      <c r="R67" s="2259" t="s">
        <v>2399</v>
      </c>
    </row>
    <row r="68" spans="1:18" ht="21.75" thickBot="1">
      <c r="A68" s="776"/>
      <c r="B68" s="777"/>
      <c r="C68" s="778"/>
      <c r="D68" s="810" t="s">
        <v>1799</v>
      </c>
      <c r="E68" s="774" t="s">
        <v>1775</v>
      </c>
      <c r="F68" s="811">
        <f ca="1">F41</f>
        <v>36.64</v>
      </c>
      <c r="O68" s="2257" t="s">
        <v>2368</v>
      </c>
      <c r="P68" s="2255" t="s">
        <v>2398</v>
      </c>
      <c r="Q68" s="2261">
        <f ca="1">L51</f>
        <v>-48453</v>
      </c>
      <c r="R68" s="2262" t="s">
        <v>2401</v>
      </c>
    </row>
    <row r="69" spans="1:18" ht="20.25" thickBot="1">
      <c r="A69" s="780"/>
      <c r="B69" s="781"/>
      <c r="C69" s="782"/>
      <c r="D69" s="805"/>
      <c r="E69" s="774" t="s">
        <v>704</v>
      </c>
      <c r="F69" s="2227"/>
      <c r="O69" s="2257" t="s">
        <v>2369</v>
      </c>
      <c r="P69" s="2263" t="s">
        <v>2383</v>
      </c>
      <c r="Q69" s="2256">
        <f ca="1">ROUND(Q70-Q71*Q72,0)</f>
        <v>-2348</v>
      </c>
      <c r="R69" s="2259"/>
    </row>
    <row r="70" spans="1:18" ht="15.75" thickBot="1">
      <c r="A70" s="812" t="s">
        <v>1778</v>
      </c>
      <c r="B70" s="813" t="s">
        <v>1801</v>
      </c>
      <c r="C70" s="814">
        <f ca="1">ROUND(C67*10000/F70,0)</f>
        <v>-479</v>
      </c>
      <c r="D70" s="815" t="s">
        <v>1802</v>
      </c>
      <c r="E70" s="816" t="s">
        <v>1803</v>
      </c>
      <c r="F70" s="817">
        <f ca="1">F43</f>
        <v>335510</v>
      </c>
      <c r="O70" s="2257" t="s">
        <v>2384</v>
      </c>
      <c r="P70" s="2263" t="s">
        <v>2385</v>
      </c>
      <c r="Q70" s="2256">
        <f ca="1">C39</f>
        <v>5010</v>
      </c>
      <c r="R70" s="2255" t="s">
        <v>2365</v>
      </c>
    </row>
    <row r="71" spans="1:18" ht="15.75" thickBot="1">
      <c r="O71" s="2257" t="s">
        <v>2386</v>
      </c>
      <c r="P71" s="2263" t="s">
        <v>2387</v>
      </c>
      <c r="Q71" s="2256">
        <f ca="1">C13</f>
        <v>86562</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109263</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50" priority="7">
      <formula>$L$48&gt;$J$51</formula>
    </cfRule>
  </conditionalFormatting>
  <conditionalFormatting sqref="I55">
    <cfRule type="expression" dxfId="149" priority="8">
      <formula>$J$51&gt;$L$48</formula>
    </cfRule>
  </conditionalFormatting>
  <conditionalFormatting sqref="I60">
    <cfRule type="expression" dxfId="148" priority="6">
      <formula>$J$51&gt;$L$48</formula>
    </cfRule>
  </conditionalFormatting>
  <conditionalFormatting sqref="K60">
    <cfRule type="expression" dxfId="147" priority="5">
      <formula>$L$48&gt;$J$51</formula>
    </cfRule>
  </conditionalFormatting>
  <conditionalFormatting sqref="C11">
    <cfRule type="expression" dxfId="146" priority="4">
      <formula>$F$10="自定义"</formula>
    </cfRule>
  </conditionalFormatting>
  <conditionalFormatting sqref="J11">
    <cfRule type="expression" dxfId="145" priority="2">
      <formula>$M$10="自定义"</formula>
    </cfRule>
  </conditionalFormatting>
  <conditionalFormatting sqref="C53">
    <cfRule type="expression" dxfId="14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471" t="s">
        <v>516</v>
      </c>
      <c r="D6" s="3472"/>
      <c r="E6" s="3511" t="s">
        <v>517</v>
      </c>
      <c r="F6" s="3512"/>
      <c r="G6" s="3471" t="s">
        <v>518</v>
      </c>
      <c r="H6" s="3472"/>
      <c r="I6" s="3471" t="s">
        <v>519</v>
      </c>
      <c r="J6" s="3472"/>
      <c r="K6" s="508" t="s">
        <v>520</v>
      </c>
      <c r="L6" s="2016"/>
      <c r="M6" s="2017"/>
      <c r="N6" s="2017"/>
      <c r="O6" s="2017"/>
      <c r="P6" s="3473" t="s">
        <v>521</v>
      </c>
      <c r="Q6" s="3474"/>
      <c r="R6" s="3479" t="s">
        <v>517</v>
      </c>
      <c r="S6" s="3480"/>
      <c r="T6" s="3479" t="s">
        <v>518</v>
      </c>
      <c r="U6" s="3480"/>
      <c r="V6" s="3466" t="s">
        <v>519</v>
      </c>
      <c r="W6" s="3466"/>
      <c r="X6" s="1502"/>
      <c r="Y6" s="3479" t="s">
        <v>521</v>
      </c>
      <c r="Z6" s="3480"/>
      <c r="AA6" s="3468" t="s">
        <v>517</v>
      </c>
      <c r="AB6" s="3469" t="s">
        <v>518</v>
      </c>
      <c r="AC6" s="3468" t="s">
        <v>519</v>
      </c>
    </row>
    <row r="7" spans="1:29" ht="15">
      <c r="A7" s="509"/>
      <c r="B7" s="510"/>
      <c r="C7" s="3487" t="s">
        <v>2897</v>
      </c>
      <c r="D7" s="3488"/>
      <c r="E7" s="3513" t="s">
        <v>2898</v>
      </c>
      <c r="F7" s="3514"/>
      <c r="G7" s="3487" t="s">
        <v>2899</v>
      </c>
      <c r="H7" s="3488"/>
      <c r="I7" s="3487" t="s">
        <v>2900</v>
      </c>
      <c r="J7" s="3488"/>
      <c r="K7" s="508"/>
      <c r="L7" s="2016"/>
      <c r="M7" s="2017"/>
      <c r="N7" s="2017"/>
      <c r="O7" s="2017"/>
      <c r="P7" s="3475"/>
      <c r="Q7" s="3476"/>
      <c r="R7" s="3481"/>
      <c r="S7" s="3482"/>
      <c r="T7" s="3481"/>
      <c r="U7" s="3482"/>
      <c r="V7" s="3466"/>
      <c r="W7" s="3466"/>
      <c r="X7" s="1502"/>
      <c r="Y7" s="3481"/>
      <c r="Z7" s="3482"/>
      <c r="AA7" s="3469"/>
      <c r="AB7" s="3469"/>
      <c r="AC7" s="3469"/>
    </row>
    <row r="8" spans="1:29" ht="15.75" thickBot="1">
      <c r="A8" s="511"/>
      <c r="B8" s="512"/>
      <c r="C8" s="3485" t="s">
        <v>2901</v>
      </c>
      <c r="D8" s="3486"/>
      <c r="E8" s="3509" t="s">
        <v>2901</v>
      </c>
      <c r="F8" s="3510"/>
      <c r="G8" s="3485" t="s">
        <v>2901</v>
      </c>
      <c r="H8" s="3486"/>
      <c r="I8" s="3485" t="s">
        <v>2901</v>
      </c>
      <c r="J8" s="3486"/>
      <c r="K8" s="508" t="s">
        <v>522</v>
      </c>
      <c r="L8" s="2016"/>
      <c r="M8" s="2017"/>
      <c r="N8" s="2017"/>
      <c r="O8" s="2017"/>
      <c r="P8" s="3477"/>
      <c r="Q8" s="3478"/>
      <c r="R8" s="3481"/>
      <c r="S8" s="3482"/>
      <c r="T8" s="3483"/>
      <c r="U8" s="3484"/>
      <c r="V8" s="3466"/>
      <c r="W8" s="3466"/>
      <c r="X8" s="1502"/>
      <c r="Y8" s="3483"/>
      <c r="Z8" s="3484"/>
      <c r="AA8" s="3470"/>
      <c r="AB8" s="3470"/>
      <c r="AC8" s="3470"/>
    </row>
    <row r="9" spans="1:29" s="1203" customFormat="1" ht="15.75" thickBot="1">
      <c r="A9" s="2630"/>
      <c r="B9" s="2637" t="s">
        <v>523</v>
      </c>
      <c r="C9" s="513">
        <f>'数据-取费表'!B2</f>
        <v>44369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96" t="s">
        <v>524</v>
      </c>
      <c r="Q9" s="3498"/>
      <c r="R9" s="1503" t="s">
        <v>8</v>
      </c>
      <c r="S9" s="1504">
        <f t="shared" ref="S9:S17" si="0">F9</f>
        <v>0</v>
      </c>
      <c r="T9" s="1503" t="s">
        <v>8</v>
      </c>
      <c r="U9" s="1504">
        <f t="shared" ref="U9:U17" si="1">H9</f>
        <v>0</v>
      </c>
      <c r="V9" s="1503" t="s">
        <v>8</v>
      </c>
      <c r="W9" s="1504">
        <f t="shared" ref="W9:W17" si="2">J9</f>
        <v>0</v>
      </c>
      <c r="X9" s="1505"/>
      <c r="Y9" s="3496" t="s">
        <v>524</v>
      </c>
      <c r="Z9" s="3497"/>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96" t="s">
        <v>527</v>
      </c>
      <c r="Q10" s="3497"/>
      <c r="R10" s="1503" t="s">
        <v>8</v>
      </c>
      <c r="S10" s="1504">
        <f t="shared" si="0"/>
        <v>0</v>
      </c>
      <c r="T10" s="1503" t="s">
        <v>8</v>
      </c>
      <c r="U10" s="1504">
        <f t="shared" si="1"/>
        <v>0</v>
      </c>
      <c r="V10" s="1503" t="s">
        <v>8</v>
      </c>
      <c r="W10" s="1504">
        <f t="shared" si="2"/>
        <v>0</v>
      </c>
      <c r="X10" s="1505"/>
      <c r="Y10" s="3496" t="s">
        <v>527</v>
      </c>
      <c r="Z10" s="3497"/>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65" t="s">
        <v>529</v>
      </c>
      <c r="Q11" s="1134" t="str">
        <f t="shared" ref="Q11:Q17" si="6">B11</f>
        <v>用途</v>
      </c>
      <c r="R11" s="1503" t="s">
        <v>8</v>
      </c>
      <c r="S11" s="1504">
        <f t="shared" si="0"/>
        <v>100</v>
      </c>
      <c r="T11" s="1503" t="s">
        <v>8</v>
      </c>
      <c r="U11" s="1504">
        <f t="shared" si="1"/>
        <v>100</v>
      </c>
      <c r="V11" s="1503" t="s">
        <v>8</v>
      </c>
      <c r="W11" s="1504">
        <f t="shared" si="2"/>
        <v>100</v>
      </c>
      <c r="X11" s="1505"/>
      <c r="Y11" s="3411"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101</v>
      </c>
      <c r="G12" s="522"/>
      <c r="H12" s="253">
        <f>ROUND(100/'数据-取费表'!G16,0)</f>
        <v>101</v>
      </c>
      <c r="I12" s="522"/>
      <c r="J12" s="253">
        <f>ROUND(100/'数据-取费表'!G16,0)</f>
        <v>101</v>
      </c>
      <c r="K12" s="525"/>
      <c r="L12" s="2021"/>
      <c r="M12" s="2060"/>
      <c r="N12" s="2060"/>
      <c r="O12" s="2022"/>
      <c r="P12" s="3465"/>
      <c r="Q12" s="1134" t="str">
        <f t="shared" si="6"/>
        <v>土地使用年限（年）</v>
      </c>
      <c r="R12" s="1503" t="s">
        <v>8</v>
      </c>
      <c r="S12" s="1504">
        <f t="shared" si="0"/>
        <v>101</v>
      </c>
      <c r="T12" s="1503" t="s">
        <v>8</v>
      </c>
      <c r="U12" s="1504">
        <f t="shared" si="1"/>
        <v>101</v>
      </c>
      <c r="V12" s="1503" t="s">
        <v>8</v>
      </c>
      <c r="W12" s="1504">
        <f t="shared" si="2"/>
        <v>101</v>
      </c>
      <c r="X12" s="1505"/>
      <c r="Y12" s="3411"/>
      <c r="Z12" s="1133" t="str">
        <f t="shared" si="7"/>
        <v>土地使用年限（年）</v>
      </c>
      <c r="AA12" s="1506">
        <f t="shared" si="3"/>
        <v>0.99009900990099009</v>
      </c>
      <c r="AB12" s="1506">
        <f t="shared" si="4"/>
        <v>0.99009900990099009</v>
      </c>
      <c r="AC12" s="1506">
        <f t="shared" si="5"/>
        <v>0.99009900990099009</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65"/>
      <c r="Q13" s="1134" t="str">
        <f t="shared" si="6"/>
        <v>容积率</v>
      </c>
      <c r="R13" s="1503" t="s">
        <v>8</v>
      </c>
      <c r="S13" s="1504" t="e">
        <f t="shared" si="0"/>
        <v>#N/A</v>
      </c>
      <c r="T13" s="1503" t="s">
        <v>8</v>
      </c>
      <c r="U13" s="1504" t="e">
        <f t="shared" si="1"/>
        <v>#N/A</v>
      </c>
      <c r="V13" s="1503" t="s">
        <v>8</v>
      </c>
      <c r="W13" s="1504" t="e">
        <f t="shared" si="2"/>
        <v>#N/A</v>
      </c>
      <c r="X13" s="1505"/>
      <c r="Y13" s="3411"/>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65"/>
      <c r="Q14" s="1134">
        <f t="shared" si="6"/>
        <v>111</v>
      </c>
      <c r="R14" s="1503" t="s">
        <v>8</v>
      </c>
      <c r="S14" s="1504">
        <f t="shared" si="0"/>
        <v>100</v>
      </c>
      <c r="T14" s="1503" t="s">
        <v>8</v>
      </c>
      <c r="U14" s="1504">
        <f t="shared" si="1"/>
        <v>100</v>
      </c>
      <c r="V14" s="1503" t="s">
        <v>8</v>
      </c>
      <c r="W14" s="1504">
        <f t="shared" si="2"/>
        <v>100</v>
      </c>
      <c r="X14" s="1505"/>
      <c r="Y14" s="3411"/>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65"/>
      <c r="Q15" s="1134">
        <f t="shared" si="6"/>
        <v>111</v>
      </c>
      <c r="R15" s="1503" t="s">
        <v>8</v>
      </c>
      <c r="S15" s="1504">
        <f t="shared" si="0"/>
        <v>100</v>
      </c>
      <c r="T15" s="1503" t="s">
        <v>8</v>
      </c>
      <c r="U15" s="1504">
        <f t="shared" si="1"/>
        <v>100</v>
      </c>
      <c r="V15" s="1503" t="s">
        <v>8</v>
      </c>
      <c r="W15" s="1504">
        <f t="shared" si="2"/>
        <v>100</v>
      </c>
      <c r="X15" s="1505"/>
      <c r="Y15" s="3411"/>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65"/>
      <c r="Q16" s="1134">
        <f t="shared" si="6"/>
        <v>111</v>
      </c>
      <c r="R16" s="1503" t="s">
        <v>8</v>
      </c>
      <c r="S16" s="1504">
        <f t="shared" si="0"/>
        <v>100</v>
      </c>
      <c r="T16" s="1503" t="s">
        <v>8</v>
      </c>
      <c r="U16" s="1504">
        <f t="shared" si="1"/>
        <v>100</v>
      </c>
      <c r="V16" s="1503" t="s">
        <v>8</v>
      </c>
      <c r="W16" s="1504">
        <f t="shared" si="2"/>
        <v>100</v>
      </c>
      <c r="X16" s="1505"/>
      <c r="Y16" s="3411"/>
      <c r="Z16" s="1133">
        <f t="shared" si="7"/>
        <v>111</v>
      </c>
      <c r="AA16" s="1506">
        <f t="shared" si="3"/>
        <v>1</v>
      </c>
      <c r="AB16" s="1506">
        <f t="shared" si="4"/>
        <v>1</v>
      </c>
      <c r="AC16" s="1506">
        <f t="shared" si="5"/>
        <v>1</v>
      </c>
    </row>
    <row r="17" spans="1:29" ht="57">
      <c r="A17" s="2628"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9" t="s">
        <v>534</v>
      </c>
      <c r="Q17" s="1507" t="str">
        <f t="shared" si="6"/>
        <v>产业集聚程度</v>
      </c>
      <c r="R17" s="1508" t="s">
        <v>8</v>
      </c>
      <c r="S17" s="1509">
        <f t="shared" si="0"/>
        <v>100</v>
      </c>
      <c r="T17" s="1508" t="s">
        <v>8</v>
      </c>
      <c r="U17" s="1509">
        <f t="shared" si="1"/>
        <v>100</v>
      </c>
      <c r="V17" s="1508" t="s">
        <v>8</v>
      </c>
      <c r="W17" s="1509">
        <f t="shared" si="2"/>
        <v>100</v>
      </c>
      <c r="X17" s="1502"/>
      <c r="Y17" s="3499"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00"/>
      <c r="Q18" s="1507"/>
      <c r="R18" s="1508"/>
      <c r="S18" s="1509"/>
      <c r="T18" s="1508"/>
      <c r="U18" s="1509"/>
      <c r="V18" s="1508"/>
      <c r="W18" s="1509"/>
      <c r="X18" s="1502"/>
      <c r="Y18" s="3500"/>
      <c r="Z18" s="1510"/>
      <c r="AA18" s="1511">
        <v>1</v>
      </c>
      <c r="AB18" s="1511">
        <v>1</v>
      </c>
      <c r="AC18" s="1511">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00"/>
      <c r="Q19" s="1507" t="str">
        <f>B19</f>
        <v>交通便捷度</v>
      </c>
      <c r="R19" s="1508" t="s">
        <v>8</v>
      </c>
      <c r="S19" s="1509">
        <f>F19</f>
        <v>100</v>
      </c>
      <c r="T19" s="1508" t="s">
        <v>8</v>
      </c>
      <c r="U19" s="1509">
        <f>H19</f>
        <v>100</v>
      </c>
      <c r="V19" s="1508" t="s">
        <v>8</v>
      </c>
      <c r="W19" s="1509">
        <f>J19</f>
        <v>100</v>
      </c>
      <c r="X19" s="1502"/>
      <c r="Y19" s="3500"/>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00"/>
      <c r="Q21" s="1507" t="str">
        <f t="shared" ref="Q21:Q35" si="8">B21</f>
        <v>区域土地利用方向</v>
      </c>
      <c r="R21" s="1508" t="s">
        <v>8</v>
      </c>
      <c r="S21" s="1509">
        <f>F21</f>
        <v>100</v>
      </c>
      <c r="T21" s="1508" t="s">
        <v>8</v>
      </c>
      <c r="U21" s="1509">
        <f>H21</f>
        <v>100</v>
      </c>
      <c r="V21" s="1508" t="s">
        <v>8</v>
      </c>
      <c r="W21" s="1509">
        <f>J21</f>
        <v>100</v>
      </c>
      <c r="X21" s="1502"/>
      <c r="Y21" s="3500"/>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00"/>
      <c r="Q22" s="1507"/>
      <c r="R22" s="1508"/>
      <c r="S22" s="1509"/>
      <c r="T22" s="1508"/>
      <c r="U22" s="1509"/>
      <c r="V22" s="1508"/>
      <c r="W22" s="1509"/>
      <c r="X22" s="1502"/>
      <c r="Y22" s="3500"/>
      <c r="Z22" s="1510"/>
      <c r="AA22" s="1511"/>
      <c r="AB22" s="1511"/>
      <c r="AC22" s="1511"/>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00"/>
      <c r="Q23" s="1507" t="str">
        <f t="shared" si="8"/>
        <v>环境状况</v>
      </c>
      <c r="R23" s="1508" t="s">
        <v>8</v>
      </c>
      <c r="S23" s="1509">
        <f>F23</f>
        <v>100</v>
      </c>
      <c r="T23" s="1508" t="s">
        <v>8</v>
      </c>
      <c r="U23" s="1509">
        <f>H23</f>
        <v>100</v>
      </c>
      <c r="V23" s="1508" t="s">
        <v>8</v>
      </c>
      <c r="W23" s="1509">
        <f>J23</f>
        <v>100</v>
      </c>
      <c r="X23" s="1502"/>
      <c r="Y23" s="3500"/>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00"/>
      <c r="Q24" s="1507"/>
      <c r="R24" s="1508"/>
      <c r="S24" s="1509"/>
      <c r="T24" s="1508"/>
      <c r="U24" s="1509"/>
      <c r="V24" s="1508"/>
      <c r="W24" s="1509"/>
      <c r="X24" s="1502"/>
      <c r="Y24" s="3500"/>
      <c r="Z24" s="1510"/>
      <c r="AA24" s="1511">
        <v>1</v>
      </c>
      <c r="AB24" s="1511">
        <v>1</v>
      </c>
      <c r="AC24" s="1511">
        <v>1</v>
      </c>
    </row>
    <row r="25" spans="1:29" s="1203" customFormat="1" ht="42.75">
      <c r="A25" s="571"/>
      <c r="B25" s="2438"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00"/>
      <c r="Q25" s="1134" t="str">
        <f t="shared" si="8"/>
        <v>公共配套设施</v>
      </c>
      <c r="R25" s="1503" t="s">
        <v>8</v>
      </c>
      <c r="S25" s="1504">
        <f>F25</f>
        <v>100</v>
      </c>
      <c r="T25" s="1503" t="s">
        <v>8</v>
      </c>
      <c r="U25" s="1504">
        <f>H25</f>
        <v>100</v>
      </c>
      <c r="V25" s="1503" t="s">
        <v>8</v>
      </c>
      <c r="W25" s="1504">
        <f>J25</f>
        <v>100</v>
      </c>
      <c r="X25" s="1505"/>
      <c r="Y25" s="3500"/>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00"/>
      <c r="Q26" s="1134"/>
      <c r="R26" s="1503"/>
      <c r="S26" s="1504"/>
      <c r="T26" s="1503"/>
      <c r="U26" s="1504"/>
      <c r="V26" s="1503"/>
      <c r="W26" s="1504"/>
      <c r="X26" s="1505"/>
      <c r="Y26" s="3500"/>
      <c r="Z26" s="1133"/>
      <c r="AA26" s="1506">
        <v>1</v>
      </c>
      <c r="AB26" s="1506">
        <v>1</v>
      </c>
      <c r="AC26" s="1506">
        <v>1</v>
      </c>
    </row>
    <row r="27" spans="1:29" s="1203" customFormat="1" ht="28.5">
      <c r="A27" s="571"/>
      <c r="B27" s="2438"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00"/>
      <c r="Q27" s="2429" t="str">
        <f t="shared" ref="Q27" si="9">B27</f>
        <v>基础设施水平</v>
      </c>
      <c r="R27" s="1503" t="s">
        <v>8</v>
      </c>
      <c r="S27" s="1504">
        <f>F27</f>
        <v>100</v>
      </c>
      <c r="T27" s="1503" t="s">
        <v>8</v>
      </c>
      <c r="U27" s="1504">
        <f>H27</f>
        <v>100</v>
      </c>
      <c r="V27" s="1503" t="s">
        <v>8</v>
      </c>
      <c r="W27" s="1504">
        <f>J27</f>
        <v>100</v>
      </c>
      <c r="X27" s="1505"/>
      <c r="Y27" s="3500"/>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00"/>
      <c r="Q28" s="2429"/>
      <c r="R28" s="1503"/>
      <c r="S28" s="1504"/>
      <c r="T28" s="1503"/>
      <c r="U28" s="1504"/>
      <c r="V28" s="1503"/>
      <c r="W28" s="1504"/>
      <c r="X28" s="1505"/>
      <c r="Y28" s="3500"/>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00"/>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00"/>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00"/>
      <c r="Q30" s="1507" t="str">
        <f t="shared" si="8"/>
        <v>毗邻道路的类型与等级</v>
      </c>
      <c r="R30" s="1508" t="s">
        <v>8</v>
      </c>
      <c r="S30" s="1509">
        <f t="shared" si="10"/>
        <v>100</v>
      </c>
      <c r="T30" s="1508" t="s">
        <v>8</v>
      </c>
      <c r="U30" s="1509">
        <f t="shared" si="11"/>
        <v>100</v>
      </c>
      <c r="V30" s="1508" t="s">
        <v>8</v>
      </c>
      <c r="W30" s="1509">
        <f t="shared" si="12"/>
        <v>100</v>
      </c>
      <c r="X30" s="1502"/>
      <c r="Y30" s="3500"/>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00"/>
      <c r="Q31" s="1507"/>
      <c r="R31" s="1508"/>
      <c r="S31" s="1509"/>
      <c r="T31" s="1508"/>
      <c r="U31" s="1509"/>
      <c r="V31" s="1508"/>
      <c r="W31" s="1509"/>
      <c r="X31" s="1502"/>
      <c r="Y31" s="3500"/>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00"/>
      <c r="Q32" s="1507" t="str">
        <f t="shared" si="8"/>
        <v>土地级别</v>
      </c>
      <c r="R32" s="1508" t="s">
        <v>8</v>
      </c>
      <c r="S32" s="1509">
        <f t="shared" si="10"/>
        <v>100</v>
      </c>
      <c r="T32" s="1508" t="s">
        <v>8</v>
      </c>
      <c r="U32" s="1509">
        <f t="shared" si="11"/>
        <v>100</v>
      </c>
      <c r="V32" s="1508" t="s">
        <v>8</v>
      </c>
      <c r="W32" s="1509">
        <f t="shared" si="12"/>
        <v>100</v>
      </c>
      <c r="X32" s="1502"/>
      <c r="Y32" s="3500"/>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00"/>
      <c r="Q33" s="1507">
        <f t="shared" si="8"/>
        <v>111</v>
      </c>
      <c r="R33" s="1508" t="s">
        <v>8</v>
      </c>
      <c r="S33" s="1509">
        <f t="shared" si="10"/>
        <v>100</v>
      </c>
      <c r="T33" s="1508" t="s">
        <v>8</v>
      </c>
      <c r="U33" s="1509">
        <f t="shared" si="11"/>
        <v>100</v>
      </c>
      <c r="V33" s="1508" t="s">
        <v>8</v>
      </c>
      <c r="W33" s="1509">
        <f t="shared" si="12"/>
        <v>100</v>
      </c>
      <c r="X33" s="1502"/>
      <c r="Y33" s="3500"/>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01" t="s">
        <v>544</v>
      </c>
      <c r="Q34" s="1507">
        <f t="shared" si="8"/>
        <v>111</v>
      </c>
      <c r="R34" s="1508" t="s">
        <v>8</v>
      </c>
      <c r="S34" s="1509">
        <f t="shared" si="10"/>
        <v>100</v>
      </c>
      <c r="T34" s="1508" t="s">
        <v>8</v>
      </c>
      <c r="U34" s="1509">
        <f t="shared" si="11"/>
        <v>100</v>
      </c>
      <c r="V34" s="1508" t="s">
        <v>8</v>
      </c>
      <c r="W34" s="1509">
        <f t="shared" si="12"/>
        <v>100</v>
      </c>
      <c r="X34" s="1502"/>
      <c r="Y34" s="3502"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02"/>
      <c r="Q35" s="1507">
        <f t="shared" si="8"/>
        <v>111</v>
      </c>
      <c r="R35" s="1512" t="s">
        <v>8</v>
      </c>
      <c r="S35" s="1513">
        <f t="shared" si="10"/>
        <v>100</v>
      </c>
      <c r="T35" s="1512" t="s">
        <v>8</v>
      </c>
      <c r="U35" s="1513">
        <f t="shared" si="11"/>
        <v>100</v>
      </c>
      <c r="V35" s="1512" t="s">
        <v>8</v>
      </c>
      <c r="W35" s="1513">
        <f t="shared" si="12"/>
        <v>100</v>
      </c>
      <c r="X35" s="1514"/>
      <c r="Y35" s="3502"/>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02"/>
      <c r="Q36" s="1507" t="str">
        <f>B36</f>
        <v>宗地面积</v>
      </c>
      <c r="R36" s="1508" t="s">
        <v>8</v>
      </c>
      <c r="S36" s="1509" t="e">
        <f t="shared" si="10"/>
        <v>#N/A</v>
      </c>
      <c r="T36" s="1508" t="s">
        <v>8</v>
      </c>
      <c r="U36" s="1509" t="e">
        <f t="shared" si="11"/>
        <v>#N/A</v>
      </c>
      <c r="V36" s="1508" t="s">
        <v>8</v>
      </c>
      <c r="W36" s="1509" t="e">
        <f t="shared" si="12"/>
        <v>#N/A</v>
      </c>
      <c r="X36" s="1502"/>
      <c r="Y36" s="3502"/>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02"/>
      <c r="Q37" s="1507" t="str">
        <f t="shared" ref="Q37:Q42" si="14">B37</f>
        <v>宗地形状</v>
      </c>
      <c r="R37" s="1508" t="s">
        <v>8</v>
      </c>
      <c r="S37" s="1509">
        <f t="shared" si="10"/>
        <v>100</v>
      </c>
      <c r="T37" s="1508" t="s">
        <v>8</v>
      </c>
      <c r="U37" s="1509">
        <f t="shared" si="11"/>
        <v>100</v>
      </c>
      <c r="V37" s="1508" t="s">
        <v>8</v>
      </c>
      <c r="W37" s="1509">
        <f t="shared" si="12"/>
        <v>100</v>
      </c>
      <c r="X37" s="1502"/>
      <c r="Y37" s="3502"/>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02"/>
      <c r="Q38" s="1507" t="str">
        <f t="shared" si="14"/>
        <v>宗地开发程度</v>
      </c>
      <c r="R38" s="1503" t="s">
        <v>8</v>
      </c>
      <c r="S38" s="1504">
        <f t="shared" si="10"/>
        <v>100</v>
      </c>
      <c r="T38" s="1503" t="s">
        <v>8</v>
      </c>
      <c r="U38" s="1504">
        <f t="shared" si="11"/>
        <v>100</v>
      </c>
      <c r="V38" s="1503" t="s">
        <v>8</v>
      </c>
      <c r="W38" s="1504">
        <f t="shared" si="12"/>
        <v>100</v>
      </c>
      <c r="X38" s="1505"/>
      <c r="Y38" s="3502"/>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2" t="s">
        <v>595</v>
      </c>
      <c r="Q39" s="1507" t="str">
        <f t="shared" si="14"/>
        <v>工程地质条件</v>
      </c>
      <c r="R39" s="1508" t="s">
        <v>8</v>
      </c>
      <c r="S39" s="1509">
        <f t="shared" si="10"/>
        <v>100</v>
      </c>
      <c r="T39" s="1508" t="s">
        <v>8</v>
      </c>
      <c r="U39" s="1509">
        <f t="shared" si="11"/>
        <v>100</v>
      </c>
      <c r="V39" s="1508" t="s">
        <v>8</v>
      </c>
      <c r="W39" s="1509">
        <f t="shared" si="12"/>
        <v>100</v>
      </c>
      <c r="X39" s="1502"/>
      <c r="Y39" s="3502"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02"/>
      <c r="Q40" s="1507">
        <f t="shared" si="14"/>
        <v>111</v>
      </c>
      <c r="R40" s="1508" t="s">
        <v>8</v>
      </c>
      <c r="S40" s="1509">
        <f t="shared" si="10"/>
        <v>100</v>
      </c>
      <c r="T40" s="1508" t="s">
        <v>8</v>
      </c>
      <c r="U40" s="1509">
        <f t="shared" si="11"/>
        <v>100</v>
      </c>
      <c r="V40" s="1508" t="s">
        <v>8</v>
      </c>
      <c r="W40" s="1509">
        <f t="shared" si="12"/>
        <v>100</v>
      </c>
      <c r="X40" s="1502"/>
      <c r="Y40" s="3502"/>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02"/>
      <c r="Q41" s="1507">
        <f t="shared" si="14"/>
        <v>111</v>
      </c>
      <c r="R41" s="1508" t="s">
        <v>8</v>
      </c>
      <c r="S41" s="1509">
        <f t="shared" si="10"/>
        <v>100</v>
      </c>
      <c r="T41" s="1508" t="s">
        <v>8</v>
      </c>
      <c r="U41" s="1509">
        <f t="shared" si="11"/>
        <v>100</v>
      </c>
      <c r="V41" s="1508" t="s">
        <v>8</v>
      </c>
      <c r="W41" s="1509">
        <f t="shared" si="12"/>
        <v>100</v>
      </c>
      <c r="X41" s="1502"/>
      <c r="Y41" s="3502"/>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02"/>
      <c r="Q42" s="1507">
        <f t="shared" si="14"/>
        <v>111</v>
      </c>
      <c r="R42" s="1512" t="s">
        <v>8</v>
      </c>
      <c r="S42" s="1513">
        <f t="shared" si="10"/>
        <v>100</v>
      </c>
      <c r="T42" s="1512" t="s">
        <v>8</v>
      </c>
      <c r="U42" s="1513">
        <f t="shared" si="11"/>
        <v>100</v>
      </c>
      <c r="V42" s="1512" t="s">
        <v>8</v>
      </c>
      <c r="W42" s="1513">
        <f t="shared" si="12"/>
        <v>100</v>
      </c>
      <c r="X42" s="1514"/>
      <c r="Y42" s="3502"/>
      <c r="Z42" s="1515">
        <f t="shared" si="13"/>
        <v>111</v>
      </c>
      <c r="AA42" s="1511">
        <f t="shared" si="3"/>
        <v>1</v>
      </c>
      <c r="AB42" s="1511">
        <f t="shared" si="4"/>
        <v>1</v>
      </c>
      <c r="AC42" s="1511">
        <f t="shared" si="5"/>
        <v>1</v>
      </c>
    </row>
    <row r="43" spans="1:29" ht="15">
      <c r="A43" s="601" t="s">
        <v>550</v>
      </c>
      <c r="B43" s="602" t="s">
        <v>2902</v>
      </c>
      <c r="C43" s="603" t="s">
        <v>1</v>
      </c>
      <c r="D43" s="604"/>
      <c r="E43" s="605"/>
      <c r="F43" s="606"/>
      <c r="G43" s="607"/>
      <c r="H43" s="608"/>
      <c r="I43" s="605"/>
      <c r="J43" s="608"/>
      <c r="K43" s="1294"/>
      <c r="L43" s="2027"/>
      <c r="M43" s="2017"/>
      <c r="N43" s="2017"/>
      <c r="O43" s="2028"/>
      <c r="P43" s="3465" t="str">
        <f>A43</f>
        <v>成交单价</v>
      </c>
      <c r="Q43" s="3465"/>
      <c r="R43" s="3466">
        <f>E43</f>
        <v>0</v>
      </c>
      <c r="S43" s="3466"/>
      <c r="T43" s="3466">
        <f>G43</f>
        <v>0</v>
      </c>
      <c r="U43" s="3466"/>
      <c r="V43" s="3466">
        <f>I43</f>
        <v>0</v>
      </c>
      <c r="W43" s="3466"/>
      <c r="X43" s="1497"/>
      <c r="Y43" s="1516"/>
      <c r="Z43" s="1497"/>
      <c r="AA43" s="1497"/>
      <c r="AB43" s="1497"/>
      <c r="AC43" s="1497"/>
    </row>
    <row r="44" spans="1:29" ht="15.75" thickBot="1">
      <c r="A44" s="609" t="s">
        <v>2673</v>
      </c>
      <c r="B44" s="610"/>
      <c r="C44" s="611" t="e">
        <f>R45</f>
        <v>#DIV/0!</v>
      </c>
      <c r="D44" s="3014" t="s">
        <v>2971</v>
      </c>
      <c r="E44" s="611" t="e">
        <f>R44</f>
        <v>#DIV/0!</v>
      </c>
      <c r="F44" s="3015"/>
      <c r="G44" s="612" t="e">
        <f>T44</f>
        <v>#DIV/0!</v>
      </c>
      <c r="H44" s="3015"/>
      <c r="I44" s="611" t="e">
        <f>V44</f>
        <v>#DIV/0!</v>
      </c>
      <c r="J44" s="3015"/>
      <c r="K44" s="3016">
        <f>F44+H44+J44</f>
        <v>0</v>
      </c>
      <c r="L44" s="2027"/>
      <c r="M44" s="2017"/>
      <c r="N44" s="2017"/>
      <c r="O44" s="2028"/>
      <c r="P44" s="3465" t="str">
        <f>A44</f>
        <v>比较价格（元/平方米）</v>
      </c>
      <c r="Q44" s="3465"/>
      <c r="R44" s="3467" t="e">
        <f>ROUND(PRODUCT(R43,AA9:AA42),0)</f>
        <v>#DIV/0!</v>
      </c>
      <c r="S44" s="3467"/>
      <c r="T44" s="3467" t="e">
        <f>ROUND(PRODUCT(T43,AB9:AB42),0)</f>
        <v>#DIV/0!</v>
      </c>
      <c r="U44" s="3467"/>
      <c r="V44" s="3467" t="e">
        <f>ROUND(PRODUCT(V43,AC9:AC42),0)</f>
        <v>#DIV/0!</v>
      </c>
      <c r="W44" s="3467"/>
      <c r="X44" s="1497"/>
      <c r="Y44" s="1497"/>
      <c r="Z44" s="1497"/>
      <c r="AA44" s="1497"/>
      <c r="AB44" s="1497"/>
      <c r="AC44" s="1497"/>
    </row>
    <row r="45" spans="1:29" ht="15.75" thickBot="1">
      <c r="A45" s="613" t="s">
        <v>2903</v>
      </c>
      <c r="B45" s="614"/>
      <c r="C45" s="615" t="e">
        <f>R45</f>
        <v>#DIV/0!</v>
      </c>
      <c r="D45" s="615"/>
      <c r="E45" s="615"/>
      <c r="F45" s="615"/>
      <c r="G45" s="615"/>
      <c r="H45" s="615"/>
      <c r="I45" s="615"/>
      <c r="J45" s="615"/>
      <c r="K45" s="1295"/>
      <c r="L45" s="2027"/>
      <c r="M45" s="2017"/>
      <c r="N45" s="2017"/>
      <c r="O45" s="2028"/>
      <c r="P45" s="3462" t="str">
        <f>A45</f>
        <v>估价对象XX用房的比较价格（楼面单价，元/平方米）</v>
      </c>
      <c r="Q45" s="3463"/>
      <c r="R45" s="3520" t="e">
        <f>ROUND(IF(D44="简单平均",AVERAGE(R44:W44),R44*F44+T44*H44+V44*J44),0)</f>
        <v>#DIV/0!</v>
      </c>
      <c r="S45" s="3520"/>
      <c r="T45" s="3520"/>
      <c r="U45" s="3520"/>
      <c r="V45" s="3520"/>
      <c r="W45" s="3520"/>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15" t="s">
        <v>2272</v>
      </c>
      <c r="H52" s="3516"/>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335510</v>
      </c>
      <c r="F53" s="1865" t="e">
        <f t="shared" ref="F53:F62" si="15">ROUND(B53*E53/10000,0)</f>
        <v>#DIV/0!</v>
      </c>
      <c r="G53" s="3517"/>
      <c r="H53" s="3518"/>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19"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19"/>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19"/>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19"/>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134204</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2021-6-1</v>
      </c>
      <c r="D65" s="2517">
        <f>EDATE(C65,-3)</f>
        <v>44256</v>
      </c>
      <c r="E65" s="2517">
        <f t="shared" ref="E65:N65" si="18">EDATE(D65,-3)</f>
        <v>44166</v>
      </c>
      <c r="F65" s="2517">
        <f t="shared" si="18"/>
        <v>44075</v>
      </c>
      <c r="G65" s="2517">
        <f t="shared" si="18"/>
        <v>43983</v>
      </c>
      <c r="H65" s="2517">
        <f t="shared" si="18"/>
        <v>43891</v>
      </c>
      <c r="I65" s="2517">
        <f t="shared" si="18"/>
        <v>43800</v>
      </c>
      <c r="J65" s="2517">
        <f t="shared" si="18"/>
        <v>43709</v>
      </c>
      <c r="K65" s="2517">
        <f t="shared" si="18"/>
        <v>43617</v>
      </c>
      <c r="L65" s="2517">
        <f t="shared" si="18"/>
        <v>43525</v>
      </c>
      <c r="M65" s="2517">
        <f t="shared" si="18"/>
        <v>43435</v>
      </c>
      <c r="N65" s="2517">
        <f t="shared" si="18"/>
        <v>43344</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北京市平均增长率1.25%</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3" priority="18" stopIfTrue="1" operator="containsText" text="超过">
      <formula>NOT(ISERROR(SEARCH("超过",F48)))</formula>
    </cfRule>
  </conditionalFormatting>
  <conditionalFormatting sqref="J50">
    <cfRule type="containsText" dxfId="142" priority="17" stopIfTrue="1" operator="containsText" text="超过">
      <formula>NOT(ISERROR(SEARCH("超过",J50)))</formula>
    </cfRule>
  </conditionalFormatting>
  <conditionalFormatting sqref="H50">
    <cfRule type="containsText" dxfId="141" priority="16" stopIfTrue="1" operator="containsText" text="超过">
      <formula>NOT(ISERROR(SEARCH("超过",H50)))</formula>
    </cfRule>
  </conditionalFormatting>
  <conditionalFormatting sqref="F50">
    <cfRule type="containsText" dxfId="140" priority="15" stopIfTrue="1" operator="containsText" text="超过">
      <formula>NOT(ISERROR(SEARCH("超过",F50)))</formula>
    </cfRule>
  </conditionalFormatting>
  <conditionalFormatting sqref="F49 H49 J49">
    <cfRule type="containsText" dxfId="139" priority="14" stopIfTrue="1" operator="containsText" text="超过">
      <formula>NOT(ISERROR(SEARCH("超过",F49)))</formula>
    </cfRule>
  </conditionalFormatting>
  <conditionalFormatting sqref="E48">
    <cfRule type="expression" dxfId="138" priority="13" stopIfTrue="1">
      <formula>$F$48="超过30%"</formula>
    </cfRule>
  </conditionalFormatting>
  <conditionalFormatting sqref="G50">
    <cfRule type="expression" dxfId="137" priority="12" stopIfTrue="1">
      <formula>$H$50="超过30%"</formula>
    </cfRule>
  </conditionalFormatting>
  <conditionalFormatting sqref="E50">
    <cfRule type="expression" dxfId="136" priority="10" stopIfTrue="1">
      <formula>$F$50="超过30%"</formula>
    </cfRule>
  </conditionalFormatting>
  <conditionalFormatting sqref="G48">
    <cfRule type="expression" dxfId="135" priority="9" stopIfTrue="1">
      <formula>$H$48="超过30%"</formula>
    </cfRule>
  </conditionalFormatting>
  <conditionalFormatting sqref="G49">
    <cfRule type="expression" dxfId="134" priority="8" stopIfTrue="1">
      <formula>$H$49="超过20%"</formula>
    </cfRule>
  </conditionalFormatting>
  <conditionalFormatting sqref="I48">
    <cfRule type="expression" dxfId="133" priority="7" stopIfTrue="1">
      <formula>$J$48="超过30%"</formula>
    </cfRule>
  </conditionalFormatting>
  <conditionalFormatting sqref="I49">
    <cfRule type="expression" dxfId="132" priority="6" stopIfTrue="1">
      <formula>$J$49="超过20%"</formula>
    </cfRule>
  </conditionalFormatting>
  <conditionalFormatting sqref="I50">
    <cfRule type="expression" dxfId="131" priority="5" stopIfTrue="1">
      <formula>$J$50="超过30%"</formula>
    </cfRule>
  </conditionalFormatting>
  <conditionalFormatting sqref="E49">
    <cfRule type="expression" dxfId="130" priority="51" stopIfTrue="1">
      <formula>#REF!+$F$49="超过20%"</formula>
    </cfRule>
  </conditionalFormatting>
  <conditionalFormatting sqref="F44">
    <cfRule type="expression" dxfId="129" priority="4">
      <formula>$D$44="简单平均"</formula>
    </cfRule>
  </conditionalFormatting>
  <conditionalFormatting sqref="H44">
    <cfRule type="expression" dxfId="128" priority="3">
      <formula>$D$44="简单平均"</formula>
    </cfRule>
  </conditionalFormatting>
  <conditionalFormatting sqref="J44">
    <cfRule type="expression" dxfId="127" priority="2">
      <formula>$D$44="简单平均"</formula>
    </cfRule>
  </conditionalFormatting>
  <conditionalFormatting sqref="F9:F42 H9:H42 J9:J42">
    <cfRule type="cellIs" dxfId="126"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4</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3" t="e">
        <f>ROUND(C6+C16,0)</f>
        <v>#DIV/0!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5"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2744</v>
      </c>
      <c r="X7" s="2645">
        <f>G2</f>
        <v>0</v>
      </c>
      <c r="Y7" s="2645" t="s">
        <v>2745</v>
      </c>
      <c r="Z7" s="2646">
        <f>G3</f>
        <v>4</v>
      </c>
      <c r="AA7" s="2074"/>
      <c r="AB7" s="2074"/>
      <c r="AC7" s="2075"/>
      <c r="AD7" s="2647"/>
      <c r="AE7" s="2647"/>
      <c r="AF7" s="2647"/>
      <c r="AG7" s="2647"/>
      <c r="AH7" s="2647"/>
      <c r="AI7" s="2647"/>
      <c r="AJ7" s="2648"/>
    </row>
    <row r="8" spans="1:39" ht="15">
      <c r="A8" s="3536"/>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22" t="s">
        <v>2762</v>
      </c>
      <c r="X8" s="3523"/>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536"/>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21"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6"/>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21"/>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6"/>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21" t="s">
        <v>2760</v>
      </c>
      <c r="X11" s="1035" t="s">
        <v>2745</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5" thickBot="1">
      <c r="A12" s="3535"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21"/>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7"/>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t="e">
        <f t="shared" si="0"/>
        <v>#DIV/0!</v>
      </c>
      <c r="U13" s="2644"/>
      <c r="V13" s="2655" t="e">
        <f t="shared" si="1"/>
        <v>#DIV/0!</v>
      </c>
      <c r="W13" s="3521"/>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7"/>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8"/>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5" t="s">
        <v>1829</v>
      </c>
      <c r="B16" s="1376" t="s">
        <v>941</v>
      </c>
      <c r="C16" s="1039" t="e">
        <f>ROUND(IF(F17="与级别开发程度一致",0,(G17-E17)/C17),0)</f>
        <v>#DIV/0!</v>
      </c>
      <c r="D16" s="3529" t="s">
        <v>945</v>
      </c>
      <c r="E16" s="3530"/>
      <c r="F16" s="3529" t="s">
        <v>942</v>
      </c>
      <c r="G16" s="3530"/>
      <c r="H16" s="1408"/>
      <c r="I16" s="1408"/>
      <c r="J16" s="1408"/>
      <c r="K16" s="1408"/>
      <c r="L16" s="1408"/>
      <c r="M16" s="1408"/>
      <c r="N16" s="1408"/>
      <c r="O16" s="2853"/>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39"/>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0</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ROUND(IF(H19="按公示增长率计算",SUMPRODUCT((地价!A3:A34=YEAR(G19)&amp;"-"&amp;ROUNDUP(MONTH(G19)/3,0))*(地价!X2:AB2=E2)*(地价!X3:AB34)),IF(H19="地价指数",M20/M19,(1+I19)^O19)),4)</f>
        <v>0</v>
      </c>
      <c r="D19" s="1415" t="s">
        <v>948</v>
      </c>
      <c r="E19" s="1041">
        <v>41640</v>
      </c>
      <c r="F19" s="1415" t="s">
        <v>949</v>
      </c>
      <c r="G19" s="1042">
        <f>'数据-取费表'!B2</f>
        <v>44369</v>
      </c>
      <c r="H19" s="1416" t="s">
        <v>2955</v>
      </c>
      <c r="I19" s="2504" t="str">
        <f>IF(H19="季度增幅（自定义）",SUMIF(N21:N24,E2,O21:O24),"")</f>
        <v/>
      </c>
      <c r="J19" s="1412"/>
      <c r="K19" s="3234"/>
      <c r="L19" s="2753" t="s">
        <v>2820</v>
      </c>
      <c r="M19" s="2754">
        <f>ROUND(SUMIF(地价!B2:F2,E2,地价!B34:F34),0)</f>
        <v>0</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3">
        <f>存贷款利率!E18/100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4"/>
      <c r="L20" s="2755" t="s">
        <v>2821</v>
      </c>
      <c r="M20" s="2837">
        <f>ROUND(SUMPRODUCT((地价!A4:A34=YEAR(G19)&amp;"-"&amp;ROUNDUP(MONTH(G19)/3,0))*(地价!B2:F2=E2)*(地价!B4:F34)),0)</f>
        <v>0</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2990</v>
      </c>
      <c r="C21" s="1141" t="b">
        <f>IF(B21="容积率修正",IF(G3&lt;=10,D22,J22),C23)</f>
        <v>0</v>
      </c>
      <c r="D21" s="1422"/>
      <c r="E21" s="1422"/>
      <c r="F21" s="1422"/>
      <c r="G21" s="1422"/>
      <c r="H21" s="1422"/>
      <c r="I21" s="1422"/>
      <c r="J21" s="1423"/>
      <c r="K21" s="3234"/>
      <c r="L21" s="1422"/>
      <c r="M21" s="1422"/>
      <c r="N21" s="1419" t="s">
        <v>966</v>
      </c>
      <c r="O21" s="1482"/>
      <c r="P21" s="2496">
        <f>SUMPRODUCT((地价!A3:A34=YEAR(G19)&amp;"-"&amp;ROUNDUP(MONTH(G19)/3,0))*(地价!AD2:AH2=N21)*(地价!AD3:AH34))</f>
        <v>1.09E-2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SUMPRODUCT((地价!A3:A34=YEAR(G19)&amp;"-"&amp;ROUNDUP(MONTH(G19)/3,0))*(地价!AD2:AH2=N22)*(地价!AD3:AH34))</f>
        <v>1.09E-2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SUMPRODUCT((地价!A3:A34=YEAR(G19)&amp;"-"&amp;ROUNDUP(MONTH(G19)/3,0))*(地价!AD2:AH2=N23)*(地价!AD3:AH34))</f>
        <v>1.9E-2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6"/>
      <c r="P24" s="2496">
        <f>SUMPRODUCT((地价!A3:A34=YEAR(G19)&amp;"-"&amp;ROUNDUP(MONTH(G19)/3,0))*(地价!AD2:AH2=N24)*(地价!AD3:AH34))</f>
        <v>1.2500000000000001E-2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SUMPRODUCT((地价!A3:A34=YEAR(G19)&amp;"-"&amp;ROUNDUP(MONTH(G19)/3,0))*(地价!AD2:AH2=N25)*(地价!AD3:AH34))</f>
        <v>1.7299999999999999E-2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31"/>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31" t="s">
        <v>2994</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32"/>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32"/>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32"/>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32"/>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33"/>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33"/>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2949</v>
      </c>
      <c r="C41" s="828" t="e">
        <f>ROUND(POWER(1+E41,H41-G41)*(POWER(1+E41,G41)-1)/(POWER(1+E41,H41)-1),4)</f>
        <v>#DIV/0!</v>
      </c>
      <c r="D41" s="372" t="s">
        <v>2947</v>
      </c>
      <c r="E41" s="2832">
        <f>G20</f>
        <v>0</v>
      </c>
      <c r="F41" s="372" t="s">
        <v>2948</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36">
      <c r="A47" s="1050" t="s">
        <v>1011</v>
      </c>
      <c r="B47" s="2267" t="str">
        <f>估价对象房地状况!C16</f>
        <v>估价对象位于XX商圈，周边商业氛围成熟，人流量大，商业繁华度好</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48">
      <c r="A48" s="1050" t="s">
        <v>1012</v>
      </c>
      <c r="B48" s="2264" t="str">
        <f>估价对象房地状况!C18</f>
        <v>估价对象周边道路状况、公共交通通达情况、停车便捷程度，综合评价交通便捷度较好</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2905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2904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估价对象所在区域公共配套设施齐备情况</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估价对象所在区域基础设施水平</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区域自然环境：；人文环境；综合评价环境状况一般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36">
      <c r="A58" s="1050" t="s">
        <v>1021</v>
      </c>
      <c r="B58" s="2267" t="str">
        <f>估价对象房地状况!C17</f>
        <v>估价对象位于XX商圈，周边办公楼项目较多，入驻率高，办公集聚程度较好</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48">
      <c r="A59" s="1050" t="s">
        <v>1012</v>
      </c>
      <c r="B59" s="2264" t="str">
        <f>估价对象房地状况!C18</f>
        <v>估价对象周边道路状况、公共交通通达情况、停车便捷程度，综合评价交通便捷度较好</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2906</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2904</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估价对象所在区域公共配套设施齐备情况</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估价对象所在区域基础设施水平</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区域自然环境：；人文环境；综合评价环境状况一般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48">
      <c r="A69" s="1050" t="s">
        <v>1023</v>
      </c>
      <c r="B69" s="2267" t="str">
        <f>估价对象房地状况!C15</f>
        <v>估价对象周边居住用地比例、居住小区规模和社区发展完善程度，综合评价居住社区成熟度一般</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48">
      <c r="A70" s="1050" t="s">
        <v>1024</v>
      </c>
      <c r="B70" s="2264" t="str">
        <f>估价对象房地状况!C18</f>
        <v>估价对象周边道路状况、公共交通通达情况、停车便捷程度，综合评价交通便捷度较好</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估价对象所在区域公共配套设施齐备情况</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估价对象所在区域基础设施水平</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2904</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区域自然环境：；人文环境；综合评价环境状况一般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36">
      <c r="A80" s="1050" t="s">
        <v>1028</v>
      </c>
      <c r="B80" s="2264" t="str">
        <f>估价对象房地状况!G15</f>
        <v>估价对象位于XX开发区，园区建设成熟度XX，产业集聚程度XX</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48">
      <c r="A81" s="1050" t="s">
        <v>1024</v>
      </c>
      <c r="B81" s="2264" t="str">
        <f>估价对象房地状况!G16</f>
        <v>估价对象周边道路状况、公共交通通达情况、停车便捷程度，综合评价交通便捷度较好</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t="str">
        <f>估价对象房地状况!G19</f>
        <v>估价对象所在区域公共配套设施齐备情况</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t="str">
        <f>估价对象房地状况!G20</f>
        <v>估价对象所在区域基础设施水平</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4" t="s">
        <v>2904</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36.75" thickBot="1">
      <c r="A87" s="2297" t="s">
        <v>1029</v>
      </c>
      <c r="B87" s="2266" t="str">
        <f>估价对象房地状况!G18</f>
        <v>该园区内是否有污染型企业，绿化情况，卫生条件，整体环境状况判断</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40" t="s">
        <v>1624</v>
      </c>
      <c r="B90" s="3540"/>
      <c r="C90" s="3540"/>
      <c r="D90" s="3540"/>
      <c r="E90" s="3540"/>
      <c r="F90" s="3540"/>
      <c r="G90" s="3540"/>
      <c r="H90" s="3540"/>
      <c r="I90" s="3540"/>
      <c r="J90" s="3540"/>
      <c r="K90" s="2306"/>
      <c r="L90" s="2306"/>
      <c r="M90" s="2306"/>
      <c r="N90" s="2306"/>
    </row>
    <row r="91" spans="1:40">
      <c r="A91" s="3541" t="s">
        <v>1434</v>
      </c>
      <c r="B91" s="3541" t="s">
        <v>1625</v>
      </c>
      <c r="C91" s="1123" t="s">
        <v>1626</v>
      </c>
      <c r="D91" s="1124"/>
      <c r="E91" s="1124"/>
      <c r="F91" s="1124"/>
      <c r="G91" s="1124"/>
      <c r="H91" s="1124"/>
      <c r="I91" s="1124"/>
      <c r="J91" s="1125"/>
      <c r="K91" s="1117"/>
      <c r="L91" s="1117"/>
      <c r="M91" s="1117"/>
      <c r="N91" s="1117"/>
    </row>
    <row r="92" spans="1:40">
      <c r="A92" s="3541"/>
      <c r="B92" s="3541"/>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24"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25"/>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25"/>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25"/>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25"/>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25"/>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25"/>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26"/>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24" t="s">
        <v>1628</v>
      </c>
      <c r="B101" s="1130" t="s">
        <v>897</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25"/>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25"/>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25"/>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25"/>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25"/>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25"/>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25"/>
      <c r="B108" s="3527"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26"/>
      <c r="B109" s="3528"/>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4" t="s">
        <v>1630</v>
      </c>
      <c r="B110" s="3534"/>
      <c r="C110" s="3534"/>
      <c r="D110" s="3534"/>
      <c r="E110" s="3534"/>
      <c r="F110" s="3534"/>
      <c r="G110" s="3534"/>
      <c r="H110" s="3534"/>
      <c r="I110" s="3534"/>
      <c r="J110" s="3534"/>
      <c r="K110" s="2304"/>
      <c r="L110" s="2304"/>
      <c r="M110" s="2304"/>
      <c r="N110" s="2304"/>
    </row>
    <row r="112" spans="1:14" ht="12.75" thickBot="1"/>
    <row r="113" spans="1:13" ht="25.5" thickBot="1">
      <c r="A113" s="1003" t="s">
        <v>887</v>
      </c>
      <c r="B113" s="2307">
        <f>G3</f>
        <v>4</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2.75">
      <c r="A116" s="1016" t="s">
        <v>892</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2.75">
      <c r="A117" s="1019" t="s">
        <v>893</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5" thickBot="1">
      <c r="A118" s="1020" t="s">
        <v>894</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2952</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41" t="s">
        <v>998</v>
      </c>
      <c r="B18" s="1137" t="s">
        <v>1437</v>
      </c>
      <c r="C18" s="1114" t="s">
        <v>1438</v>
      </c>
      <c r="D18" s="1115"/>
      <c r="E18" s="1137">
        <v>1</v>
      </c>
      <c r="F18" s="1116" t="s">
        <v>1439</v>
      </c>
      <c r="G18" s="1117"/>
      <c r="H18" s="1088"/>
      <c r="I18" s="1088"/>
    </row>
    <row r="19" spans="1:9" s="1530" customFormat="1" ht="19.5" customHeight="1">
      <c r="A19" s="3541"/>
      <c r="B19" s="3541" t="s">
        <v>1440</v>
      </c>
      <c r="C19" s="1114" t="s">
        <v>1441</v>
      </c>
      <c r="D19" s="1115"/>
      <c r="E19" s="1137">
        <v>0.9</v>
      </c>
      <c r="F19" s="1116" t="s">
        <v>1442</v>
      </c>
      <c r="G19" s="1117"/>
      <c r="H19" s="1088"/>
      <c r="I19" s="1088"/>
    </row>
    <row r="20" spans="1:9" s="1530" customFormat="1" ht="19.5" customHeight="1">
      <c r="A20" s="3541"/>
      <c r="B20" s="3541"/>
      <c r="C20" s="1114" t="s">
        <v>1443</v>
      </c>
      <c r="D20" s="1115"/>
      <c r="E20" s="1137">
        <v>1.1000000000000001</v>
      </c>
      <c r="F20" s="1116" t="s">
        <v>1444</v>
      </c>
      <c r="G20" s="1117"/>
      <c r="H20" s="1088"/>
      <c r="I20" s="1088"/>
    </row>
    <row r="21" spans="1:9" s="1530" customFormat="1" ht="19.5" customHeight="1">
      <c r="A21" s="3541"/>
      <c r="B21" s="3541"/>
      <c r="C21" s="1114" t="s">
        <v>1445</v>
      </c>
      <c r="D21" s="1115"/>
      <c r="E21" s="1137">
        <v>0.8</v>
      </c>
      <c r="F21" s="1116" t="s">
        <v>1446</v>
      </c>
      <c r="G21" s="1117"/>
      <c r="H21" s="1088"/>
      <c r="I21" s="1088"/>
    </row>
    <row r="22" spans="1:9" s="1530" customFormat="1" ht="19.5" customHeight="1">
      <c r="A22" s="3541"/>
      <c r="B22" s="3541"/>
      <c r="C22" s="1114" t="s">
        <v>1447</v>
      </c>
      <c r="D22" s="1115"/>
      <c r="E22" s="1137">
        <v>0.5</v>
      </c>
      <c r="F22" s="1116"/>
      <c r="G22" s="1117"/>
      <c r="H22" s="1088"/>
      <c r="I22" s="1088"/>
    </row>
    <row r="23" spans="1:9" s="1530" customFormat="1" ht="19.5" customHeight="1">
      <c r="A23" s="3541" t="s">
        <v>1020</v>
      </c>
      <c r="B23" s="1137" t="s">
        <v>1437</v>
      </c>
      <c r="C23" s="1114" t="s">
        <v>1448</v>
      </c>
      <c r="D23" s="1115"/>
      <c r="E23" s="1137">
        <v>1</v>
      </c>
      <c r="F23" s="1116" t="s">
        <v>1449</v>
      </c>
      <c r="G23" s="1117"/>
      <c r="H23" s="1088"/>
      <c r="I23" s="1088"/>
    </row>
    <row r="24" spans="1:9" s="1530" customFormat="1" ht="19.5" customHeight="1">
      <c r="A24" s="3541"/>
      <c r="B24" s="3541" t="s">
        <v>1440</v>
      </c>
      <c r="C24" s="1114" t="s">
        <v>1450</v>
      </c>
      <c r="D24" s="1115"/>
      <c r="E24" s="1137">
        <v>0.5</v>
      </c>
      <c r="F24" s="1116"/>
      <c r="G24" s="1117"/>
      <c r="H24" s="1088"/>
      <c r="I24" s="1088"/>
    </row>
    <row r="25" spans="1:9" s="1530" customFormat="1" ht="19.5" customHeight="1">
      <c r="A25" s="3541"/>
      <c r="B25" s="3541"/>
      <c r="C25" s="1114" t="s">
        <v>1451</v>
      </c>
      <c r="D25" s="1115"/>
      <c r="E25" s="1137">
        <v>1.1000000000000001</v>
      </c>
      <c r="F25" s="1116"/>
      <c r="G25" s="1117"/>
      <c r="H25" s="1088"/>
      <c r="I25" s="1088"/>
    </row>
    <row r="26" spans="1:9" s="1530" customFormat="1" ht="19.5" customHeight="1">
      <c r="A26" s="3541"/>
      <c r="B26" s="3541"/>
      <c r="C26" s="1114" t="s">
        <v>1452</v>
      </c>
      <c r="D26" s="1115"/>
      <c r="E26" s="1137">
        <v>1.1000000000000001</v>
      </c>
      <c r="F26" s="1116"/>
      <c r="G26" s="1117"/>
      <c r="H26" s="1088"/>
      <c r="I26" s="1088"/>
    </row>
    <row r="27" spans="1:9" s="1530" customFormat="1" ht="19.5" customHeight="1">
      <c r="A27" s="3541"/>
      <c r="B27" s="3541"/>
      <c r="C27" s="1114" t="s">
        <v>1453</v>
      </c>
      <c r="D27" s="1115"/>
      <c r="E27" s="1137">
        <v>0.9</v>
      </c>
      <c r="F27" s="1116" t="s">
        <v>1454</v>
      </c>
      <c r="G27" s="1117"/>
      <c r="H27" s="1088"/>
      <c r="I27" s="1088"/>
    </row>
    <row r="28" spans="1:9" s="1530" customFormat="1" ht="19.5" customHeight="1">
      <c r="A28" s="3541"/>
      <c r="B28" s="3541"/>
      <c r="C28" s="1114" t="s">
        <v>1455</v>
      </c>
      <c r="D28" s="1115"/>
      <c r="E28" s="1137">
        <v>0.9</v>
      </c>
      <c r="F28" s="1116" t="s">
        <v>1456</v>
      </c>
      <c r="G28" s="1117"/>
      <c r="H28" s="1088"/>
      <c r="I28" s="1088"/>
    </row>
    <row r="29" spans="1:9" s="1530" customFormat="1" ht="19.5" customHeight="1">
      <c r="A29" s="3541"/>
      <c r="B29" s="3541"/>
      <c r="C29" s="1114" t="s">
        <v>1457</v>
      </c>
      <c r="D29" s="1115"/>
      <c r="E29" s="1137">
        <v>0.9</v>
      </c>
      <c r="F29" s="1116" t="s">
        <v>1458</v>
      </c>
      <c r="G29" s="1117"/>
      <c r="H29" s="1088"/>
      <c r="I29" s="1088"/>
    </row>
    <row r="30" spans="1:9" s="1530" customFormat="1" ht="19.5" customHeight="1">
      <c r="A30" s="3541"/>
      <c r="B30" s="3541"/>
      <c r="C30" s="1114" t="s">
        <v>1459</v>
      </c>
      <c r="D30" s="1115"/>
      <c r="E30" s="1137">
        <v>0.9</v>
      </c>
      <c r="F30" s="1116" t="s">
        <v>1460</v>
      </c>
      <c r="G30" s="1117"/>
      <c r="H30" s="1088"/>
      <c r="I30" s="1088"/>
    </row>
    <row r="31" spans="1:9" s="1530" customFormat="1" ht="19.5" customHeight="1">
      <c r="A31" s="3541"/>
      <c r="B31" s="3541"/>
      <c r="C31" s="1114" t="s">
        <v>1461</v>
      </c>
      <c r="D31" s="1115"/>
      <c r="E31" s="1137">
        <v>0.8</v>
      </c>
      <c r="F31" s="1116" t="s">
        <v>1462</v>
      </c>
      <c r="G31" s="1117"/>
      <c r="H31" s="1088"/>
      <c r="I31" s="1088"/>
    </row>
    <row r="32" spans="1:9" s="1530" customFormat="1" ht="19.5" customHeight="1">
      <c r="A32" s="3541"/>
      <c r="B32" s="3541"/>
      <c r="C32" s="1114" t="s">
        <v>1463</v>
      </c>
      <c r="D32" s="1115"/>
      <c r="E32" s="1137">
        <v>0.8</v>
      </c>
      <c r="F32" s="1116" t="s">
        <v>1464</v>
      </c>
      <c r="G32" s="1117"/>
      <c r="H32" s="1088"/>
      <c r="I32" s="1088"/>
    </row>
    <row r="33" spans="1:9" s="1530" customFormat="1" ht="19.5" customHeight="1">
      <c r="A33" s="3541" t="s">
        <v>1465</v>
      </c>
      <c r="B33" s="1137" t="s">
        <v>1437</v>
      </c>
      <c r="C33" s="1114" t="s">
        <v>1466</v>
      </c>
      <c r="D33" s="1115"/>
      <c r="E33" s="1137">
        <v>1</v>
      </c>
      <c r="F33" s="1116" t="s">
        <v>1467</v>
      </c>
      <c r="G33" s="1117"/>
      <c r="H33" s="1088"/>
      <c r="I33" s="1088"/>
    </row>
    <row r="34" spans="1:9" s="1530" customFormat="1" ht="19.5" customHeight="1">
      <c r="A34" s="3541"/>
      <c r="B34" s="1137" t="s">
        <v>1440</v>
      </c>
      <c r="C34" s="1114" t="s">
        <v>1468</v>
      </c>
      <c r="D34" s="1115"/>
      <c r="E34" s="1137">
        <v>1.5</v>
      </c>
      <c r="F34" s="1116" t="s">
        <v>1469</v>
      </c>
      <c r="G34" s="1117"/>
      <c r="H34" s="1088"/>
      <c r="I34" s="1088"/>
    </row>
    <row r="35" spans="1:9" s="1530" customFormat="1" ht="19.5" customHeight="1">
      <c r="A35" s="3541" t="s">
        <v>1423</v>
      </c>
      <c r="B35" s="1137" t="s">
        <v>1437</v>
      </c>
      <c r="C35" s="1114" t="s">
        <v>1470</v>
      </c>
      <c r="D35" s="1115"/>
      <c r="E35" s="1137">
        <v>1</v>
      </c>
      <c r="F35" s="1116" t="s">
        <v>1471</v>
      </c>
      <c r="G35" s="1117"/>
      <c r="H35" s="1088"/>
      <c r="I35" s="1088"/>
    </row>
    <row r="36" spans="1:9" s="1530" customFormat="1" ht="19.5" customHeight="1">
      <c r="A36" s="3541"/>
      <c r="B36" s="3541" t="s">
        <v>1440</v>
      </c>
      <c r="C36" s="1114" t="s">
        <v>1472</v>
      </c>
      <c r="D36" s="1115"/>
      <c r="E36" s="1137">
        <v>1</v>
      </c>
      <c r="F36" s="1116" t="s">
        <v>1473</v>
      </c>
      <c r="G36" s="1117"/>
      <c r="H36" s="1088"/>
      <c r="I36" s="1088"/>
    </row>
    <row r="37" spans="1:9" s="1530" customFormat="1" ht="19.5" customHeight="1">
      <c r="A37" s="3541"/>
      <c r="B37" s="3541"/>
      <c r="C37" s="1114" t="s">
        <v>1474</v>
      </c>
      <c r="D37" s="1115"/>
      <c r="E37" s="1137">
        <v>1.5</v>
      </c>
      <c r="F37" s="1116" t="s">
        <v>1475</v>
      </c>
      <c r="G37" s="1117"/>
      <c r="H37" s="1088"/>
      <c r="I37" s="1088"/>
    </row>
    <row r="38" spans="1:9" s="1530" customFormat="1" ht="19.5" customHeight="1">
      <c r="A38" s="3541"/>
      <c r="B38" s="3541"/>
      <c r="C38" s="1114" t="s">
        <v>1476</v>
      </c>
      <c r="D38" s="1115"/>
      <c r="E38" s="1137">
        <v>1</v>
      </c>
      <c r="F38" s="1116" t="s">
        <v>1477</v>
      </c>
      <c r="G38" s="1117"/>
      <c r="H38" s="1088"/>
      <c r="I38" s="1088"/>
    </row>
    <row r="39" spans="1:9" s="1530" customFormat="1" ht="19.5" customHeight="1">
      <c r="A39" s="3541"/>
      <c r="B39" s="3541"/>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41" t="s">
        <v>1492</v>
      </c>
      <c r="C61" s="1051" t="s">
        <v>1493</v>
      </c>
      <c r="D61" s="1051" t="s">
        <v>1494</v>
      </c>
      <c r="E61" s="1122">
        <v>0.5</v>
      </c>
      <c r="F61" s="1137">
        <v>80</v>
      </c>
      <c r="H61" s="1088">
        <f>SUMIF(C59:C119,基准地价!C8,E59:E119)</f>
        <v>0</v>
      </c>
    </row>
    <row r="62" spans="1:8" s="1088" customFormat="1" ht="24">
      <c r="A62" s="1137">
        <v>2</v>
      </c>
      <c r="B62" s="3541"/>
      <c r="C62" s="1051" t="s">
        <v>1495</v>
      </c>
      <c r="D62" s="1051" t="s">
        <v>1496</v>
      </c>
      <c r="E62" s="1122">
        <v>0.5</v>
      </c>
      <c r="F62" s="1137">
        <v>80</v>
      </c>
    </row>
    <row r="63" spans="1:8" s="1088" customFormat="1" ht="36">
      <c r="A63" s="1137">
        <v>3</v>
      </c>
      <c r="B63" s="3541"/>
      <c r="C63" s="1051" t="s">
        <v>1497</v>
      </c>
      <c r="D63" s="1051" t="s">
        <v>1498</v>
      </c>
      <c r="E63" s="1122">
        <v>0.5</v>
      </c>
      <c r="F63" s="1137">
        <v>80</v>
      </c>
    </row>
    <row r="64" spans="1:8" s="1088" customFormat="1" ht="36">
      <c r="A64" s="1137">
        <v>4</v>
      </c>
      <c r="B64" s="3541"/>
      <c r="C64" s="1051" t="s">
        <v>1499</v>
      </c>
      <c r="D64" s="1051" t="s">
        <v>1500</v>
      </c>
      <c r="E64" s="1122">
        <v>0.4</v>
      </c>
      <c r="F64" s="1137">
        <v>60</v>
      </c>
    </row>
    <row r="65" spans="1:6" s="1088" customFormat="1" ht="36">
      <c r="A65" s="1137">
        <v>5</v>
      </c>
      <c r="B65" s="3541"/>
      <c r="C65" s="1051" t="s">
        <v>1501</v>
      </c>
      <c r="D65" s="1051" t="s">
        <v>1502</v>
      </c>
      <c r="E65" s="1122">
        <v>0.2</v>
      </c>
      <c r="F65" s="1137">
        <v>30</v>
      </c>
    </row>
    <row r="66" spans="1:6" s="1088" customFormat="1" ht="36">
      <c r="A66" s="1137">
        <v>6</v>
      </c>
      <c r="B66" s="3541"/>
      <c r="C66" s="1051" t="s">
        <v>1503</v>
      </c>
      <c r="D66" s="1051" t="s">
        <v>1504</v>
      </c>
      <c r="E66" s="1122">
        <v>0.3</v>
      </c>
      <c r="F66" s="1137">
        <v>50</v>
      </c>
    </row>
    <row r="67" spans="1:6" s="1088" customFormat="1" ht="36">
      <c r="A67" s="1137">
        <v>7</v>
      </c>
      <c r="B67" s="3541"/>
      <c r="C67" s="1051" t="s">
        <v>1505</v>
      </c>
      <c r="D67" s="1051" t="s">
        <v>1506</v>
      </c>
      <c r="E67" s="1122">
        <v>0.2</v>
      </c>
      <c r="F67" s="1137">
        <v>30</v>
      </c>
    </row>
    <row r="68" spans="1:6" s="1088" customFormat="1" ht="36">
      <c r="A68" s="1137">
        <v>8</v>
      </c>
      <c r="B68" s="3541"/>
      <c r="C68" s="1051" t="s">
        <v>1507</v>
      </c>
      <c r="D68" s="1051" t="s">
        <v>1508</v>
      </c>
      <c r="E68" s="1122">
        <v>0.2</v>
      </c>
      <c r="F68" s="1137">
        <v>30</v>
      </c>
    </row>
    <row r="69" spans="1:6" s="1088" customFormat="1" ht="36">
      <c r="A69" s="1137">
        <v>9</v>
      </c>
      <c r="B69" s="3541"/>
      <c r="C69" s="1051" t="s">
        <v>1509</v>
      </c>
      <c r="D69" s="1051" t="s">
        <v>1510</v>
      </c>
      <c r="E69" s="1122">
        <v>0.2</v>
      </c>
      <c r="F69" s="1137">
        <v>30</v>
      </c>
    </row>
    <row r="70" spans="1:6" s="1088" customFormat="1" ht="48">
      <c r="A70" s="1137">
        <v>10</v>
      </c>
      <c r="B70" s="3541"/>
      <c r="C70" s="1051" t="s">
        <v>1511</v>
      </c>
      <c r="D70" s="1051" t="s">
        <v>1512</v>
      </c>
      <c r="E70" s="1122">
        <v>0.2</v>
      </c>
      <c r="F70" s="1137">
        <v>30</v>
      </c>
    </row>
    <row r="71" spans="1:6" s="1088" customFormat="1" ht="48">
      <c r="A71" s="1137">
        <v>11</v>
      </c>
      <c r="B71" s="3541"/>
      <c r="C71" s="1051" t="s">
        <v>1513</v>
      </c>
      <c r="D71" s="1051" t="s">
        <v>1514</v>
      </c>
      <c r="E71" s="1122">
        <v>0.2</v>
      </c>
      <c r="F71" s="1137">
        <v>30</v>
      </c>
    </row>
    <row r="72" spans="1:6" s="1088" customFormat="1" ht="36">
      <c r="A72" s="1137">
        <v>12</v>
      </c>
      <c r="B72" s="3541"/>
      <c r="C72" s="1051" t="s">
        <v>1515</v>
      </c>
      <c r="D72" s="1051" t="s">
        <v>1516</v>
      </c>
      <c r="E72" s="1122">
        <v>0.5</v>
      </c>
      <c r="F72" s="1137">
        <v>80</v>
      </c>
    </row>
    <row r="73" spans="1:6" s="1088" customFormat="1" ht="24">
      <c r="A73" s="1137">
        <v>13</v>
      </c>
      <c r="B73" s="3541"/>
      <c r="C73" s="1051" t="s">
        <v>1517</v>
      </c>
      <c r="D73" s="1051" t="s">
        <v>1518</v>
      </c>
      <c r="E73" s="1122">
        <v>0.4</v>
      </c>
      <c r="F73" s="1137">
        <v>60</v>
      </c>
    </row>
    <row r="74" spans="1:6" s="1088" customFormat="1" ht="24">
      <c r="A74" s="1137">
        <v>14</v>
      </c>
      <c r="B74" s="3541"/>
      <c r="C74" s="1051" t="s">
        <v>1519</v>
      </c>
      <c r="D74" s="1051" t="s">
        <v>1520</v>
      </c>
      <c r="E74" s="1122">
        <v>0.2</v>
      </c>
      <c r="F74" s="1137">
        <v>30</v>
      </c>
    </row>
    <row r="75" spans="1:6" s="1088" customFormat="1" ht="24">
      <c r="A75" s="1137">
        <v>15</v>
      </c>
      <c r="B75" s="3541"/>
      <c r="C75" s="1051" t="s">
        <v>1521</v>
      </c>
      <c r="D75" s="1051" t="s">
        <v>1522</v>
      </c>
      <c r="E75" s="1122">
        <v>0.2</v>
      </c>
      <c r="F75" s="1137">
        <v>30</v>
      </c>
    </row>
    <row r="76" spans="1:6" s="1088" customFormat="1" ht="24">
      <c r="A76" s="1137">
        <v>16</v>
      </c>
      <c r="B76" s="3541" t="s">
        <v>1523</v>
      </c>
      <c r="C76" s="1051" t="s">
        <v>1524</v>
      </c>
      <c r="D76" s="1051" t="s">
        <v>1525</v>
      </c>
      <c r="E76" s="1122">
        <v>0.5</v>
      </c>
      <c r="F76" s="1137">
        <v>80</v>
      </c>
    </row>
    <row r="77" spans="1:6" s="1088" customFormat="1" ht="24">
      <c r="A77" s="1137">
        <v>17</v>
      </c>
      <c r="B77" s="3541"/>
      <c r="C77" s="1051" t="s">
        <v>1526</v>
      </c>
      <c r="D77" s="1051" t="s">
        <v>1527</v>
      </c>
      <c r="E77" s="1122">
        <v>0.5</v>
      </c>
      <c r="F77" s="1137">
        <v>80</v>
      </c>
    </row>
    <row r="78" spans="1:6" s="1088" customFormat="1" ht="24">
      <c r="A78" s="1137">
        <v>18</v>
      </c>
      <c r="B78" s="3541"/>
      <c r="C78" s="1051" t="s">
        <v>1528</v>
      </c>
      <c r="D78" s="1051" t="s">
        <v>1529</v>
      </c>
      <c r="E78" s="1122">
        <v>0.2</v>
      </c>
      <c r="F78" s="1137">
        <v>30</v>
      </c>
    </row>
    <row r="79" spans="1:6" s="1088" customFormat="1" ht="24">
      <c r="A79" s="1137">
        <v>19</v>
      </c>
      <c r="B79" s="3541"/>
      <c r="C79" s="1051" t="s">
        <v>1530</v>
      </c>
      <c r="D79" s="1051" t="s">
        <v>1531</v>
      </c>
      <c r="E79" s="1122">
        <v>0.5</v>
      </c>
      <c r="F79" s="1137">
        <v>80</v>
      </c>
    </row>
    <row r="80" spans="1:6" s="1088" customFormat="1" ht="36">
      <c r="A80" s="1137">
        <v>20</v>
      </c>
      <c r="B80" s="3541"/>
      <c r="C80" s="1051" t="s">
        <v>1532</v>
      </c>
      <c r="D80" s="1051" t="s">
        <v>1533</v>
      </c>
      <c r="E80" s="1122">
        <v>0.2</v>
      </c>
      <c r="F80" s="1137">
        <v>30</v>
      </c>
    </row>
    <row r="81" spans="1:6" s="1088" customFormat="1" ht="36">
      <c r="A81" s="1137">
        <v>21</v>
      </c>
      <c r="B81" s="3541"/>
      <c r="C81" s="1051" t="s">
        <v>1534</v>
      </c>
      <c r="D81" s="1051" t="s">
        <v>1535</v>
      </c>
      <c r="E81" s="1122">
        <v>0.2</v>
      </c>
      <c r="F81" s="1137">
        <v>30</v>
      </c>
    </row>
    <row r="82" spans="1:6" s="1088" customFormat="1" ht="48">
      <c r="A82" s="1137">
        <v>22</v>
      </c>
      <c r="B82" s="3541"/>
      <c r="C82" s="1051" t="s">
        <v>1536</v>
      </c>
      <c r="D82" s="1051" t="s">
        <v>1537</v>
      </c>
      <c r="E82" s="1122">
        <v>0.2</v>
      </c>
      <c r="F82" s="1137">
        <v>30</v>
      </c>
    </row>
    <row r="83" spans="1:6" s="1088" customFormat="1" ht="48">
      <c r="A83" s="1137">
        <v>23</v>
      </c>
      <c r="B83" s="3541"/>
      <c r="C83" s="1051" t="s">
        <v>1538</v>
      </c>
      <c r="D83" s="1051" t="s">
        <v>1539</v>
      </c>
      <c r="E83" s="1122">
        <v>0.2</v>
      </c>
      <c r="F83" s="1137">
        <v>30</v>
      </c>
    </row>
    <row r="84" spans="1:6" s="1088" customFormat="1" ht="36">
      <c r="A84" s="1137">
        <v>24</v>
      </c>
      <c r="B84" s="3541"/>
      <c r="C84" s="1051" t="s">
        <v>1540</v>
      </c>
      <c r="D84" s="1051" t="s">
        <v>1541</v>
      </c>
      <c r="E84" s="1122">
        <v>0.2</v>
      </c>
      <c r="F84" s="1137">
        <v>30</v>
      </c>
    </row>
    <row r="85" spans="1:6" s="1088" customFormat="1" ht="36">
      <c r="A85" s="1137">
        <v>25</v>
      </c>
      <c r="B85" s="3541"/>
      <c r="C85" s="1051" t="s">
        <v>1542</v>
      </c>
      <c r="D85" s="1051" t="s">
        <v>1543</v>
      </c>
      <c r="E85" s="1122">
        <v>0.5</v>
      </c>
      <c r="F85" s="1137">
        <v>80</v>
      </c>
    </row>
    <row r="86" spans="1:6" s="1088" customFormat="1" ht="36">
      <c r="A86" s="1137">
        <v>26</v>
      </c>
      <c r="B86" s="3541"/>
      <c r="C86" s="1051" t="s">
        <v>1544</v>
      </c>
      <c r="D86" s="1051" t="s">
        <v>1545</v>
      </c>
      <c r="E86" s="1122">
        <v>0.2</v>
      </c>
      <c r="F86" s="1137">
        <v>30</v>
      </c>
    </row>
    <row r="87" spans="1:6" s="1088" customFormat="1" ht="36">
      <c r="A87" s="1137">
        <v>27</v>
      </c>
      <c r="B87" s="3541"/>
      <c r="C87" s="1051" t="s">
        <v>1546</v>
      </c>
      <c r="D87" s="1051" t="s">
        <v>1547</v>
      </c>
      <c r="E87" s="1122">
        <v>0.2</v>
      </c>
      <c r="F87" s="1137">
        <v>30</v>
      </c>
    </row>
    <row r="88" spans="1:6" s="1088" customFormat="1" ht="36">
      <c r="A88" s="1137">
        <v>28</v>
      </c>
      <c r="B88" s="3541"/>
      <c r="C88" s="1051" t="s">
        <v>1548</v>
      </c>
      <c r="D88" s="1051" t="s">
        <v>1549</v>
      </c>
      <c r="E88" s="1122">
        <v>0.2</v>
      </c>
      <c r="F88" s="1137">
        <v>30</v>
      </c>
    </row>
    <row r="89" spans="1:6" s="1088" customFormat="1" ht="24">
      <c r="A89" s="1137">
        <v>29</v>
      </c>
      <c r="B89" s="3541"/>
      <c r="C89" s="1051" t="s">
        <v>1550</v>
      </c>
      <c r="D89" s="1051" t="s">
        <v>1551</v>
      </c>
      <c r="E89" s="1122">
        <v>0.2</v>
      </c>
      <c r="F89" s="1137">
        <v>30</v>
      </c>
    </row>
    <row r="90" spans="1:6" s="1088" customFormat="1" ht="24">
      <c r="A90" s="1137">
        <v>30</v>
      </c>
      <c r="B90" s="3541"/>
      <c r="C90" s="1051" t="s">
        <v>1552</v>
      </c>
      <c r="D90" s="1051" t="s">
        <v>1553</v>
      </c>
      <c r="E90" s="1122">
        <v>0.2</v>
      </c>
      <c r="F90" s="1137">
        <v>30</v>
      </c>
    </row>
    <row r="91" spans="1:6" s="1088" customFormat="1" ht="36">
      <c r="A91" s="1137">
        <v>31</v>
      </c>
      <c r="B91" s="3541"/>
      <c r="C91" s="1051" t="s">
        <v>1554</v>
      </c>
      <c r="D91" s="1051" t="s">
        <v>1555</v>
      </c>
      <c r="E91" s="1122">
        <v>0.2</v>
      </c>
      <c r="F91" s="1137">
        <v>30</v>
      </c>
    </row>
    <row r="92" spans="1:6" s="1088" customFormat="1" ht="24">
      <c r="A92" s="1137">
        <v>32</v>
      </c>
      <c r="B92" s="3541" t="s">
        <v>1556</v>
      </c>
      <c r="C92" s="1137" t="s">
        <v>1557</v>
      </c>
      <c r="D92" s="1051" t="s">
        <v>1558</v>
      </c>
      <c r="E92" s="1122">
        <v>0.2</v>
      </c>
      <c r="F92" s="1137">
        <v>30</v>
      </c>
    </row>
    <row r="93" spans="1:6" s="1088" customFormat="1" ht="36">
      <c r="A93" s="1137">
        <v>33</v>
      </c>
      <c r="B93" s="3541"/>
      <c r="C93" s="1137" t="s">
        <v>1559</v>
      </c>
      <c r="D93" s="1051" t="s">
        <v>1560</v>
      </c>
      <c r="E93" s="1122">
        <v>0.2</v>
      </c>
      <c r="F93" s="1137">
        <v>30</v>
      </c>
    </row>
    <row r="94" spans="1:6" s="1088" customFormat="1" ht="48">
      <c r="A94" s="1137">
        <v>34</v>
      </c>
      <c r="B94" s="3541"/>
      <c r="C94" s="1137" t="s">
        <v>1561</v>
      </c>
      <c r="D94" s="1051" t="s">
        <v>1562</v>
      </c>
      <c r="E94" s="1122">
        <v>0.2</v>
      </c>
      <c r="F94" s="1137">
        <v>30</v>
      </c>
    </row>
    <row r="95" spans="1:6" s="1088" customFormat="1" ht="36">
      <c r="A95" s="1137">
        <v>35</v>
      </c>
      <c r="B95" s="3541"/>
      <c r="C95" s="1137" t="s">
        <v>1563</v>
      </c>
      <c r="D95" s="1051" t="s">
        <v>1564</v>
      </c>
      <c r="E95" s="1122">
        <v>0.2</v>
      </c>
      <c r="F95" s="1137">
        <v>30</v>
      </c>
    </row>
    <row r="96" spans="1:6" s="1088" customFormat="1" ht="48">
      <c r="A96" s="1137">
        <v>36</v>
      </c>
      <c r="B96" s="3541"/>
      <c r="C96" s="1051" t="s">
        <v>1565</v>
      </c>
      <c r="D96" s="1051" t="s">
        <v>1566</v>
      </c>
      <c r="E96" s="1122">
        <v>0.2</v>
      </c>
      <c r="F96" s="1137">
        <v>30</v>
      </c>
    </row>
    <row r="97" spans="1:6" s="1088" customFormat="1" ht="36">
      <c r="A97" s="1137">
        <v>37</v>
      </c>
      <c r="B97" s="3541"/>
      <c r="C97" s="1137" t="s">
        <v>1567</v>
      </c>
      <c r="D97" s="1051" t="s">
        <v>1568</v>
      </c>
      <c r="E97" s="1122">
        <v>0.2</v>
      </c>
      <c r="F97" s="1137">
        <v>30</v>
      </c>
    </row>
    <row r="98" spans="1:6" s="1088" customFormat="1" ht="36">
      <c r="A98" s="1137">
        <v>38</v>
      </c>
      <c r="B98" s="3541"/>
      <c r="C98" s="1137" t="s">
        <v>1569</v>
      </c>
      <c r="D98" s="1051" t="s">
        <v>1570</v>
      </c>
      <c r="E98" s="1122">
        <v>0.2</v>
      </c>
      <c r="F98" s="1137">
        <v>30</v>
      </c>
    </row>
    <row r="99" spans="1:6" s="1088" customFormat="1" ht="36">
      <c r="A99" s="1137">
        <v>39</v>
      </c>
      <c r="B99" s="3541" t="s">
        <v>1571</v>
      </c>
      <c r="C99" s="1137" t="s">
        <v>1572</v>
      </c>
      <c r="D99" s="1051" t="s">
        <v>1573</v>
      </c>
      <c r="E99" s="1122">
        <v>0.3</v>
      </c>
      <c r="F99" s="1137">
        <v>50</v>
      </c>
    </row>
    <row r="100" spans="1:6" s="1088" customFormat="1" ht="24">
      <c r="A100" s="1137">
        <v>40</v>
      </c>
      <c r="B100" s="3541"/>
      <c r="C100" s="1137" t="s">
        <v>1574</v>
      </c>
      <c r="D100" s="1051" t="s">
        <v>1575</v>
      </c>
      <c r="E100" s="1122">
        <v>0.2</v>
      </c>
      <c r="F100" s="1137">
        <v>30</v>
      </c>
    </row>
    <row r="101" spans="1:6" s="1088" customFormat="1" ht="36">
      <c r="A101" s="1137">
        <v>41</v>
      </c>
      <c r="B101" s="3541"/>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41" t="s">
        <v>1586</v>
      </c>
      <c r="C105" s="1137" t="s">
        <v>1587</v>
      </c>
      <c r="D105" s="1051" t="s">
        <v>1588</v>
      </c>
      <c r="E105" s="1122">
        <v>0.2</v>
      </c>
      <c r="F105" s="1137">
        <v>30</v>
      </c>
    </row>
    <row r="106" spans="1:6" s="1088" customFormat="1" ht="36">
      <c r="A106" s="1137">
        <v>46</v>
      </c>
      <c r="B106" s="3541"/>
      <c r="C106" s="1137" t="s">
        <v>1589</v>
      </c>
      <c r="D106" s="1051" t="s">
        <v>1590</v>
      </c>
      <c r="E106" s="1122">
        <v>0.2</v>
      </c>
      <c r="F106" s="1137">
        <v>30</v>
      </c>
    </row>
    <row r="107" spans="1:6" s="1088" customFormat="1" ht="36">
      <c r="A107" s="1137">
        <v>47</v>
      </c>
      <c r="B107" s="3541" t="s">
        <v>1591</v>
      </c>
      <c r="C107" s="1137" t="s">
        <v>1592</v>
      </c>
      <c r="D107" s="1051" t="s">
        <v>1593</v>
      </c>
      <c r="E107" s="1122">
        <v>0.3</v>
      </c>
      <c r="F107" s="1137">
        <v>50</v>
      </c>
    </row>
    <row r="108" spans="1:6" s="1088" customFormat="1" ht="36">
      <c r="A108" s="1137">
        <v>48</v>
      </c>
      <c r="B108" s="3541"/>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41" t="s">
        <v>1602</v>
      </c>
      <c r="C111" s="1137" t="s">
        <v>1603</v>
      </c>
      <c r="D111" s="1051" t="s">
        <v>1604</v>
      </c>
      <c r="E111" s="1122">
        <v>0.2</v>
      </c>
      <c r="F111" s="1137">
        <v>30</v>
      </c>
    </row>
    <row r="112" spans="1:6" s="1088" customFormat="1" ht="24">
      <c r="A112" s="1137">
        <v>52</v>
      </c>
      <c r="B112" s="3541"/>
      <c r="C112" s="1137" t="s">
        <v>1605</v>
      </c>
      <c r="D112" s="1051" t="s">
        <v>1606</v>
      </c>
      <c r="E112" s="1122">
        <v>0.2</v>
      </c>
      <c r="F112" s="1137">
        <v>30</v>
      </c>
    </row>
    <row r="113" spans="1:14" s="1088" customFormat="1" ht="24">
      <c r="A113" s="1137">
        <v>53</v>
      </c>
      <c r="B113" s="3541"/>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41" t="s">
        <v>1615</v>
      </c>
      <c r="C116" s="1137" t="s">
        <v>1616</v>
      </c>
      <c r="D116" s="1051" t="s">
        <v>1617</v>
      </c>
      <c r="E116" s="1122">
        <v>0.2</v>
      </c>
      <c r="F116" s="1137">
        <v>30</v>
      </c>
    </row>
    <row r="117" spans="1:14" ht="36">
      <c r="A117" s="1137">
        <v>57</v>
      </c>
      <c r="B117" s="3541"/>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40" t="s">
        <v>1624</v>
      </c>
      <c r="B121" s="3540"/>
      <c r="C121" s="3540"/>
      <c r="D121" s="3540"/>
      <c r="E121" s="3540"/>
      <c r="F121" s="3540"/>
      <c r="G121" s="3540"/>
      <c r="H121" s="3540"/>
      <c r="I121" s="3540"/>
      <c r="J121" s="3540"/>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2" t="s">
        <v>1030</v>
      </c>
      <c r="B1" s="3542"/>
      <c r="C1" s="3542"/>
      <c r="D1" s="3542"/>
      <c r="E1" s="3542"/>
      <c r="F1" s="3542"/>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3" t="s">
        <v>1043</v>
      </c>
      <c r="B2" s="3543"/>
      <c r="C2" s="3543"/>
      <c r="D2" s="3543"/>
      <c r="E2" s="3543"/>
      <c r="F2" s="3543"/>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4"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45"/>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46" t="s">
        <v>2068</v>
      </c>
      <c r="B1" s="3546"/>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C8" sqref="C8"/>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t="s">
        <v>3015</v>
      </c>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335510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60392</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2295</v>
      </c>
      <c r="D14" s="445"/>
      <c r="E14" s="363"/>
      <c r="F14" s="447">
        <f>'数据-取费表'!B33</f>
        <v>3.7999999999999999E-2</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5033</v>
      </c>
      <c r="D16" s="445">
        <f ca="1">IF(B1="",'数据-汇总表'!E3,INDIRECT("'数据-取费表'!K"&amp;$K$1)+INDIRECT("'数据-取费表'!S"&amp;$K$1))</f>
        <v>335510</v>
      </c>
      <c r="E16" s="53">
        <f>'数据-取费表'!B35</f>
        <v>150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906</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68626</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1373</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3045</v>
      </c>
      <c r="D21" s="461">
        <f ca="1">C23</f>
        <v>8.9999999999999998E-4</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3045</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7000</v>
      </c>
      <c r="D24" s="483">
        <f ca="1">C26</f>
        <v>2E-3</v>
      </c>
      <c r="E24" s="463" t="s">
        <v>501</v>
      </c>
      <c r="F24" s="473">
        <f ca="1">IF(B1="",'数据-取费表'!Q16,INDIRECT("'数据-取费表'!q"&amp;$K$1))</f>
        <v>0.1</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7000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2E-3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5.2400000000000002E-2</v>
      </c>
      <c r="D27" s="456" t="s">
        <v>2809</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86562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2937</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134204平方米。根据《建设工程规划许可证》[]、《出让合同》[]，估价对象规划建筑面积为335510平方米。</v>
      </c>
    </row>
    <row r="7" spans="1:4" ht="56.25">
      <c r="A7" s="1711" t="s">
        <v>2727</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2021年6月22日（评估专业人员勘察现场之日）</v>
      </c>
    </row>
    <row r="12" spans="1:4" ht="18.75">
      <c r="A12" s="1713" t="s">
        <v>2014</v>
      </c>
    </row>
    <row r="13" spans="1:4" ht="18.75">
      <c r="A13" s="1707" t="s">
        <v>2909</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根据《国有土地使用证》[]，估价对象（分摊）出让国有建设用地使用权面积为134204平方米。根据《建设工程规划许可证》[]、《出让合同》[]，估价对象规划建筑面积为335510平方米。</v>
      </c>
    </row>
    <row r="21" spans="1:1" ht="18.75">
      <c r="A21" s="1707" t="s">
        <v>2063</v>
      </c>
    </row>
    <row r="22" spans="1:1" ht="9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2060年2月5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6月22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7"/>
  <sheetViews>
    <sheetView zoomScale="80" zoomScaleNormal="80" workbookViewId="0">
      <selection activeCell="W6" sqref="W6"/>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4" t="s">
        <v>2556</v>
      </c>
      <c r="C1" s="3554"/>
      <c r="D1" s="3554"/>
      <c r="E1" s="3554"/>
      <c r="F1" s="3554"/>
      <c r="G1" s="3553" t="s">
        <v>2557</v>
      </c>
      <c r="H1" s="3553"/>
      <c r="I1" s="3553"/>
      <c r="J1" s="3553"/>
      <c r="K1" s="3553"/>
      <c r="L1" s="3553"/>
      <c r="N1" s="3553" t="s">
        <v>2558</v>
      </c>
      <c r="O1" s="3553"/>
      <c r="P1" s="3553"/>
      <c r="Q1" s="3553"/>
      <c r="S1" s="3553" t="s">
        <v>2559</v>
      </c>
      <c r="T1" s="3553"/>
      <c r="U1" s="3553"/>
      <c r="V1" s="3553"/>
      <c r="X1" s="3552" t="s">
        <v>2619</v>
      </c>
      <c r="Y1" s="3553"/>
      <c r="Z1" s="3553"/>
      <c r="AA1" s="3553"/>
      <c r="AB1" s="3553"/>
      <c r="AD1" s="3552" t="s">
        <v>2623</v>
      </c>
      <c r="AE1" s="3553"/>
      <c r="AF1" s="3553"/>
      <c r="AG1" s="3553"/>
      <c r="AH1" s="3553"/>
    </row>
    <row r="2" spans="1:34" s="2865" customFormat="1" ht="14.25" thickBot="1">
      <c r="B2" s="2866" t="s">
        <v>2560</v>
      </c>
      <c r="C2" s="2866" t="s">
        <v>2621</v>
      </c>
      <c r="D2" s="2867" t="s">
        <v>1635</v>
      </c>
      <c r="E2" s="2867" t="s">
        <v>1938</v>
      </c>
      <c r="F2" s="2866" t="s">
        <v>2622</v>
      </c>
      <c r="G2" s="2868"/>
      <c r="I2" s="2866" t="s">
        <v>2922</v>
      </c>
      <c r="J2" s="2867" t="s">
        <v>2924</v>
      </c>
      <c r="K2" s="2867" t="s">
        <v>2925</v>
      </c>
      <c r="L2" s="2866" t="s">
        <v>2926</v>
      </c>
      <c r="N2" s="2866" t="s">
        <v>2560</v>
      </c>
      <c r="O2" s="2867" t="s">
        <v>2923</v>
      </c>
      <c r="P2" s="2867" t="s">
        <v>1938</v>
      </c>
      <c r="Q2" s="2866" t="s">
        <v>2622</v>
      </c>
      <c r="S2" s="2866" t="s">
        <v>2560</v>
      </c>
      <c r="T2" s="2867" t="s">
        <v>2923</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2933</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Z31"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3004</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2934</v>
      </c>
      <c r="X5" s="2896">
        <f>ROUND(IF(项目基本情况!B4="出让",SUMPRODUCT(PRODUCT(1+N5:N$34)),SUMPRODUCT(PRODUCT(1+N5:N$33))),4)</f>
        <v>1.619</v>
      </c>
      <c r="Y5" s="2896">
        <f>ROUND(IF(项目基本情况!B4="出让",SUMPRODUCT(PRODUCT(1+O5:O$34)),SUMPRODUCT(PRODUCT(1+O5:O$33))),4)</f>
        <v>1.3491</v>
      </c>
      <c r="Z5" s="2896">
        <f t="shared" ref="Z5" si="11">Y5</f>
        <v>1.3491</v>
      </c>
      <c r="AA5" s="2896">
        <f>ROUND(IF(项目基本情况!B4="出让",SUMPRODUCT(PRODUCT(1+P5:P$34)),SUMPRODUCT(PRODUCT(1+P5:P$33))),4)</f>
        <v>1.6988000000000001</v>
      </c>
      <c r="AB5" s="2896">
        <f>ROUND(IF(项目基本情况!B4="出让",SUMPRODUCT(PRODUCT(1+Q5:Q$34)),SUMPRODUCT(PRODUCT(1+Q5:Q$33))),4)</f>
        <v>1.4315</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3003</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ROUND(IF(项目基本情况!B5="出让",SUMPRODUCT(PRODUCT(1+N6:N$34)),SUMPRODUCT(PRODUCT(1+N6:N$33))),4)</f>
        <v>1.619</v>
      </c>
      <c r="Y6" s="2886">
        <f>ROUND(IF(项目基本情况!B5="出让",SUMPRODUCT(PRODUCT(1+O6:O$34)),SUMPRODUCT(PRODUCT(1+O6:O$33))),4)</f>
        <v>1.3491</v>
      </c>
      <c r="Z6" s="2886">
        <f t="shared" ref="Z6" si="22">Y6</f>
        <v>1.3491</v>
      </c>
      <c r="AA6" s="2886">
        <f>ROUND(IF(项目基本情况!B5="出让",SUMPRODUCT(PRODUCT(1+P6:P$34)),SUMPRODUCT(PRODUCT(1+P6:P$33))),4)</f>
        <v>1.6988000000000001</v>
      </c>
      <c r="AB6" s="2886">
        <f>ROUND(IF(项目基本情况!B5="出让",SUMPRODUCT(PRODUCT(1+Q6:Q$34)),SUMPRODUCT(PRODUCT(1+Q6:Q$33))),4)</f>
        <v>1.4315</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3001</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ROUND(IF(项目基本情况!B6="出让",SUMPRODUCT(PRODUCT(1+N7:N$34)),SUMPRODUCT(PRODUCT(1+N7:N$33))),4)</f>
        <v>1.6034999999999999</v>
      </c>
      <c r="Y7" s="2886">
        <f>ROUND(IF(项目基本情况!B6="出让",SUMPRODUCT(PRODUCT(1+O7:O$34)),SUMPRODUCT(PRODUCT(1+O7:O$33))),4)</f>
        <v>1.3469</v>
      </c>
      <c r="Z7" s="2886">
        <f t="shared" ref="Z7" si="33">Y7</f>
        <v>1.3469</v>
      </c>
      <c r="AA7" s="2886">
        <f>ROUND(IF(项目基本情况!B6="出让",SUMPRODUCT(PRODUCT(1+P7:P$34)),SUMPRODUCT(PRODUCT(1+P7:P$33))),4)</f>
        <v>1.6801999999999999</v>
      </c>
      <c r="AB7" s="2886">
        <f>ROUND(IF(项目基本情况!B6="出让",SUMPRODUCT(PRODUCT(1+Q7:Q$34)),SUMPRODUCT(PRODUCT(1+Q7:Q$33))),4)</f>
        <v>1.4263999999999999</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3000</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ROUND(IF(项目基本情况!B7="出让",SUMPRODUCT(PRODUCT(1+N8:N$34)),SUMPRODUCT(PRODUCT(1+N8:N$33))),4)</f>
        <v>1.571</v>
      </c>
      <c r="Y8" s="2886">
        <f>ROUND(IF(项目基本情况!B7="出让",SUMPRODUCT(PRODUCT(1+O8:O$34)),SUMPRODUCT(PRODUCT(1+O8:O$33))),4)</f>
        <v>1.3420000000000001</v>
      </c>
      <c r="Z8" s="2886">
        <f t="shared" ref="Z8" si="44">Y8</f>
        <v>1.3420000000000001</v>
      </c>
      <c r="AA8" s="2886">
        <f>ROUND(IF(项目基本情况!B7="出让",SUMPRODUCT(PRODUCT(1+P8:P$34)),SUMPRODUCT(PRODUCT(1+P8:P$33))),4)</f>
        <v>1.6415999999999999</v>
      </c>
      <c r="AB8" s="2886">
        <f>ROUND(IF(项目基本情况!B7="出让",SUMPRODUCT(PRODUCT(1+Q8:Q$34)),SUMPRODUCT(PRODUCT(1+Q8:Q$33))),4)</f>
        <v>1.389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2963</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ROUND(IF(项目基本情况!B8="出让",SUMPRODUCT(PRODUCT(1+N9:N$34)),SUMPRODUCT(PRODUCT(1+N9:N$33))),4)</f>
        <v>1.5652999999999999</v>
      </c>
      <c r="Y9" s="2886">
        <f>ROUND(IF(项目基本情况!B8="出让",SUMPRODUCT(PRODUCT(1+O9:O$34)),SUMPRODUCT(PRODUCT(1+O9:O$33))),4)</f>
        <v>1.3472</v>
      </c>
      <c r="Z9" s="2886">
        <f t="shared" ref="Z9" si="55">Y9</f>
        <v>1.3472</v>
      </c>
      <c r="AA9" s="2886">
        <f>ROUND(IF(项目基本情况!B8="出让",SUMPRODUCT(PRODUCT(1+P9:P$34)),SUMPRODUCT(PRODUCT(1+P9:P$33))),4)</f>
        <v>1.6335999999999999</v>
      </c>
      <c r="AB9" s="2886">
        <f>ROUND(IF(项目基本情况!B8="出让",SUMPRODUCT(PRODUCT(1+Q9:Q$34)),SUMPRODUCT(PRODUCT(1+Q9:Q$33))),4)</f>
        <v>1.3880999999999999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2961</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ROUND(IF(项目基本情况!B8="出让",SUMPRODUCT(PRODUCT(1+N10:N$34)),SUMPRODUCT(PRODUCT(1+N10:N$33))),4)</f>
        <v>1.5605</v>
      </c>
      <c r="Y10" s="2886">
        <f>ROUND(IF(项目基本情况!B8="出让",SUMPRODUCT(PRODUCT(1+O10:O$34)),SUMPRODUCT(PRODUCT(1+O10:O$33))),4)</f>
        <v>1.3577999999999999</v>
      </c>
      <c r="Z10" s="2886">
        <f t="shared" ref="Z10" si="66">Y10</f>
        <v>1.3577999999999999</v>
      </c>
      <c r="AA10" s="2886">
        <f>ROUND(IF(项目基本情况!B8="出让",SUMPRODUCT(PRODUCT(1+P10:P$34)),SUMPRODUCT(PRODUCT(1+P10:P$33))),4)</f>
        <v>1.6254999999999999</v>
      </c>
      <c r="AB10" s="2886">
        <f>ROUND(IF(项目基本情况!B8="出让",SUMPRODUCT(PRODUCT(1+Q10:Q$34)),SUMPRODUCT(PRODUCT(1+Q10:Q$33))),4)</f>
        <v>1.3815999999999999</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2958</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ROUND(IF(项目基本情况!B8="出让",SUMPRODUCT(PRODUCT(1+N11:N$34)),SUMPRODUCT(PRODUCT(1+N11:N$33))),4)</f>
        <v>1.5586</v>
      </c>
      <c r="Y11" s="2886">
        <f>ROUND(IF(项目基本情况!B8="出让",SUMPRODUCT(PRODUCT(1+O11:O$34)),SUMPRODUCT(PRODUCT(1+O11:O$33))),4)</f>
        <v>1.3633</v>
      </c>
      <c r="Z11" s="2886">
        <f t="shared" ref="Z11" si="77">Y11</f>
        <v>1.3633</v>
      </c>
      <c r="AA11" s="2886">
        <f>ROUND(IF(项目基本情况!B8="出让",SUMPRODUCT(PRODUCT(1+P11:P$34)),SUMPRODUCT(PRODUCT(1+P11:P$33))),4)</f>
        <v>1.6221000000000001</v>
      </c>
      <c r="AB11" s="2886">
        <f>ROUND(IF(项目基本情况!B8="出让",SUMPRODUCT(PRODUCT(1+Q11:Q$34)),SUMPRODUCT(PRODUCT(1+Q11:Q$33))),4)</f>
        <v>1.3777999999999999</v>
      </c>
      <c r="AC11" s="2886"/>
      <c r="AD11" s="2887">
        <f>ROUND(AVERAGE(I11:I$34)/100,4)</f>
        <v>0.02</v>
      </c>
      <c r="AE11" s="2887">
        <f>ROUND(AVERAGE(J11:J$34)/100,4)</f>
        <v>1.4E-2</v>
      </c>
      <c r="AF11" s="2887">
        <f t="shared" ref="AF11" si="78">AE11</f>
        <v>1.4E-2</v>
      </c>
      <c r="AG11" s="2887">
        <f>ROUND(AVERAGE(K11:K$34)/100,4)</f>
        <v>2.1899999999999999E-2</v>
      </c>
      <c r="AH11" s="2887">
        <f>ROUND(AVERAGE(L11:L$34)/100,4)</f>
        <v>1.4E-2</v>
      </c>
    </row>
    <row r="12" spans="1:34" s="2905" customFormat="1" ht="13.5" thickBot="1">
      <c r="A12" s="2898" t="s">
        <v>2957</v>
      </c>
      <c r="B12" s="2899">
        <f t="shared" ref="B12" si="79">B13*(1+N12)</f>
        <v>477.19997390765138</v>
      </c>
      <c r="C12" s="2899">
        <f t="shared" ref="C12" si="80">C13*(1+O12)</f>
        <v>351.84874729536665</v>
      </c>
      <c r="D12" s="2899">
        <f t="shared" ref="D12" si="81">C12</f>
        <v>351.84874729536665</v>
      </c>
      <c r="E12" s="2899">
        <f t="shared" ref="E12" si="82">E13*(1+P12)</f>
        <v>682.29768951465201</v>
      </c>
      <c r="F12" s="2899">
        <f t="shared" ref="F12" si="83">F13*(1+Q12)</f>
        <v>315.26985675409043</v>
      </c>
      <c r="G12" s="2882">
        <v>2019</v>
      </c>
      <c r="H12" s="2900">
        <v>3</v>
      </c>
      <c r="I12" s="2900">
        <v>0.61</v>
      </c>
      <c r="J12" s="2900">
        <v>0.67</v>
      </c>
      <c r="K12" s="2900">
        <v>0.6</v>
      </c>
      <c r="L12" s="2906">
        <v>1.03</v>
      </c>
      <c r="M12" s="2886"/>
      <c r="N12" s="2901">
        <f t="shared" ref="N12" si="84">I12/100</f>
        <v>6.0999999999999995E-3</v>
      </c>
      <c r="O12" s="2887">
        <f t="shared" ref="O12" si="85">J12/100</f>
        <v>6.7000000000000002E-3</v>
      </c>
      <c r="P12" s="2887">
        <f t="shared" ref="P12" si="86">K12/100</f>
        <v>6.0000000000000001E-3</v>
      </c>
      <c r="Q12" s="2887">
        <f t="shared" ref="Q12" si="87">L12/100</f>
        <v>1.03E-2</v>
      </c>
      <c r="R12" s="2902"/>
      <c r="S12" s="2903"/>
      <c r="T12" s="2904"/>
      <c r="U12" s="2904"/>
      <c r="V12" s="2904"/>
      <c r="W12" s="2886"/>
      <c r="X12" s="2886">
        <f>ROUND(IF(项目基本情况!B8="出让",SUMPRODUCT(PRODUCT(1+N12:N$34)),SUMPRODUCT(PRODUCT(1+N12:N$33))),4)</f>
        <v>1.5516000000000001</v>
      </c>
      <c r="Y12" s="2886">
        <f>ROUND(IF(项目基本情况!B8="出让",SUMPRODUCT(PRODUCT(1+O12:O$34)),SUMPRODUCT(PRODUCT(1+O12:O$33))),4)</f>
        <v>1.3649</v>
      </c>
      <c r="Z12" s="2886">
        <f t="shared" ref="Z12" si="88">Y12</f>
        <v>1.3649</v>
      </c>
      <c r="AA12" s="2886">
        <f>ROUND(IF(项目基本情况!B8="出让",SUMPRODUCT(PRODUCT(1+P12:P$34)),SUMPRODUCT(PRODUCT(1+P12:P$33))),4)</f>
        <v>1.6133999999999999</v>
      </c>
      <c r="AB12" s="2886">
        <f>ROUND(IF(项目基本情况!B8="出让",SUMPRODUCT(PRODUCT(1+Q12:Q$34)),SUMPRODUCT(PRODUCT(1+Q12:Q$33))),4)</f>
        <v>1.3713</v>
      </c>
      <c r="AC12" s="2886"/>
      <c r="AD12" s="2887">
        <f>ROUND(AVERAGE(I12:I$34)/100,4)</f>
        <v>2.07E-2</v>
      </c>
      <c r="AE12" s="2887">
        <f>ROUND(AVERAGE(J12:J$34)/100,4)</f>
        <v>1.47E-2</v>
      </c>
      <c r="AF12" s="2887">
        <f t="shared" ref="AF12" si="89">AE12</f>
        <v>1.47E-2</v>
      </c>
      <c r="AG12" s="2887">
        <f>ROUND(AVERAGE(K12:K$34)/100,4)</f>
        <v>2.2599999999999999E-2</v>
      </c>
      <c r="AH12" s="2887">
        <f>ROUND(AVERAGE(L12:L$34)/100,4)</f>
        <v>1.44E-2</v>
      </c>
    </row>
    <row r="13" spans="1:34" s="2905" customFormat="1">
      <c r="A13" s="2898" t="s">
        <v>2954</v>
      </c>
      <c r="B13" s="2899">
        <f t="shared" ref="B13:B18" si="90">B14*(1+N13)</f>
        <v>474.30670301923408</v>
      </c>
      <c r="C13" s="2899">
        <f t="shared" ref="C13" si="91">C14*(1+O13)</f>
        <v>349.50705005996491</v>
      </c>
      <c r="D13" s="2899">
        <f t="shared" ref="D13" si="92">C13</f>
        <v>349.50705005996491</v>
      </c>
      <c r="E13" s="2899">
        <f t="shared" ref="E13" si="93">E14*(1+P13)</f>
        <v>678.22831959706957</v>
      </c>
      <c r="F13" s="2899">
        <f t="shared" ref="F13" si="94">F14*(1+Q13)</f>
        <v>312.0556832169558</v>
      </c>
      <c r="G13" s="2882">
        <v>2019</v>
      </c>
      <c r="H13" s="2907">
        <v>2</v>
      </c>
      <c r="I13" s="2907">
        <v>1.53</v>
      </c>
      <c r="J13" s="2907">
        <v>1.01</v>
      </c>
      <c r="K13" s="2907">
        <v>1.62</v>
      </c>
      <c r="L13" s="2908">
        <v>1.25</v>
      </c>
      <c r="M13" s="2886"/>
      <c r="N13" s="2901">
        <f t="shared" ref="N13" si="95">I13/100</f>
        <v>1.5300000000000001E-2</v>
      </c>
      <c r="O13" s="2887">
        <f t="shared" ref="O13" si="96">J13/100</f>
        <v>1.01E-2</v>
      </c>
      <c r="P13" s="2887">
        <f t="shared" ref="P13" si="97">K13/100</f>
        <v>1.6200000000000003E-2</v>
      </c>
      <c r="Q13" s="2887">
        <f t="shared" ref="Q13" si="98">L13/100</f>
        <v>1.2500000000000001E-2</v>
      </c>
      <c r="R13" s="2902"/>
      <c r="S13" s="2903"/>
      <c r="T13" s="2904"/>
      <c r="U13" s="2904"/>
      <c r="V13" s="2904"/>
      <c r="W13" s="2886"/>
      <c r="X13" s="2886">
        <f>ROUND(IF(项目基本情况!B8="出让",SUMPRODUCT(PRODUCT(1+N13:N$34)),SUMPRODUCT(PRODUCT(1+N13:N$33))),4)</f>
        <v>1.5422</v>
      </c>
      <c r="Y13" s="2886">
        <f>ROUND(IF(项目基本情况!B8="出让",SUMPRODUCT(PRODUCT(1+O13:O$34)),SUMPRODUCT(PRODUCT(1+O13:O$33))),4)</f>
        <v>1.3557999999999999</v>
      </c>
      <c r="Z13" s="2886">
        <f t="shared" ref="Z13" si="99">Y13</f>
        <v>1.3557999999999999</v>
      </c>
      <c r="AA13" s="2886">
        <f>ROUND(IF(项目基本情况!B8="出让",SUMPRODUCT(PRODUCT(1+P13:P$34)),SUMPRODUCT(PRODUCT(1+P13:P$33))),4)</f>
        <v>1.6036999999999999</v>
      </c>
      <c r="AB13" s="2886">
        <f>ROUND(IF(项目基本情况!B8="出让",SUMPRODUCT(PRODUCT(1+Q13:Q$34)),SUMPRODUCT(PRODUCT(1+Q13:Q$33))),4)</f>
        <v>1.3573</v>
      </c>
      <c r="AC13" s="2886"/>
      <c r="AD13" s="2887">
        <f>ROUND(AVERAGE(I13:I$34)/100,4)</f>
        <v>2.1299999999999999E-2</v>
      </c>
      <c r="AE13" s="2887">
        <f>ROUND(AVERAGE(J13:J$34)/100,4)</f>
        <v>1.4999999999999999E-2</v>
      </c>
      <c r="AF13" s="2887">
        <f t="shared" ref="AF13" si="100">AE13</f>
        <v>1.4999999999999999E-2</v>
      </c>
      <c r="AG13" s="2887">
        <f>ROUND(AVERAGE(K13:K$34)/100,4)</f>
        <v>2.3300000000000001E-2</v>
      </c>
      <c r="AH13" s="2887">
        <f>ROUND(AVERAGE(L13:L$34)/100,4)</f>
        <v>1.46E-2</v>
      </c>
    </row>
    <row r="14" spans="1:34" s="2905" customFormat="1" ht="13.5" thickBot="1">
      <c r="A14" s="2898" t="s">
        <v>2953</v>
      </c>
      <c r="B14" s="2899">
        <f t="shared" si="90"/>
        <v>467.15916775261894</v>
      </c>
      <c r="C14" s="2899">
        <f t="shared" ref="C14" si="101">C15*(1+O14)</f>
        <v>346.01232557169084</v>
      </c>
      <c r="D14" s="2899">
        <f t="shared" ref="D14" si="102">C14</f>
        <v>346.01232557169084</v>
      </c>
      <c r="E14" s="2899">
        <f t="shared" ref="E14" si="103">E15*(1+P14)</f>
        <v>667.41617752122568</v>
      </c>
      <c r="F14" s="2899">
        <f t="shared" ref="F14" si="104">F15*(1+Q14)</f>
        <v>308.20314391798104</v>
      </c>
      <c r="G14" s="2882">
        <v>2019</v>
      </c>
      <c r="H14" s="2900">
        <v>1</v>
      </c>
      <c r="I14" s="2900">
        <v>0.6</v>
      </c>
      <c r="J14" s="2900">
        <v>0.37</v>
      </c>
      <c r="K14" s="2900">
        <v>0.63</v>
      </c>
      <c r="L14" s="2906">
        <v>1.1299999999999999</v>
      </c>
      <c r="M14" s="2886"/>
      <c r="N14" s="2901">
        <f t="shared" ref="N14" si="105">I14/100</f>
        <v>6.0000000000000001E-3</v>
      </c>
      <c r="O14" s="2887">
        <f t="shared" ref="O14" si="106">J14/100</f>
        <v>3.7000000000000002E-3</v>
      </c>
      <c r="P14" s="2887">
        <f t="shared" ref="P14" si="107">K14/100</f>
        <v>6.3E-3</v>
      </c>
      <c r="Q14" s="2887">
        <f t="shared" ref="Q14" si="108">L14/100</f>
        <v>1.1299999999999999E-2</v>
      </c>
      <c r="R14" s="2902"/>
      <c r="S14" s="2903">
        <f>B14/B15-1</f>
        <v>6.0000000000000053E-3</v>
      </c>
      <c r="T14" s="2904">
        <f>C14/C15-1</f>
        <v>3.7000000000000366E-3</v>
      </c>
      <c r="U14" s="2904">
        <f>E14/E15-1</f>
        <v>6.2999999999999723E-3</v>
      </c>
      <c r="V14" s="2904">
        <f>F14/F15-1</f>
        <v>1.1300000000000088E-2</v>
      </c>
      <c r="W14" s="2886"/>
      <c r="X14" s="2886">
        <f>ROUND(IF(项目基本情况!B8="出让",SUMPRODUCT(PRODUCT(1+N14:N$34)),SUMPRODUCT(PRODUCT(1+N14:N$33))),4)</f>
        <v>1.5189999999999999</v>
      </c>
      <c r="Y14" s="2886">
        <f>ROUND(IF(项目基本情况!B8="出让",SUMPRODUCT(PRODUCT(1+O14:O$34)),SUMPRODUCT(PRODUCT(1+O14:O$33))),4)</f>
        <v>1.3423</v>
      </c>
      <c r="Z14" s="2886">
        <f t="shared" ref="Z14" si="109">Y14</f>
        <v>1.3423</v>
      </c>
      <c r="AA14" s="2886">
        <f>ROUND(IF(项目基本情况!B8="出让",SUMPRODUCT(PRODUCT(1+P14:P$34)),SUMPRODUCT(PRODUCT(1+P14:P$33))),4)</f>
        <v>1.5782</v>
      </c>
      <c r="AB14" s="2886">
        <f>ROUND(IF(项目基本情况!B8="出让",SUMPRODUCT(PRODUCT(1+Q14:Q$34)),SUMPRODUCT(PRODUCT(1+Q14:Q$33))),4)</f>
        <v>1.3405</v>
      </c>
      <c r="AC14" s="2886"/>
      <c r="AD14" s="2887">
        <f>ROUND(AVERAGE(I14:I$34)/100,4)</f>
        <v>2.1600000000000001E-2</v>
      </c>
      <c r="AE14" s="2887">
        <f>ROUND(AVERAGE(J14:J$34)/100,4)</f>
        <v>1.5299999999999999E-2</v>
      </c>
      <c r="AF14" s="2887">
        <f t="shared" ref="AF14" si="110">AE14</f>
        <v>1.5299999999999999E-2</v>
      </c>
      <c r="AG14" s="2887">
        <f>ROUND(AVERAGE(K14:K$34)/100,4)</f>
        <v>2.3699999999999999E-2</v>
      </c>
      <c r="AH14" s="2887">
        <f>ROUND(AVERAGE(L14:L$34)/100,4)</f>
        <v>1.47E-2</v>
      </c>
    </row>
    <row r="15" spans="1:34" s="2905" customFormat="1">
      <c r="A15" s="2898" t="s">
        <v>2950</v>
      </c>
      <c r="B15" s="2909">
        <f t="shared" si="90"/>
        <v>464.37293017158942</v>
      </c>
      <c r="C15" s="2909">
        <f t="shared" ref="C15" si="111">C16*(1+O15)</f>
        <v>344.73679941385956</v>
      </c>
      <c r="D15" s="2909">
        <f t="shared" ref="D15" si="112">C15</f>
        <v>344.73679941385956</v>
      </c>
      <c r="E15" s="2909">
        <f t="shared" ref="E15" si="113">E16*(1+P15)</f>
        <v>663.2377795103107</v>
      </c>
      <c r="F15" s="2910">
        <f t="shared" ref="F15" si="114">F16*(1+Q15)</f>
        <v>304.75936311478398</v>
      </c>
      <c r="G15" s="3548">
        <v>2018</v>
      </c>
      <c r="H15" s="2907">
        <v>4</v>
      </c>
      <c r="I15" s="2907">
        <v>0.96</v>
      </c>
      <c r="J15" s="2907">
        <v>1.03</v>
      </c>
      <c r="K15" s="2907">
        <v>0.92</v>
      </c>
      <c r="L15" s="2908">
        <v>1.29</v>
      </c>
      <c r="M15" s="2886"/>
      <c r="N15" s="2901">
        <f t="shared" ref="N15" si="115">I15/100</f>
        <v>9.5999999999999992E-3</v>
      </c>
      <c r="O15" s="2887">
        <f t="shared" ref="O15" si="116">J15/100</f>
        <v>1.03E-2</v>
      </c>
      <c r="P15" s="2887">
        <f t="shared" ref="P15" si="117">K15/100</f>
        <v>9.1999999999999998E-3</v>
      </c>
      <c r="Q15" s="2887">
        <f t="shared" ref="Q15" si="118">L15/100</f>
        <v>1.29E-2</v>
      </c>
      <c r="R15" s="2902"/>
      <c r="S15" s="2911"/>
      <c r="T15" s="2912"/>
      <c r="U15" s="2912"/>
      <c r="V15" s="2912"/>
      <c r="W15" s="2886"/>
      <c r="X15" s="2886">
        <f>ROUND(SUMPRODUCT(PRODUCT(1+N15:N$33)),4)</f>
        <v>1.5099</v>
      </c>
      <c r="Y15" s="2886">
        <f>ROUND(SUMPRODUCT(PRODUCT(1+O15:O$33)),4)</f>
        <v>1.3372999999999999</v>
      </c>
      <c r="Z15" s="2886">
        <f t="shared" ref="Z15" si="119">Y15</f>
        <v>1.3372999999999999</v>
      </c>
      <c r="AA15" s="2886">
        <f>ROUND(SUMPRODUCT(PRODUCT(1+P15:P$33)),4)</f>
        <v>1.5683</v>
      </c>
      <c r="AB15" s="2886">
        <f>ROUND(SUMPRODUCT(PRODUCT(1+Q15:Q$33)),4)</f>
        <v>1.3255999999999999</v>
      </c>
      <c r="AC15" s="2886"/>
      <c r="AD15" s="2887">
        <f>ROUND(AVERAGE(I15:I$34)/100,4)</f>
        <v>2.24E-2</v>
      </c>
      <c r="AE15" s="2887">
        <f>ROUND(AVERAGE(J15:J$34)/100,4)</f>
        <v>1.5800000000000002E-2</v>
      </c>
      <c r="AF15" s="2887">
        <f t="shared" ref="AF15" si="120">AE15</f>
        <v>1.5800000000000002E-2</v>
      </c>
      <c r="AG15" s="2887">
        <f>ROUND(AVERAGE(K15:K$34)/100,4)</f>
        <v>2.4500000000000001E-2</v>
      </c>
      <c r="AH15" s="2887">
        <f>ROUND(AVERAGE(L15:L$34)/100,4)</f>
        <v>1.49E-2</v>
      </c>
    </row>
    <row r="16" spans="1:34" s="2905" customFormat="1" ht="14.45" customHeight="1">
      <c r="A16" s="2898" t="s">
        <v>2943</v>
      </c>
      <c r="B16" s="2899">
        <f t="shared" si="90"/>
        <v>459.95733971036987</v>
      </c>
      <c r="C16" s="2899">
        <f t="shared" ref="C16" si="121">C17*(1+O16)</f>
        <v>341.22221064422405</v>
      </c>
      <c r="D16" s="2899">
        <f t="shared" ref="D16" si="122">C16</f>
        <v>341.22221064422405</v>
      </c>
      <c r="E16" s="2899">
        <f t="shared" ref="E16" si="123">E17*(1+P16)</f>
        <v>657.19161663724799</v>
      </c>
      <c r="F16" s="2899">
        <f t="shared" ref="F16" si="124">F17*(1+Q16)</f>
        <v>300.87803644464805</v>
      </c>
      <c r="G16" s="3548"/>
      <c r="H16" s="2900">
        <v>3</v>
      </c>
      <c r="I16" s="2900">
        <v>1.51</v>
      </c>
      <c r="J16" s="2900">
        <v>1.41</v>
      </c>
      <c r="K16" s="2900">
        <v>1.52</v>
      </c>
      <c r="L16" s="2906">
        <v>1.74</v>
      </c>
      <c r="M16" s="2886"/>
      <c r="N16" s="2901">
        <f t="shared" ref="N16" si="125">I16/100</f>
        <v>1.5100000000000001E-2</v>
      </c>
      <c r="O16" s="2887">
        <f t="shared" ref="O16" si="126">J16/100</f>
        <v>1.41E-2</v>
      </c>
      <c r="P16" s="2887">
        <f t="shared" ref="P16" si="127">K16/100</f>
        <v>1.52E-2</v>
      </c>
      <c r="Q16" s="2887">
        <f t="shared" ref="Q16" si="128">L16/100</f>
        <v>1.7399999999999999E-2</v>
      </c>
      <c r="R16" s="2902"/>
      <c r="S16" s="2901"/>
      <c r="T16" s="2887"/>
      <c r="U16" s="2887"/>
      <c r="V16" s="2887"/>
      <c r="W16" s="2886"/>
      <c r="X16" s="2886">
        <f>ROUND(SUMPRODUCT(PRODUCT(1+N16:N$33)),4)</f>
        <v>1.4956</v>
      </c>
      <c r="Y16" s="2886">
        <f>ROUND(SUMPRODUCT(PRODUCT(1+O16:O$33)),4)</f>
        <v>1.3237000000000001</v>
      </c>
      <c r="Z16" s="2886">
        <f t="shared" ref="Z16" si="129">Y16</f>
        <v>1.3237000000000001</v>
      </c>
      <c r="AA16" s="2886">
        <f>ROUND(SUMPRODUCT(PRODUCT(1+P16:P$33)),4)</f>
        <v>1.554</v>
      </c>
      <c r="AB16" s="2886">
        <f>ROUND(SUMPRODUCT(PRODUCT(1+Q16:Q$33)),4)</f>
        <v>1.3087</v>
      </c>
      <c r="AC16" s="2886"/>
      <c r="AD16" s="2887">
        <f>ROUND(AVERAGE(I16:I$34)/100,4)</f>
        <v>2.3099999999999999E-2</v>
      </c>
      <c r="AE16" s="2887">
        <f>ROUND(AVERAGE(J16:J$34)/100,4)</f>
        <v>1.61E-2</v>
      </c>
      <c r="AF16" s="2887">
        <f t="shared" ref="AF16" si="130">AE16</f>
        <v>1.61E-2</v>
      </c>
      <c r="AG16" s="2887">
        <f>ROUND(AVERAGE(K16:K$34)/100,4)</f>
        <v>2.53E-2</v>
      </c>
      <c r="AH16" s="2887">
        <f>ROUND(AVERAGE(L16:L$34)/100,4)</f>
        <v>1.4999999999999999E-2</v>
      </c>
    </row>
    <row r="17" spans="1:34" s="2905" customFormat="1" ht="14.45" customHeight="1">
      <c r="A17" s="2898" t="s">
        <v>2944</v>
      </c>
      <c r="B17" s="2899">
        <f t="shared" si="90"/>
        <v>453.11529869999993</v>
      </c>
      <c r="C17" s="2899">
        <f t="shared" ref="C17" si="131">C18*(1+O17)</f>
        <v>336.47787264000004</v>
      </c>
      <c r="D17" s="2899">
        <f t="shared" ref="D17" si="132">C17</f>
        <v>336.47787264000004</v>
      </c>
      <c r="E17" s="2899">
        <f t="shared" ref="E17" si="133">E18*(1+P17)</f>
        <v>647.35186823999993</v>
      </c>
      <c r="F17" s="2899">
        <f t="shared" ref="F17" si="134">F18*(1+Q17)</f>
        <v>295.73229452000004</v>
      </c>
      <c r="G17" s="3548"/>
      <c r="H17" s="2913">
        <v>2</v>
      </c>
      <c r="I17" s="2913">
        <v>1.49</v>
      </c>
      <c r="J17" s="2913">
        <v>0.96</v>
      </c>
      <c r="K17" s="2913">
        <v>1.58</v>
      </c>
      <c r="L17" s="2914">
        <v>2.44</v>
      </c>
      <c r="M17" s="2886"/>
      <c r="N17" s="2901">
        <f t="shared" ref="N17" si="135">I17/100</f>
        <v>1.49E-2</v>
      </c>
      <c r="O17" s="2887">
        <f t="shared" ref="O17" si="136">J17/100</f>
        <v>9.5999999999999992E-3</v>
      </c>
      <c r="P17" s="2887">
        <f t="shared" ref="P17" si="137">K17/100</f>
        <v>1.5800000000000002E-2</v>
      </c>
      <c r="Q17" s="2887">
        <f t="shared" ref="Q17" si="138">L17/100</f>
        <v>2.4399999999999998E-2</v>
      </c>
      <c r="R17" s="2902"/>
      <c r="S17" s="2901"/>
      <c r="T17" s="2887"/>
      <c r="U17" s="2887"/>
      <c r="V17" s="2887"/>
      <c r="W17" s="2886"/>
      <c r="X17" s="2886">
        <f>ROUND(SUMPRODUCT(PRODUCT(1+N17:N$33)),4)</f>
        <v>1.4733000000000001</v>
      </c>
      <c r="Y17" s="2886">
        <f>ROUND(SUMPRODUCT(PRODUCT(1+O17:O$33)),4)</f>
        <v>1.3052999999999999</v>
      </c>
      <c r="Z17" s="2886">
        <f t="shared" ref="Z17" si="139">Y17</f>
        <v>1.3052999999999999</v>
      </c>
      <c r="AA17" s="2886">
        <f>ROUND(SUMPRODUCT(PRODUCT(1+P17:P$33)),4)</f>
        <v>1.5306999999999999</v>
      </c>
      <c r="AB17" s="2886">
        <f>ROUND(SUMPRODUCT(PRODUCT(1+Q17:Q$33)),4)</f>
        <v>1.2863</v>
      </c>
      <c r="AC17" s="2886"/>
      <c r="AD17" s="2887">
        <f>ROUND(AVERAGE(I17:I$34)/100,4)</f>
        <v>2.35E-2</v>
      </c>
      <c r="AE17" s="2887">
        <f>ROUND(AVERAGE(J17:J$34)/100,4)</f>
        <v>1.6199999999999999E-2</v>
      </c>
      <c r="AF17" s="2887">
        <f t="shared" ref="AF17" si="140">AE17</f>
        <v>1.6199999999999999E-2</v>
      </c>
      <c r="AG17" s="2887">
        <f>ROUND(AVERAGE(K17:K$34)/100,4)</f>
        <v>2.5899999999999999E-2</v>
      </c>
      <c r="AH17" s="2887">
        <f>ROUND(AVERAGE(L17:L$34)/100,4)</f>
        <v>1.49E-2</v>
      </c>
    </row>
    <row r="18" spans="1:34" s="2905" customFormat="1" ht="15" customHeight="1" thickBot="1">
      <c r="A18" s="2898" t="s">
        <v>2940</v>
      </c>
      <c r="B18" s="2899">
        <f t="shared" si="90"/>
        <v>446.46299999999997</v>
      </c>
      <c r="C18" s="2899">
        <f t="shared" ref="C18" si="141">C19*(1+O18)</f>
        <v>333.27840000000003</v>
      </c>
      <c r="D18" s="2899">
        <f t="shared" ref="D18:D23" si="142">C18</f>
        <v>333.27840000000003</v>
      </c>
      <c r="E18" s="2899">
        <f t="shared" ref="E18" si="143">E19*(1+P18)</f>
        <v>637.28279999999995</v>
      </c>
      <c r="F18" s="2899">
        <f t="shared" ref="F18" si="144">F19*(1+Q18)</f>
        <v>288.68830000000003</v>
      </c>
      <c r="G18" s="3549"/>
      <c r="H18" s="2900">
        <v>1</v>
      </c>
      <c r="I18" s="2900">
        <v>1.7</v>
      </c>
      <c r="J18" s="2900">
        <v>1.92</v>
      </c>
      <c r="K18" s="2900">
        <v>1.64</v>
      </c>
      <c r="L18" s="2906">
        <v>2.0099999999999998</v>
      </c>
      <c r="M18" s="2886"/>
      <c r="N18" s="2901">
        <f t="shared" ref="N18:N23" si="145">I18/100</f>
        <v>1.7000000000000001E-2</v>
      </c>
      <c r="O18" s="2887">
        <f t="shared" ref="O18" si="146">J18/100</f>
        <v>1.9199999999999998E-2</v>
      </c>
      <c r="P18" s="2887">
        <f t="shared" ref="P18" si="147">K18/100</f>
        <v>1.6399999999999998E-2</v>
      </c>
      <c r="Q18" s="2887">
        <f t="shared" ref="Q18" si="148">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ROUND(SUMPRODUCT(PRODUCT(1+N18:N$33)),4)</f>
        <v>1.4517</v>
      </c>
      <c r="Y18" s="2886">
        <f>ROUND(SUMPRODUCT(PRODUCT(1+O18:O$33)),4)</f>
        <v>1.2928999999999999</v>
      </c>
      <c r="Z18" s="2886">
        <f t="shared" ref="Z18" si="149">Y18</f>
        <v>1.2928999999999999</v>
      </c>
      <c r="AA18" s="2886">
        <f>ROUND(SUMPRODUCT(PRODUCT(1+P18:P$33)),4)</f>
        <v>1.5068999999999999</v>
      </c>
      <c r="AB18" s="2886">
        <f>ROUND(SUMPRODUCT(PRODUCT(1+Q18:Q$33)),4)</f>
        <v>1.2557</v>
      </c>
      <c r="AC18" s="2886"/>
      <c r="AD18" s="2887">
        <f>ROUND(AVERAGE(I18:I$34)/100,4)</f>
        <v>2.4E-2</v>
      </c>
      <c r="AE18" s="2887">
        <f>ROUND(AVERAGE(J18:J$34)/100,4)</f>
        <v>1.66E-2</v>
      </c>
      <c r="AF18" s="2887">
        <f t="shared" ref="AF18" si="150">AE18</f>
        <v>1.66E-2</v>
      </c>
      <c r="AG18" s="2887">
        <f>ROUND(AVERAGE(K18:K$34)/100,4)</f>
        <v>2.6499999999999999E-2</v>
      </c>
      <c r="AH18" s="2887">
        <f>ROUND(AVERAGE(L18:L$34)/100,4)</f>
        <v>1.43E-2</v>
      </c>
    </row>
    <row r="19" spans="1:34">
      <c r="A19" s="2898" t="s">
        <v>2932</v>
      </c>
      <c r="B19" s="2915">
        <v>439</v>
      </c>
      <c r="C19" s="2915">
        <v>327</v>
      </c>
      <c r="D19" s="2915">
        <f t="shared" si="142"/>
        <v>327</v>
      </c>
      <c r="E19" s="2915">
        <v>627</v>
      </c>
      <c r="F19" s="2916">
        <v>283</v>
      </c>
      <c r="G19" s="3547">
        <v>2017</v>
      </c>
      <c r="H19" s="2907">
        <v>4</v>
      </c>
      <c r="I19" s="2907">
        <v>1.71</v>
      </c>
      <c r="J19" s="2907">
        <v>1.78</v>
      </c>
      <c r="K19" s="2907">
        <v>1.71</v>
      </c>
      <c r="L19" s="2908">
        <v>1.43</v>
      </c>
      <c r="N19" s="2917">
        <f t="shared" si="145"/>
        <v>1.7100000000000001E-2</v>
      </c>
      <c r="O19" s="2918">
        <f t="shared" ref="O19" si="151">J19/100</f>
        <v>1.78E-2</v>
      </c>
      <c r="P19" s="2918">
        <f t="shared" ref="P19" si="152">K19/100</f>
        <v>1.7100000000000001E-2</v>
      </c>
      <c r="Q19" s="2918">
        <f t="shared" ref="Q19" si="153">L19/100</f>
        <v>1.43E-2</v>
      </c>
      <c r="R19" s="2902"/>
      <c r="S19" s="2911"/>
      <c r="T19" s="2912"/>
      <c r="U19" s="2912"/>
      <c r="V19" s="2912"/>
      <c r="X19" s="2886">
        <f>ROUND(SUMPRODUCT(PRODUCT(1+N19:N$33)),4)</f>
        <v>1.4274</v>
      </c>
      <c r="Y19" s="2886">
        <f>ROUND(SUMPRODUCT(PRODUCT(1+O19:O$33)),4)</f>
        <v>1.2685</v>
      </c>
      <c r="Z19" s="2886">
        <f t="shared" si="0"/>
        <v>1.2685</v>
      </c>
      <c r="AA19" s="2886">
        <f>ROUND(SUMPRODUCT(PRODUCT(1+P19:P$33)),4)</f>
        <v>1.4825999999999999</v>
      </c>
      <c r="AB19" s="2886">
        <f>ROUND(SUMPRODUCT(PRODUCT(1+Q19:Q$33)),4)</f>
        <v>1.2309000000000001</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2935</v>
      </c>
      <c r="B20" s="2899">
        <f t="shared" ref="B20:C22" si="154">B21*(1+N20)</f>
        <v>431.80730811680002</v>
      </c>
      <c r="C20" s="2899">
        <f t="shared" si="154"/>
        <v>320.57880516480003</v>
      </c>
      <c r="D20" s="2899">
        <f t="shared" si="142"/>
        <v>320.57880516480003</v>
      </c>
      <c r="E20" s="2899">
        <f t="shared" ref="E20:F22" si="155">E21*(1+P20)</f>
        <v>615.96110553196797</v>
      </c>
      <c r="F20" s="2899">
        <f t="shared" si="155"/>
        <v>279.46777300108801</v>
      </c>
      <c r="G20" s="3548"/>
      <c r="H20" s="2900">
        <v>3</v>
      </c>
      <c r="I20" s="2900">
        <v>2.98</v>
      </c>
      <c r="J20" s="2900">
        <v>2.11</v>
      </c>
      <c r="K20" s="2900">
        <v>3.24</v>
      </c>
      <c r="L20" s="2906">
        <v>1.72</v>
      </c>
      <c r="M20" s="2886"/>
      <c r="N20" s="2901">
        <f t="shared" si="145"/>
        <v>2.98E-2</v>
      </c>
      <c r="O20" s="2919">
        <f t="shared" ref="O20:O21" si="156">J20/100</f>
        <v>2.1099999999999997E-2</v>
      </c>
      <c r="P20" s="2919">
        <f t="shared" ref="P20:P21" si="157">K20/100</f>
        <v>3.2400000000000005E-2</v>
      </c>
      <c r="Q20" s="2919">
        <f t="shared" ref="Q20:Q21" si="158">L20/100</f>
        <v>1.72E-2</v>
      </c>
      <c r="R20" s="2902"/>
      <c r="S20" s="2901"/>
      <c r="T20" s="2887"/>
      <c r="U20" s="2887"/>
      <c r="V20" s="2887"/>
      <c r="W20" s="2886"/>
      <c r="X20" s="2886">
        <f>ROUND(SUMPRODUCT(PRODUCT(1+N20:N$33)),4)</f>
        <v>1.4034</v>
      </c>
      <c r="Y20" s="2886">
        <f>ROUND(SUMPRODUCT(PRODUCT(1+O20:O$33)),4)</f>
        <v>1.2463</v>
      </c>
      <c r="Z20" s="2886">
        <f t="shared" si="0"/>
        <v>1.2463</v>
      </c>
      <c r="AA20" s="2886">
        <f>ROUND(SUMPRODUCT(PRODUCT(1+P20:P$33)),4)</f>
        <v>1.4577</v>
      </c>
      <c r="AB20" s="2886">
        <f>ROUND(SUMPRODUCT(PRODUCT(1+Q20:Q$33)),4)</f>
        <v>1.2136</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2561</v>
      </c>
      <c r="B21" s="2899">
        <f t="shared" si="154"/>
        <v>419.31181600000002</v>
      </c>
      <c r="C21" s="2899">
        <f t="shared" si="154"/>
        <v>313.95436800000004</v>
      </c>
      <c r="D21" s="2899">
        <f t="shared" si="142"/>
        <v>313.95436800000004</v>
      </c>
      <c r="E21" s="2899">
        <f t="shared" si="155"/>
        <v>596.63028431999999</v>
      </c>
      <c r="F21" s="2899">
        <f t="shared" si="155"/>
        <v>274.74220703999998</v>
      </c>
      <c r="G21" s="3548"/>
      <c r="H21" s="2913">
        <v>2</v>
      </c>
      <c r="I21" s="2913">
        <v>3.4</v>
      </c>
      <c r="J21" s="2913">
        <v>2</v>
      </c>
      <c r="K21" s="2913">
        <v>3.82</v>
      </c>
      <c r="L21" s="2914">
        <v>1.68</v>
      </c>
      <c r="N21" s="2901">
        <f t="shared" si="145"/>
        <v>3.4000000000000002E-2</v>
      </c>
      <c r="O21" s="2919">
        <f t="shared" si="156"/>
        <v>0.02</v>
      </c>
      <c r="P21" s="2919">
        <f t="shared" si="157"/>
        <v>3.8199999999999998E-2</v>
      </c>
      <c r="Q21" s="2919">
        <f t="shared" si="158"/>
        <v>1.6799999999999999E-2</v>
      </c>
      <c r="S21" s="2901"/>
      <c r="T21" s="2887"/>
      <c r="U21" s="2887"/>
      <c r="V21" s="2887"/>
      <c r="X21" s="2886">
        <f>ROUND(SUMPRODUCT(PRODUCT(1+N21:N$33)),4)</f>
        <v>1.3628</v>
      </c>
      <c r="Y21" s="2886">
        <f>ROUND(SUMPRODUCT(PRODUCT(1+O21:O$33)),4)</f>
        <v>1.2205999999999999</v>
      </c>
      <c r="Z21" s="2886">
        <f t="shared" si="0"/>
        <v>1.2205999999999999</v>
      </c>
      <c r="AA21" s="2886">
        <f>ROUND(SUMPRODUCT(PRODUCT(1+P21:P$33)),4)</f>
        <v>1.4118999999999999</v>
      </c>
      <c r="AB21" s="2886">
        <f>ROUND(SUMPRODUCT(PRODUCT(1+Q21:Q$33)),4)</f>
        <v>1.1930000000000001</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2562</v>
      </c>
      <c r="B22" s="2899">
        <f t="shared" si="154"/>
        <v>405.524</v>
      </c>
      <c r="C22" s="2899">
        <f t="shared" si="154"/>
        <v>307.79840000000002</v>
      </c>
      <c r="D22" s="2899">
        <f t="shared" si="142"/>
        <v>307.79840000000002</v>
      </c>
      <c r="E22" s="2899">
        <f t="shared" si="155"/>
        <v>574.67759999999998</v>
      </c>
      <c r="F22" s="2899">
        <f t="shared" si="155"/>
        <v>270.20280000000002</v>
      </c>
      <c r="G22" s="3549"/>
      <c r="H22" s="2900">
        <v>1</v>
      </c>
      <c r="I22" s="2900">
        <v>3.45</v>
      </c>
      <c r="J22" s="2900">
        <v>1.92</v>
      </c>
      <c r="K22" s="2900">
        <v>3.92</v>
      </c>
      <c r="L22" s="2906">
        <v>1.58</v>
      </c>
      <c r="M22" s="2886"/>
      <c r="N22" s="2903">
        <f t="shared" si="145"/>
        <v>3.4500000000000003E-2</v>
      </c>
      <c r="O22" s="2904">
        <f t="shared" ref="O22" si="159">J22/100</f>
        <v>1.9199999999999998E-2</v>
      </c>
      <c r="P22" s="2904">
        <f t="shared" ref="P22" si="160">K22/100</f>
        <v>3.9199999999999999E-2</v>
      </c>
      <c r="Q22" s="2904">
        <f t="shared" ref="Q22" si="161">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ROUND(SUMPRODUCT(PRODUCT(1+N22:N$33)),4)</f>
        <v>1.3180000000000001</v>
      </c>
      <c r="Y22" s="2886">
        <f>ROUND(SUMPRODUCT(PRODUCT(1+O22:O$33)),4)</f>
        <v>1.1966000000000001</v>
      </c>
      <c r="Z22" s="2886">
        <f t="shared" si="0"/>
        <v>1.1966000000000001</v>
      </c>
      <c r="AA22" s="2886">
        <f>ROUND(SUMPRODUCT(PRODUCT(1+P22:P$33)),4)</f>
        <v>1.36</v>
      </c>
      <c r="AB22" s="2886">
        <f>ROUND(SUMPRODUCT(PRODUCT(1+Q22:Q$33)),4)</f>
        <v>1.1733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42"/>
        <v>302</v>
      </c>
      <c r="E23" s="2920">
        <v>553</v>
      </c>
      <c r="F23" s="2921">
        <v>266</v>
      </c>
      <c r="G23" s="3547">
        <v>2016</v>
      </c>
      <c r="H23" s="2907">
        <v>4</v>
      </c>
      <c r="I23" s="2907">
        <v>4.5599999999999996</v>
      </c>
      <c r="J23" s="2907">
        <v>2.15</v>
      </c>
      <c r="K23" s="2907">
        <v>5.32</v>
      </c>
      <c r="L23" s="2908">
        <v>1.57</v>
      </c>
      <c r="N23" s="2901">
        <f t="shared" si="145"/>
        <v>4.5599999999999995E-2</v>
      </c>
      <c r="O23" s="2887">
        <f t="shared" ref="O23:Q38" si="162">J23/100</f>
        <v>2.1499999999999998E-2</v>
      </c>
      <c r="P23" s="2887">
        <f t="shared" si="162"/>
        <v>5.3200000000000004E-2</v>
      </c>
      <c r="Q23" s="2887">
        <f t="shared" si="162"/>
        <v>1.5700000000000002E-2</v>
      </c>
      <c r="R23" s="2902"/>
      <c r="S23" s="2911"/>
      <c r="T23" s="2912"/>
      <c r="U23" s="2912"/>
      <c r="V23" s="2912"/>
      <c r="X23" s="2886">
        <f>ROUND(SUMPRODUCT(PRODUCT(1+N23:N$33)),4)</f>
        <v>1.274</v>
      </c>
      <c r="Y23" s="2886">
        <f>ROUND(SUMPRODUCT(PRODUCT(1+O23:O$33)),4)</f>
        <v>1.1740999999999999</v>
      </c>
      <c r="Z23" s="2886">
        <f t="shared" si="0"/>
        <v>1.1740999999999999</v>
      </c>
      <c r="AA23" s="2886">
        <f>ROUND(SUMPRODUCT(PRODUCT(1+P23:P$33)),4)</f>
        <v>1.3087</v>
      </c>
      <c r="AB23" s="2886">
        <f>ROUND(SUMPRODUCT(PRODUCT(1+Q23:Q$33)),4)</f>
        <v>1.1551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63">B23/(1+N23)</f>
        <v>374.90436113236416</v>
      </c>
      <c r="C24" s="2899">
        <f t="shared" si="163"/>
        <v>295.64366128242779</v>
      </c>
      <c r="D24" s="2899">
        <f t="shared" ref="D24:D83" si="164">C24</f>
        <v>295.64366128242779</v>
      </c>
      <c r="E24" s="2899">
        <f t="shared" ref="E24:F26" si="165">E23/(1+P23)</f>
        <v>525.06646410938095</v>
      </c>
      <c r="F24" s="2899">
        <f t="shared" si="165"/>
        <v>261.88835286009646</v>
      </c>
      <c r="G24" s="3548"/>
      <c r="H24" s="2900">
        <v>3</v>
      </c>
      <c r="I24" s="2900">
        <v>4.12</v>
      </c>
      <c r="J24" s="2900">
        <v>2</v>
      </c>
      <c r="K24" s="2900">
        <v>4.79</v>
      </c>
      <c r="L24" s="2906">
        <v>1.97</v>
      </c>
      <c r="N24" s="2901">
        <f t="shared" ref="N24:Q58" si="166">I24/100</f>
        <v>4.1200000000000001E-2</v>
      </c>
      <c r="O24" s="2887">
        <f t="shared" si="162"/>
        <v>0.02</v>
      </c>
      <c r="P24" s="2887">
        <f t="shared" si="162"/>
        <v>4.7899999999999998E-2</v>
      </c>
      <c r="Q24" s="2887">
        <f t="shared" si="162"/>
        <v>1.9699999999999999E-2</v>
      </c>
      <c r="R24" s="2902"/>
      <c r="S24" s="2901"/>
      <c r="T24" s="2887"/>
      <c r="U24" s="2887"/>
      <c r="V24" s="2887"/>
      <c r="X24" s="2886">
        <f>ROUND(SUMPRODUCT(PRODUCT(1+N24:N$33)),4)</f>
        <v>1.2184999999999999</v>
      </c>
      <c r="Y24" s="2886">
        <f>ROUND(SUMPRODUCT(PRODUCT(1+O24:O$33)),4)</f>
        <v>1.1494</v>
      </c>
      <c r="Z24" s="2886">
        <f t="shared" si="0"/>
        <v>1.1494</v>
      </c>
      <c r="AA24" s="2886">
        <f>ROUND(SUMPRODUCT(PRODUCT(1+P24:P$33)),4)</f>
        <v>1.2425999999999999</v>
      </c>
      <c r="AB24" s="2886">
        <f>ROUND(SUMPRODUCT(PRODUCT(1+Q24:Q$33)),4)</f>
        <v>1.1372</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63"/>
        <v>360.06949782209392</v>
      </c>
      <c r="C25" s="2899">
        <f t="shared" si="163"/>
        <v>289.84672674747821</v>
      </c>
      <c r="D25" s="2899">
        <f t="shared" si="164"/>
        <v>289.84672674747821</v>
      </c>
      <c r="E25" s="2899">
        <f t="shared" si="165"/>
        <v>501.06543001181495</v>
      </c>
      <c r="F25" s="2899">
        <f t="shared" si="165"/>
        <v>256.82882500744967</v>
      </c>
      <c r="G25" s="3548"/>
      <c r="H25" s="2913">
        <v>2</v>
      </c>
      <c r="I25" s="2913">
        <v>3.85</v>
      </c>
      <c r="J25" s="2913">
        <v>1.95</v>
      </c>
      <c r="K25" s="2913">
        <v>4.4800000000000004</v>
      </c>
      <c r="L25" s="2914">
        <v>1.41</v>
      </c>
      <c r="N25" s="2901">
        <f t="shared" si="166"/>
        <v>3.85E-2</v>
      </c>
      <c r="O25" s="2887">
        <f t="shared" si="162"/>
        <v>1.95E-2</v>
      </c>
      <c r="P25" s="2887">
        <f t="shared" si="162"/>
        <v>4.4800000000000006E-2</v>
      </c>
      <c r="Q25" s="2887">
        <f t="shared" si="162"/>
        <v>1.41E-2</v>
      </c>
      <c r="R25" s="2902"/>
      <c r="S25" s="2901"/>
      <c r="T25" s="2887"/>
      <c r="U25" s="2887"/>
      <c r="V25" s="2887"/>
      <c r="X25" s="2886">
        <f>ROUND(SUMPRODUCT(PRODUCT(1+N25:N$33)),4)</f>
        <v>1.1702999999999999</v>
      </c>
      <c r="Y25" s="2886">
        <f>ROUND(SUMPRODUCT(PRODUCT(1+O25:O$33)),4)</f>
        <v>1.1269</v>
      </c>
      <c r="Z25" s="2886">
        <f t="shared" si="0"/>
        <v>1.1269</v>
      </c>
      <c r="AA25" s="2886">
        <f>ROUND(SUMPRODUCT(PRODUCT(1+P25:P$33)),4)</f>
        <v>1.1858</v>
      </c>
      <c r="AB25" s="2886">
        <f>ROUND(SUMPRODUCT(PRODUCT(1+Q25:Q$33)),4)</f>
        <v>1.1152</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63"/>
        <v>346.720748986128</v>
      </c>
      <c r="C26" s="2899">
        <f t="shared" si="163"/>
        <v>284.30282172386285</v>
      </c>
      <c r="D26" s="2899">
        <f t="shared" si="164"/>
        <v>284.30282172386285</v>
      </c>
      <c r="E26" s="2899">
        <f t="shared" si="165"/>
        <v>479.58023546306947</v>
      </c>
      <c r="F26" s="2899">
        <f t="shared" si="165"/>
        <v>253.25788877571213</v>
      </c>
      <c r="G26" s="3551"/>
      <c r="H26" s="2900">
        <v>1</v>
      </c>
      <c r="I26" s="2900">
        <v>4.09</v>
      </c>
      <c r="J26" s="2900">
        <v>2.93</v>
      </c>
      <c r="K26" s="2900">
        <v>4.54</v>
      </c>
      <c r="L26" s="2906">
        <v>1.48</v>
      </c>
      <c r="N26" s="2901">
        <f t="shared" si="166"/>
        <v>4.0899999999999999E-2</v>
      </c>
      <c r="O26" s="2887">
        <f t="shared" si="162"/>
        <v>2.9300000000000003E-2</v>
      </c>
      <c r="P26" s="2887">
        <f t="shared" si="162"/>
        <v>4.5400000000000003E-2</v>
      </c>
      <c r="Q26" s="2887">
        <f t="shared" si="162"/>
        <v>1.4800000000000001E-2</v>
      </c>
      <c r="R26" s="2902"/>
      <c r="S26" s="2903">
        <f>B26/B27-1</f>
        <v>4.1203450408792808E-2</v>
      </c>
      <c r="T26" s="2904">
        <f>C26/C27-1</f>
        <v>2.6363977342465095E-2</v>
      </c>
      <c r="U26" s="2904">
        <f>E26/E27-1</f>
        <v>4.4837114298626357E-2</v>
      </c>
      <c r="V26" s="2904">
        <f>F26/F27-1</f>
        <v>1.7099954922538574E-2</v>
      </c>
      <c r="X26" s="2886">
        <f>ROUND(SUMPRODUCT(PRODUCT(1+N26:N$33)),4)</f>
        <v>1.1269</v>
      </c>
      <c r="Y26" s="2886">
        <f>ROUND(SUMPRODUCT(PRODUCT(1+O26:O$33)),4)</f>
        <v>1.1052999999999999</v>
      </c>
      <c r="Z26" s="2886">
        <f t="shared" si="0"/>
        <v>1.1052999999999999</v>
      </c>
      <c r="AA26" s="2886">
        <f>ROUND(SUMPRODUCT(PRODUCT(1+P26:P$33)),4)</f>
        <v>1.1349</v>
      </c>
      <c r="AB26" s="2886">
        <f>ROUND(SUMPRODUCT(PRODUCT(1+Q26:Q$33)),4)</f>
        <v>1.0996999999999999</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64"/>
        <v>277</v>
      </c>
      <c r="E27" s="2920">
        <v>459</v>
      </c>
      <c r="F27" s="2921">
        <v>249</v>
      </c>
      <c r="G27" s="3550">
        <v>2015</v>
      </c>
      <c r="H27" s="2922">
        <v>4</v>
      </c>
      <c r="I27" s="2922">
        <v>1.63</v>
      </c>
      <c r="J27" s="2922">
        <v>1.1100000000000001</v>
      </c>
      <c r="K27" s="2922">
        <v>1.77</v>
      </c>
      <c r="L27" s="2923">
        <v>1.89</v>
      </c>
      <c r="N27" s="2917">
        <f t="shared" si="166"/>
        <v>1.6299999999999999E-2</v>
      </c>
      <c r="O27" s="2918">
        <f t="shared" si="162"/>
        <v>1.11E-2</v>
      </c>
      <c r="P27" s="2918">
        <f t="shared" si="162"/>
        <v>1.77E-2</v>
      </c>
      <c r="Q27" s="2918">
        <f t="shared" si="162"/>
        <v>1.89E-2</v>
      </c>
      <c r="R27" s="2902"/>
      <c r="X27" s="2886">
        <f>ROUND(SUMPRODUCT(PRODUCT(1+N27:N$33)),4)</f>
        <v>1.0826</v>
      </c>
      <c r="Y27" s="2886">
        <f>ROUND(SUMPRODUCT(PRODUCT(1+O27:O$33)),4)</f>
        <v>1.0738000000000001</v>
      </c>
      <c r="Z27" s="2886">
        <f t="shared" si="0"/>
        <v>1.0738000000000001</v>
      </c>
      <c r="AA27" s="2886">
        <f>ROUND(SUMPRODUCT(PRODUCT(1+P27:P$33)),4)</f>
        <v>1.0855999999999999</v>
      </c>
      <c r="AB27" s="2886">
        <f>ROUND(SUMPRODUCT(PRODUCT(1+Q27:Q$33)),4)</f>
        <v>1.0837000000000001</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67">B27/(1+N27)</f>
        <v>327.65915576109415</v>
      </c>
      <c r="C28" s="2899">
        <f t="shared" si="167"/>
        <v>273.95905449510434</v>
      </c>
      <c r="D28" s="2899">
        <f t="shared" si="164"/>
        <v>273.95905449510434</v>
      </c>
      <c r="E28" s="2899">
        <f t="shared" ref="E28:F30" si="168">E27/(1+P27)</f>
        <v>451.01699911565294</v>
      </c>
      <c r="F28" s="2899">
        <f t="shared" si="168"/>
        <v>244.38119540681129</v>
      </c>
      <c r="G28" s="3548"/>
      <c r="H28" s="2925">
        <v>3</v>
      </c>
      <c r="I28" s="2925">
        <v>1.65</v>
      </c>
      <c r="J28" s="2925">
        <v>0.92</v>
      </c>
      <c r="K28" s="2925">
        <v>1.88</v>
      </c>
      <c r="L28" s="2926">
        <v>1.26</v>
      </c>
      <c r="N28" s="2901">
        <f t="shared" si="166"/>
        <v>1.6500000000000001E-2</v>
      </c>
      <c r="O28" s="2919">
        <f t="shared" si="162"/>
        <v>9.1999999999999998E-3</v>
      </c>
      <c r="P28" s="2919">
        <f t="shared" si="162"/>
        <v>1.8799999999999997E-2</v>
      </c>
      <c r="Q28" s="2919">
        <f t="shared" si="162"/>
        <v>1.26E-2</v>
      </c>
      <c r="R28" s="2902"/>
      <c r="S28" s="2901"/>
      <c r="T28" s="2887"/>
      <c r="U28" s="2887"/>
      <c r="V28" s="2887"/>
      <c r="X28" s="2886">
        <f>ROUND(SUMPRODUCT(PRODUCT(1+N28:N$33)),4)</f>
        <v>1.0651999999999999</v>
      </c>
      <c r="Y28" s="2886">
        <f>ROUND(SUMPRODUCT(PRODUCT(1+O28:O$33)),4)</f>
        <v>1.0621</v>
      </c>
      <c r="Z28" s="2886">
        <f t="shared" si="0"/>
        <v>1.0621</v>
      </c>
      <c r="AA28" s="2886">
        <f>ROUND(SUMPRODUCT(PRODUCT(1+P28:P$33)),4)</f>
        <v>1.0668</v>
      </c>
      <c r="AB28" s="2886">
        <f>ROUND(SUMPRODUCT(PRODUCT(1+Q28:Q$33)),4)</f>
        <v>1.0636000000000001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67"/>
        <v>322.34053690220776</v>
      </c>
      <c r="C29" s="2899">
        <f t="shared" si="167"/>
        <v>271.46160770422546</v>
      </c>
      <c r="D29" s="2899">
        <f t="shared" si="164"/>
        <v>271.46160770422546</v>
      </c>
      <c r="E29" s="2899">
        <f t="shared" si="168"/>
        <v>442.69434542172456</v>
      </c>
      <c r="F29" s="2899">
        <f t="shared" si="168"/>
        <v>241.34030753190925</v>
      </c>
      <c r="G29" s="3548"/>
      <c r="H29" s="2913">
        <v>2</v>
      </c>
      <c r="I29" s="2913">
        <v>0.77</v>
      </c>
      <c r="J29" s="2913">
        <v>0.69</v>
      </c>
      <c r="K29" s="2913">
        <v>0.8</v>
      </c>
      <c r="L29" s="2914">
        <v>0.88</v>
      </c>
      <c r="N29" s="2901">
        <f t="shared" si="166"/>
        <v>7.7000000000000002E-3</v>
      </c>
      <c r="O29" s="2919">
        <f t="shared" si="162"/>
        <v>6.8999999999999999E-3</v>
      </c>
      <c r="P29" s="2919">
        <f t="shared" si="162"/>
        <v>8.0000000000000002E-3</v>
      </c>
      <c r="Q29" s="2919">
        <f t="shared" si="162"/>
        <v>8.8000000000000005E-3</v>
      </c>
      <c r="R29" s="2902"/>
      <c r="S29" s="2901"/>
      <c r="T29" s="2887"/>
      <c r="U29" s="2887"/>
      <c r="V29" s="2887"/>
      <c r="X29" s="2886">
        <f>ROUND(SUMPRODUCT(PRODUCT(1+N29:N$33)),4)</f>
        <v>1.048</v>
      </c>
      <c r="Y29" s="2886">
        <f>ROUND(SUMPRODUCT(PRODUCT(1+O29:O$33)),4)</f>
        <v>1.0524</v>
      </c>
      <c r="Z29" s="2886">
        <f t="shared" si="0"/>
        <v>1.0524</v>
      </c>
      <c r="AA29" s="2886">
        <f>ROUND(SUMPRODUCT(PRODUCT(1+P29:P$33)),4)</f>
        <v>1.0470999999999999</v>
      </c>
      <c r="AB29" s="2886">
        <f>ROUND(SUMPRODUCT(PRODUCT(1+Q29:Q$33)),4)</f>
        <v>1.0504</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67"/>
        <v>319.87748030386797</v>
      </c>
      <c r="C30" s="2899">
        <f t="shared" si="167"/>
        <v>269.60135833173649</v>
      </c>
      <c r="D30" s="2899">
        <f t="shared" si="164"/>
        <v>269.60135833173649</v>
      </c>
      <c r="E30" s="2899">
        <f t="shared" si="168"/>
        <v>439.18089823583784</v>
      </c>
      <c r="F30" s="2899">
        <f t="shared" si="168"/>
        <v>239.23503918706311</v>
      </c>
      <c r="G30" s="3551"/>
      <c r="H30" s="2900">
        <v>1</v>
      </c>
      <c r="I30" s="2900">
        <v>0.51</v>
      </c>
      <c r="J30" s="2900">
        <v>0.54</v>
      </c>
      <c r="K30" s="2900">
        <v>0.48</v>
      </c>
      <c r="L30" s="2906">
        <v>0.93</v>
      </c>
      <c r="N30" s="2903">
        <f t="shared" si="166"/>
        <v>5.1000000000000004E-3</v>
      </c>
      <c r="O30" s="2904">
        <f t="shared" si="162"/>
        <v>5.4000000000000003E-3</v>
      </c>
      <c r="P30" s="2904">
        <f t="shared" si="162"/>
        <v>4.7999999999999996E-3</v>
      </c>
      <c r="Q30" s="2904">
        <f t="shared" si="162"/>
        <v>9.300000000000001E-3</v>
      </c>
      <c r="R30" s="2902"/>
      <c r="S30" s="2903">
        <f>B30/B31-1</f>
        <v>5.9040261127922822E-3</v>
      </c>
      <c r="T30" s="2904">
        <f>C30/C31-1</f>
        <v>5.9752176557332781E-3</v>
      </c>
      <c r="U30" s="2904">
        <f>E30/E31-1</f>
        <v>4.9906138119859556E-3</v>
      </c>
      <c r="V30" s="2904">
        <f>F30/F31-1</f>
        <v>9.4305450930933787E-3</v>
      </c>
      <c r="X30" s="2886">
        <f>ROUND(SUMPRODUCT(PRODUCT(1+N30:N$33)),4)</f>
        <v>1.0399</v>
      </c>
      <c r="Y30" s="2886">
        <f>ROUND(SUMPRODUCT(PRODUCT(1+O30:O$33)),4)</f>
        <v>1.0451999999999999</v>
      </c>
      <c r="Z30" s="2886">
        <f t="shared" si="0"/>
        <v>1.0451999999999999</v>
      </c>
      <c r="AA30" s="2886">
        <f>ROUND(SUMPRODUCT(PRODUCT(1+P30:P$33)),4)</f>
        <v>1.0387999999999999</v>
      </c>
      <c r="AB30" s="2886">
        <f>ROUND(SUMPRODUCT(PRODUCT(1+Q30:Q$33)),4)</f>
        <v>1.0411999999999999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64"/>
        <v>268</v>
      </c>
      <c r="E31" s="2927">
        <v>437</v>
      </c>
      <c r="F31" s="2928">
        <v>237</v>
      </c>
      <c r="G31" s="3550">
        <v>2014</v>
      </c>
      <c r="H31" s="2922">
        <v>4</v>
      </c>
      <c r="I31" s="2922">
        <v>0.21</v>
      </c>
      <c r="J31" s="2922">
        <v>0.41</v>
      </c>
      <c r="K31" s="2922">
        <v>0.12</v>
      </c>
      <c r="L31" s="2923">
        <v>0.89</v>
      </c>
      <c r="N31" s="2901">
        <f t="shared" si="166"/>
        <v>2.0999999999999999E-3</v>
      </c>
      <c r="O31" s="2887">
        <f t="shared" si="162"/>
        <v>4.0999999999999995E-3</v>
      </c>
      <c r="P31" s="2887">
        <f t="shared" si="162"/>
        <v>1.1999999999999999E-3</v>
      </c>
      <c r="Q31" s="2887">
        <f t="shared" si="162"/>
        <v>8.8999999999999999E-3</v>
      </c>
      <c r="R31" s="2902"/>
      <c r="S31" s="2911"/>
      <c r="T31" s="2912"/>
      <c r="U31" s="2912"/>
      <c r="V31" s="2912"/>
      <c r="X31" s="2886">
        <f>ROUND(SUMPRODUCT(PRODUCT(1+N31:N$33)),4)</f>
        <v>1.0347</v>
      </c>
      <c r="Y31" s="2886">
        <f>ROUND(SUMPRODUCT(PRODUCT(1+O31:O$33)),4)</f>
        <v>1.0395000000000001</v>
      </c>
      <c r="Z31" s="2886">
        <f t="shared" si="0"/>
        <v>1.0395000000000001</v>
      </c>
      <c r="AA31" s="2886">
        <f>ROUND(SUMPRODUCT(PRODUCT(1+P31:P$33)),4)</f>
        <v>1.0338000000000001</v>
      </c>
      <c r="AB31" s="2886">
        <f>ROUND(SUMPRODUCT(PRODUCT(1+Q31:Q$33)),4)</f>
        <v>1.0316000000000001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9">B31/(1+N31)</f>
        <v>317.33359944117353</v>
      </c>
      <c r="C32" s="2899">
        <f t="shared" si="169"/>
        <v>266.90568668459315</v>
      </c>
      <c r="D32" s="2899">
        <f t="shared" si="164"/>
        <v>266.90568668459315</v>
      </c>
      <c r="E32" s="2899">
        <f t="shared" ref="E32:F34" si="170">E31/(1+P31)</f>
        <v>436.47622852576905</v>
      </c>
      <c r="F32" s="2899">
        <f t="shared" si="170"/>
        <v>234.90930716622066</v>
      </c>
      <c r="G32" s="3548"/>
      <c r="H32" s="2929">
        <v>3</v>
      </c>
      <c r="I32" s="2929">
        <v>0.83</v>
      </c>
      <c r="J32" s="2929">
        <v>1.47</v>
      </c>
      <c r="K32" s="2929">
        <v>0.65</v>
      </c>
      <c r="L32" s="2930">
        <v>0.72</v>
      </c>
      <c r="N32" s="2901">
        <f t="shared" si="166"/>
        <v>8.3000000000000001E-3</v>
      </c>
      <c r="O32" s="2887">
        <f t="shared" si="162"/>
        <v>1.47E-2</v>
      </c>
      <c r="P32" s="2887">
        <f t="shared" si="162"/>
        <v>6.5000000000000006E-3</v>
      </c>
      <c r="Q32" s="2887">
        <f t="shared" si="162"/>
        <v>7.1999999999999998E-3</v>
      </c>
      <c r="R32" s="2902"/>
      <c r="S32" s="2901"/>
      <c r="T32" s="2887"/>
      <c r="U32" s="2887"/>
      <c r="V32" s="2887"/>
      <c r="X32" s="2886">
        <f>ROUND(SUMPRODUCT(PRODUCT(1+N32:N$33)),4)</f>
        <v>1.0325</v>
      </c>
      <c r="Y32" s="2886">
        <f>ROUND(SUMPRODUCT(PRODUCT(1+O32:O$33)),4)</f>
        <v>1.0353000000000001</v>
      </c>
      <c r="Z32" s="2886">
        <f t="shared" ref="Z32:Z33" si="171">Y32</f>
        <v>1.0353000000000001</v>
      </c>
      <c r="AA32" s="2886">
        <f>ROUND(SUMPRODUCT(PRODUCT(1+P32:P$33)),4)</f>
        <v>1.0326</v>
      </c>
      <c r="AB32" s="2886">
        <f>ROUND(SUMPRODUCT(PRODUCT(1+Q32:Q$33)),4)</f>
        <v>1.0225</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9"/>
        <v>314.72141172386546</v>
      </c>
      <c r="C33" s="2899">
        <f t="shared" si="169"/>
        <v>263.03901319069001</v>
      </c>
      <c r="D33" s="2899">
        <f t="shared" si="164"/>
        <v>263.03901319069001</v>
      </c>
      <c r="E33" s="2899">
        <f t="shared" si="170"/>
        <v>433.65745506782821</v>
      </c>
      <c r="F33" s="2899">
        <f t="shared" si="170"/>
        <v>233.23005080045735</v>
      </c>
      <c r="G33" s="3548"/>
      <c r="H33" s="2922">
        <v>2</v>
      </c>
      <c r="I33" s="2922">
        <v>2.4</v>
      </c>
      <c r="J33" s="2922">
        <v>2.0299999999999998</v>
      </c>
      <c r="K33" s="2922">
        <v>2.59</v>
      </c>
      <c r="L33" s="2923">
        <v>1.52</v>
      </c>
      <c r="N33" s="2901">
        <f t="shared" si="166"/>
        <v>2.4E-2</v>
      </c>
      <c r="O33" s="2887">
        <f t="shared" si="162"/>
        <v>2.0299999999999999E-2</v>
      </c>
      <c r="P33" s="2887">
        <f t="shared" si="162"/>
        <v>2.5899999999999999E-2</v>
      </c>
      <c r="Q33" s="2887">
        <f t="shared" si="162"/>
        <v>1.52E-2</v>
      </c>
      <c r="R33" s="2902"/>
      <c r="S33" s="2901"/>
      <c r="T33" s="2887"/>
      <c r="U33" s="2887"/>
      <c r="V33" s="2887"/>
      <c r="X33" s="2886">
        <f>1+N33</f>
        <v>1.024</v>
      </c>
      <c r="Y33" s="2886">
        <f>1+O33</f>
        <v>1.0203</v>
      </c>
      <c r="Z33" s="2886">
        <f t="shared" si="171"/>
        <v>1.0203</v>
      </c>
      <c r="AA33" s="2886">
        <f>1+P33</f>
        <v>1.0259</v>
      </c>
      <c r="AB33" s="2886">
        <f>1+Q33</f>
        <v>1.0152000000000001</v>
      </c>
      <c r="AD33" s="2887">
        <f>ROUND(AVERAGE(I33:I$34)/100,4)</f>
        <v>2.69E-2</v>
      </c>
      <c r="AE33" s="2887">
        <f>ROUND(AVERAGE(J33:J$34)/100,4)</f>
        <v>2.1899999999999999E-2</v>
      </c>
      <c r="AF33" s="2887">
        <f t="shared" ref="AF33" si="172">AE33</f>
        <v>2.1899999999999999E-2</v>
      </c>
      <c r="AG33" s="2887">
        <f>ROUND(AVERAGE(K33:K$34)/100,4)</f>
        <v>2.9399999999999999E-2</v>
      </c>
      <c r="AH33" s="2887">
        <f>ROUND(AVERAGE(L33:L$34)/100,4)</f>
        <v>1.44E-2</v>
      </c>
    </row>
    <row r="34" spans="1:34" s="2935" customFormat="1" ht="13.5" thickBot="1">
      <c r="A34" s="2931" t="s">
        <v>951</v>
      </c>
      <c r="B34" s="2932">
        <f t="shared" si="169"/>
        <v>307.34512863658733</v>
      </c>
      <c r="C34" s="2932">
        <f t="shared" si="169"/>
        <v>257.80556031626975</v>
      </c>
      <c r="D34" s="2932">
        <f t="shared" si="164"/>
        <v>257.80556031626975</v>
      </c>
      <c r="E34" s="2932">
        <f t="shared" si="170"/>
        <v>422.70928459677179</v>
      </c>
      <c r="F34" s="2932">
        <f t="shared" si="170"/>
        <v>229.73803270336617</v>
      </c>
      <c r="G34" s="3551"/>
      <c r="H34" s="2933">
        <v>1</v>
      </c>
      <c r="I34" s="2933">
        <v>2.97</v>
      </c>
      <c r="J34" s="2933">
        <v>2.34</v>
      </c>
      <c r="K34" s="2933">
        <v>3.28</v>
      </c>
      <c r="L34" s="2934">
        <v>1.36</v>
      </c>
      <c r="N34" s="2936">
        <f t="shared" si="166"/>
        <v>2.9700000000000001E-2</v>
      </c>
      <c r="O34" s="2937">
        <f t="shared" si="162"/>
        <v>2.3399999999999997E-2</v>
      </c>
      <c r="P34" s="2937">
        <f t="shared" si="162"/>
        <v>3.2799999999999996E-2</v>
      </c>
      <c r="Q34" s="2937">
        <f t="shared" si="162"/>
        <v>1.3600000000000001E-2</v>
      </c>
      <c r="R34" s="2938"/>
      <c r="S34" s="2939">
        <f>B34/B35-1</f>
        <v>2.7910129219355539E-2</v>
      </c>
      <c r="T34" s="2940">
        <f>C34/C35-1</f>
        <v>2.3037937762975247E-2</v>
      </c>
      <c r="U34" s="2940">
        <f>E34/E35-1</f>
        <v>3.3519033243940788E-2</v>
      </c>
      <c r="V34" s="2940">
        <f>F34/F35-1</f>
        <v>1.2061818076502862E-2</v>
      </c>
      <c r="W34" s="2941" t="s">
        <v>2620</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2563</v>
      </c>
      <c r="B35" s="2920">
        <v>299</v>
      </c>
      <c r="C35" s="2920">
        <v>252</v>
      </c>
      <c r="D35" s="2920">
        <f t="shared" si="164"/>
        <v>252</v>
      </c>
      <c r="E35" s="2920">
        <v>409</v>
      </c>
      <c r="F35" s="2921">
        <v>227</v>
      </c>
      <c r="G35" s="3555">
        <v>2013</v>
      </c>
      <c r="H35" s="2943">
        <v>4</v>
      </c>
      <c r="I35" s="2943">
        <v>1.83</v>
      </c>
      <c r="J35" s="2943">
        <v>1.68</v>
      </c>
      <c r="K35" s="2943">
        <v>1.97</v>
      </c>
      <c r="L35" s="2944">
        <v>0.87</v>
      </c>
      <c r="N35" s="2917">
        <f t="shared" si="166"/>
        <v>1.83E-2</v>
      </c>
      <c r="O35" s="2918">
        <f t="shared" si="162"/>
        <v>1.6799999999999999E-2</v>
      </c>
      <c r="P35" s="2918">
        <f t="shared" si="162"/>
        <v>1.9699999999999999E-2</v>
      </c>
      <c r="Q35" s="2918">
        <f t="shared" si="162"/>
        <v>8.6999999999999994E-3</v>
      </c>
      <c r="R35" s="2902"/>
      <c r="S35" s="2911"/>
      <c r="T35" s="2912"/>
      <c r="U35" s="2912"/>
      <c r="V35" s="2912"/>
      <c r="X35" s="2912"/>
      <c r="Y35" s="2912"/>
      <c r="Z35" s="2912"/>
    </row>
    <row r="36" spans="1:34">
      <c r="A36" s="2898" t="s">
        <v>2564</v>
      </c>
      <c r="B36" s="2899">
        <f t="shared" ref="B36:C38" si="173">B35/(1+N35)</f>
        <v>293.62663262299913</v>
      </c>
      <c r="C36" s="2899">
        <f t="shared" si="173"/>
        <v>247.83634933123525</v>
      </c>
      <c r="D36" s="2899">
        <f t="shared" si="164"/>
        <v>247.83634933123525</v>
      </c>
      <c r="E36" s="2899">
        <f t="shared" ref="E36:F38" si="174">E35/(1+P35)</f>
        <v>401.09836226341076</v>
      </c>
      <c r="F36" s="2899">
        <f t="shared" si="174"/>
        <v>225.04213343908003</v>
      </c>
      <c r="G36" s="3556"/>
      <c r="H36" s="2925">
        <v>3</v>
      </c>
      <c r="I36" s="2925">
        <v>1.86</v>
      </c>
      <c r="J36" s="2925">
        <v>1.72</v>
      </c>
      <c r="K36" s="2925">
        <v>1.98</v>
      </c>
      <c r="L36" s="2926">
        <v>0.88</v>
      </c>
      <c r="N36" s="2901">
        <f t="shared" si="166"/>
        <v>1.8600000000000002E-2</v>
      </c>
      <c r="O36" s="2919">
        <f t="shared" si="162"/>
        <v>1.72E-2</v>
      </c>
      <c r="P36" s="2919">
        <f t="shared" si="162"/>
        <v>1.9799999999999998E-2</v>
      </c>
      <c r="Q36" s="2919">
        <f t="shared" si="162"/>
        <v>8.8000000000000005E-3</v>
      </c>
      <c r="R36" s="2902"/>
      <c r="S36" s="2901"/>
      <c r="T36" s="2887"/>
      <c r="U36" s="2887"/>
      <c r="V36" s="2887"/>
    </row>
    <row r="37" spans="1:34">
      <c r="A37" s="2898" t="s">
        <v>2565</v>
      </c>
      <c r="B37" s="2899">
        <f t="shared" si="173"/>
        <v>288.2649053828776</v>
      </c>
      <c r="C37" s="2899">
        <f t="shared" si="173"/>
        <v>243.64564425013293</v>
      </c>
      <c r="D37" s="2899">
        <f t="shared" si="164"/>
        <v>243.64564425013293</v>
      </c>
      <c r="E37" s="2899">
        <f t="shared" si="174"/>
        <v>393.31080825986544</v>
      </c>
      <c r="F37" s="2899">
        <f t="shared" si="174"/>
        <v>223.07903790551154</v>
      </c>
      <c r="G37" s="3556"/>
      <c r="H37" s="2913">
        <v>2</v>
      </c>
      <c r="I37" s="2913">
        <v>2.04</v>
      </c>
      <c r="J37" s="2913">
        <v>2.33</v>
      </c>
      <c r="K37" s="2913">
        <v>2.0699999999999998</v>
      </c>
      <c r="L37" s="2914">
        <v>0.69</v>
      </c>
      <c r="N37" s="2901">
        <f t="shared" si="166"/>
        <v>2.0400000000000001E-2</v>
      </c>
      <c r="O37" s="2919">
        <f t="shared" si="162"/>
        <v>2.3300000000000001E-2</v>
      </c>
      <c r="P37" s="2919">
        <f t="shared" si="162"/>
        <v>2.07E-2</v>
      </c>
      <c r="Q37" s="2919">
        <f t="shared" si="162"/>
        <v>6.8999999999999999E-3</v>
      </c>
      <c r="R37" s="2902"/>
      <c r="S37" s="2901"/>
      <c r="T37" s="2887"/>
      <c r="U37" s="2887"/>
      <c r="V37" s="2887"/>
      <c r="X37" s="2945"/>
      <c r="Y37" s="2946"/>
    </row>
    <row r="38" spans="1:34">
      <c r="A38" s="2898" t="s">
        <v>2566</v>
      </c>
      <c r="B38" s="2899">
        <f t="shared" si="173"/>
        <v>282.50186729015837</v>
      </c>
      <c r="C38" s="2899">
        <f t="shared" si="173"/>
        <v>238.09796174155468</v>
      </c>
      <c r="D38" s="2899">
        <f t="shared" si="164"/>
        <v>238.09796174155468</v>
      </c>
      <c r="E38" s="2899">
        <f t="shared" si="174"/>
        <v>385.33438646014054</v>
      </c>
      <c r="F38" s="2899">
        <f t="shared" si="174"/>
        <v>221.55034055567739</v>
      </c>
      <c r="G38" s="3557"/>
      <c r="H38" s="2900">
        <v>1</v>
      </c>
      <c r="I38" s="2900">
        <v>1.67</v>
      </c>
      <c r="J38" s="2900">
        <v>1.31</v>
      </c>
      <c r="K38" s="2900">
        <v>1.85</v>
      </c>
      <c r="L38" s="2906">
        <v>0.96</v>
      </c>
      <c r="N38" s="2903">
        <f t="shared" si="166"/>
        <v>1.67E-2</v>
      </c>
      <c r="O38" s="2904">
        <f t="shared" si="162"/>
        <v>1.3100000000000001E-2</v>
      </c>
      <c r="P38" s="2904">
        <f t="shared" si="162"/>
        <v>1.8500000000000003E-2</v>
      </c>
      <c r="Q38" s="2904">
        <f t="shared" si="162"/>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2567</v>
      </c>
      <c r="B39" s="2948">
        <v>278</v>
      </c>
      <c r="C39" s="2948">
        <v>234</v>
      </c>
      <c r="D39" s="2948">
        <f t="shared" si="164"/>
        <v>234</v>
      </c>
      <c r="E39" s="2948">
        <v>379</v>
      </c>
      <c r="F39" s="2949">
        <v>220</v>
      </c>
      <c r="G39" s="3550">
        <v>2012</v>
      </c>
      <c r="H39" s="2922">
        <v>4</v>
      </c>
      <c r="I39" s="2922">
        <v>0.91</v>
      </c>
      <c r="J39" s="2922">
        <v>0.68</v>
      </c>
      <c r="K39" s="2922">
        <v>0.98</v>
      </c>
      <c r="L39" s="2923">
        <v>0.9</v>
      </c>
      <c r="N39" s="2901">
        <f t="shared" si="166"/>
        <v>9.1000000000000004E-3</v>
      </c>
      <c r="O39" s="2887">
        <f t="shared" si="166"/>
        <v>6.8000000000000005E-3</v>
      </c>
      <c r="P39" s="2887">
        <f t="shared" si="166"/>
        <v>9.7999999999999997E-3</v>
      </c>
      <c r="Q39" s="2887">
        <f t="shared" si="166"/>
        <v>9.0000000000000011E-3</v>
      </c>
      <c r="R39" s="2902"/>
      <c r="S39" s="2911"/>
      <c r="T39" s="2912"/>
      <c r="U39" s="2912"/>
      <c r="V39" s="2912"/>
      <c r="X39" s="2912"/>
      <c r="Y39" s="2912"/>
      <c r="Z39" s="2912"/>
    </row>
    <row r="40" spans="1:34">
      <c r="A40" s="2898" t="s">
        <v>2568</v>
      </c>
      <c r="B40" s="2899">
        <f>B39/(1+N39)</f>
        <v>275.49301357645425</v>
      </c>
      <c r="C40" s="2899">
        <f>C39/(1+O39)</f>
        <v>232.41954707985698</v>
      </c>
      <c r="D40" s="2899">
        <f t="shared" si="164"/>
        <v>232.41954707985698</v>
      </c>
      <c r="E40" s="2899">
        <f t="shared" ref="E40:F42" si="175">E39/(1+P39)</f>
        <v>375.32184591008121</v>
      </c>
      <c r="F40" s="2899">
        <f t="shared" si="175"/>
        <v>218.03766105054513</v>
      </c>
      <c r="G40" s="3548"/>
      <c r="H40" s="2925">
        <v>3</v>
      </c>
      <c r="I40" s="2925">
        <v>0.09</v>
      </c>
      <c r="J40" s="2925">
        <v>0.28999999999999998</v>
      </c>
      <c r="K40" s="2925">
        <v>-0.01</v>
      </c>
      <c r="L40" s="2926">
        <v>0.57999999999999996</v>
      </c>
      <c r="N40" s="2901">
        <f t="shared" si="166"/>
        <v>8.9999999999999998E-4</v>
      </c>
      <c r="O40" s="2887">
        <f t="shared" si="166"/>
        <v>2.8999999999999998E-3</v>
      </c>
      <c r="P40" s="2887">
        <f t="shared" si="166"/>
        <v>-1E-4</v>
      </c>
      <c r="Q40" s="2887">
        <f t="shared" si="166"/>
        <v>5.7999999999999996E-3</v>
      </c>
      <c r="R40" s="2902"/>
      <c r="S40" s="2901"/>
      <c r="T40" s="2887"/>
      <c r="U40" s="2887"/>
      <c r="V40" s="2887"/>
    </row>
    <row r="41" spans="1:34">
      <c r="A41" s="2898" t="s">
        <v>2569</v>
      </c>
      <c r="B41" s="2899">
        <f>B40/(1+N40)</f>
        <v>275.24529281292263</v>
      </c>
      <c r="C41" s="2899">
        <f>C40/(1+O40)</f>
        <v>231.74747938962707</v>
      </c>
      <c r="D41" s="2899">
        <f t="shared" si="164"/>
        <v>231.74747938962707</v>
      </c>
      <c r="E41" s="2899">
        <f t="shared" si="175"/>
        <v>375.35938184826603</v>
      </c>
      <c r="F41" s="2899">
        <f t="shared" si="175"/>
        <v>216.78033510692495</v>
      </c>
      <c r="G41" s="3548"/>
      <c r="H41" s="2913">
        <v>2</v>
      </c>
      <c r="I41" s="2913">
        <v>0.02</v>
      </c>
      <c r="J41" s="2913">
        <v>0.12</v>
      </c>
      <c r="K41" s="2913">
        <v>-0.08</v>
      </c>
      <c r="L41" s="2914">
        <v>1.24</v>
      </c>
      <c r="N41" s="2901">
        <f t="shared" si="166"/>
        <v>2.0000000000000001E-4</v>
      </c>
      <c r="O41" s="2887">
        <f t="shared" si="166"/>
        <v>1.1999999999999999E-3</v>
      </c>
      <c r="P41" s="2887">
        <f t="shared" si="166"/>
        <v>-8.0000000000000004E-4</v>
      </c>
      <c r="Q41" s="2887">
        <f t="shared" si="166"/>
        <v>1.24E-2</v>
      </c>
      <c r="R41" s="2902"/>
      <c r="S41" s="2901"/>
      <c r="T41" s="2887"/>
      <c r="U41" s="2887"/>
      <c r="V41" s="2887"/>
    </row>
    <row r="42" spans="1:34" ht="13.5" thickBot="1">
      <c r="A42" s="2898" t="s">
        <v>2570</v>
      </c>
      <c r="B42" s="2899">
        <f>B41/(1+N41)</f>
        <v>275.19025476197027</v>
      </c>
      <c r="C42" s="2950">
        <v>232</v>
      </c>
      <c r="D42" s="2950">
        <f t="shared" si="164"/>
        <v>232</v>
      </c>
      <c r="E42" s="2899">
        <f t="shared" si="175"/>
        <v>375.65990977608692</v>
      </c>
      <c r="F42" s="2899">
        <f t="shared" si="175"/>
        <v>214.12518283971252</v>
      </c>
      <c r="G42" s="3551"/>
      <c r="H42" s="2900">
        <v>1</v>
      </c>
      <c r="I42" s="2900">
        <v>0.02</v>
      </c>
      <c r="J42" s="2900">
        <v>0.13</v>
      </c>
      <c r="K42" s="2900">
        <v>-0.04</v>
      </c>
      <c r="L42" s="2906">
        <v>0.46</v>
      </c>
      <c r="N42" s="2901">
        <f t="shared" si="166"/>
        <v>2.0000000000000001E-4</v>
      </c>
      <c r="O42" s="2887">
        <f t="shared" si="166"/>
        <v>1.2999999999999999E-3</v>
      </c>
      <c r="P42" s="2887">
        <f t="shared" si="166"/>
        <v>-4.0000000000000002E-4</v>
      </c>
      <c r="Q42" s="2887">
        <f t="shared" si="166"/>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2571</v>
      </c>
      <c r="B43" s="2920">
        <v>275</v>
      </c>
      <c r="C43" s="2920">
        <v>232</v>
      </c>
      <c r="D43" s="2920">
        <f t="shared" si="164"/>
        <v>232</v>
      </c>
      <c r="E43" s="2920">
        <v>376</v>
      </c>
      <c r="F43" s="2921">
        <v>213</v>
      </c>
      <c r="G43" s="3550">
        <v>2011</v>
      </c>
      <c r="H43" s="2922">
        <v>4</v>
      </c>
      <c r="I43" s="2922">
        <v>-0.2</v>
      </c>
      <c r="J43" s="2922">
        <v>0.04</v>
      </c>
      <c r="K43" s="2922">
        <v>-0.34</v>
      </c>
      <c r="L43" s="2923">
        <v>0.46</v>
      </c>
      <c r="N43" s="2917">
        <f t="shared" si="166"/>
        <v>-2E-3</v>
      </c>
      <c r="O43" s="2918">
        <f t="shared" si="166"/>
        <v>4.0000000000000002E-4</v>
      </c>
      <c r="P43" s="2918">
        <f t="shared" si="166"/>
        <v>-3.4000000000000002E-3</v>
      </c>
      <c r="Q43" s="2918">
        <f t="shared" si="166"/>
        <v>4.5999999999999999E-3</v>
      </c>
      <c r="R43" s="2902"/>
      <c r="S43" s="2911"/>
      <c r="T43" s="2912"/>
      <c r="U43" s="2912"/>
      <c r="V43" s="2912"/>
      <c r="X43" s="2912"/>
      <c r="Y43" s="2912"/>
      <c r="Z43" s="2912"/>
    </row>
    <row r="44" spans="1:34">
      <c r="A44" s="2898" t="s">
        <v>2572</v>
      </c>
      <c r="B44" s="2899">
        <f t="shared" ref="B44:C46" si="176">B43/(1+N43)</f>
        <v>275.55110220440883</v>
      </c>
      <c r="C44" s="2899">
        <f t="shared" si="176"/>
        <v>231.90723710515795</v>
      </c>
      <c r="D44" s="2899">
        <f t="shared" si="164"/>
        <v>231.90723710515795</v>
      </c>
      <c r="E44" s="2899">
        <f t="shared" ref="E44:F46" si="177">E43/(1+P43)</f>
        <v>377.28276138872161</v>
      </c>
      <c r="F44" s="2899">
        <f t="shared" si="177"/>
        <v>212.02468644236512</v>
      </c>
      <c r="G44" s="3548">
        <v>2011</v>
      </c>
      <c r="H44" s="2925">
        <v>3</v>
      </c>
      <c r="I44" s="2925">
        <v>0.13</v>
      </c>
      <c r="J44" s="2925">
        <v>0.75</v>
      </c>
      <c r="K44" s="2925">
        <v>-0.08</v>
      </c>
      <c r="L44" s="2926">
        <v>0.53</v>
      </c>
      <c r="N44" s="2901">
        <f t="shared" si="166"/>
        <v>1.2999999999999999E-3</v>
      </c>
      <c r="O44" s="2919">
        <f t="shared" si="166"/>
        <v>7.4999999999999997E-3</v>
      </c>
      <c r="P44" s="2919">
        <f t="shared" si="166"/>
        <v>-8.0000000000000004E-4</v>
      </c>
      <c r="Q44" s="2919">
        <f t="shared" si="166"/>
        <v>5.3E-3</v>
      </c>
      <c r="R44" s="2902"/>
      <c r="S44" s="2901"/>
      <c r="T44" s="2887"/>
      <c r="U44" s="2887"/>
      <c r="V44" s="2887"/>
    </row>
    <row r="45" spans="1:34">
      <c r="A45" s="2898" t="s">
        <v>2573</v>
      </c>
      <c r="B45" s="2899">
        <f t="shared" si="176"/>
        <v>275.19335084830601</v>
      </c>
      <c r="C45" s="2899">
        <f t="shared" si="176"/>
        <v>230.18088050139744</v>
      </c>
      <c r="D45" s="2899">
        <f t="shared" si="164"/>
        <v>230.18088050139744</v>
      </c>
      <c r="E45" s="2899">
        <f t="shared" si="177"/>
        <v>377.58482925212331</v>
      </c>
      <c r="F45" s="2899">
        <f t="shared" si="177"/>
        <v>210.90687997847917</v>
      </c>
      <c r="G45" s="3548">
        <v>2011</v>
      </c>
      <c r="H45" s="2913">
        <v>2</v>
      </c>
      <c r="I45" s="2913">
        <v>-0.4</v>
      </c>
      <c r="J45" s="2913">
        <v>0.17</v>
      </c>
      <c r="K45" s="2913">
        <v>-0.57999999999999996</v>
      </c>
      <c r="L45" s="2914">
        <v>-0.2</v>
      </c>
      <c r="N45" s="2901">
        <f t="shared" si="166"/>
        <v>-4.0000000000000001E-3</v>
      </c>
      <c r="O45" s="2919">
        <f t="shared" si="166"/>
        <v>1.7000000000000001E-3</v>
      </c>
      <c r="P45" s="2919">
        <f t="shared" si="166"/>
        <v>-5.7999999999999996E-3</v>
      </c>
      <c r="Q45" s="2919">
        <f t="shared" si="166"/>
        <v>-2E-3</v>
      </c>
      <c r="R45" s="2902"/>
      <c r="S45" s="2901"/>
      <c r="T45" s="2887"/>
      <c r="U45" s="2887"/>
      <c r="V45" s="2887"/>
    </row>
    <row r="46" spans="1:34" ht="13.5" thickBot="1">
      <c r="A46" s="2898" t="s">
        <v>2574</v>
      </c>
      <c r="B46" s="2899">
        <f t="shared" si="176"/>
        <v>276.29854502841971</v>
      </c>
      <c r="C46" s="2899">
        <f t="shared" si="176"/>
        <v>229.79023709833027</v>
      </c>
      <c r="D46" s="2899">
        <f t="shared" si="164"/>
        <v>229.79023709833027</v>
      </c>
      <c r="E46" s="2899">
        <f t="shared" si="177"/>
        <v>379.78759731655936</v>
      </c>
      <c r="F46" s="2899">
        <f t="shared" si="177"/>
        <v>211.32953905659235</v>
      </c>
      <c r="G46" s="3551">
        <v>2011</v>
      </c>
      <c r="H46" s="2900">
        <v>1</v>
      </c>
      <c r="I46" s="2900">
        <v>2.65</v>
      </c>
      <c r="J46" s="2900">
        <v>3.76</v>
      </c>
      <c r="K46" s="2900">
        <v>1.89</v>
      </c>
      <c r="L46" s="2906">
        <v>7.95</v>
      </c>
      <c r="N46" s="2903">
        <f t="shared" si="166"/>
        <v>2.6499999999999999E-2</v>
      </c>
      <c r="O46" s="2904">
        <f t="shared" si="166"/>
        <v>3.7599999999999995E-2</v>
      </c>
      <c r="P46" s="2904">
        <f t="shared" si="166"/>
        <v>1.89E-2</v>
      </c>
      <c r="Q46" s="2904">
        <f t="shared" si="166"/>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2575</v>
      </c>
      <c r="B47" s="2920">
        <v>269</v>
      </c>
      <c r="C47" s="2920">
        <v>221</v>
      </c>
      <c r="D47" s="2920">
        <f t="shared" si="164"/>
        <v>221</v>
      </c>
      <c r="E47" s="2920">
        <v>373</v>
      </c>
      <c r="F47" s="2921">
        <v>196</v>
      </c>
      <c r="G47" s="3550">
        <v>2010</v>
      </c>
      <c r="H47" s="2922">
        <v>4</v>
      </c>
      <c r="I47" s="2922">
        <v>5.72</v>
      </c>
      <c r="J47" s="2922">
        <v>6.57</v>
      </c>
      <c r="K47" s="2922">
        <v>5.72</v>
      </c>
      <c r="L47" s="2923">
        <v>2.72</v>
      </c>
      <c r="N47" s="2901">
        <f t="shared" si="166"/>
        <v>5.7200000000000001E-2</v>
      </c>
      <c r="O47" s="2887">
        <f t="shared" si="166"/>
        <v>6.5700000000000008E-2</v>
      </c>
      <c r="P47" s="2887">
        <f t="shared" si="166"/>
        <v>5.7200000000000001E-2</v>
      </c>
      <c r="Q47" s="2887">
        <f t="shared" si="166"/>
        <v>2.7200000000000002E-2</v>
      </c>
      <c r="R47" s="2902"/>
      <c r="S47" s="2911"/>
      <c r="T47" s="2912"/>
      <c r="U47" s="2912"/>
      <c r="V47" s="2912"/>
      <c r="X47" s="2912"/>
      <c r="Y47" s="2912"/>
      <c r="Z47" s="2912"/>
    </row>
    <row r="48" spans="1:34">
      <c r="A48" s="2898" t="s">
        <v>2576</v>
      </c>
      <c r="B48" s="2899">
        <f t="shared" ref="B48:C50" si="178">B47/(1+N47)</f>
        <v>254.44570563753314</v>
      </c>
      <c r="C48" s="2899">
        <f t="shared" si="178"/>
        <v>207.37543398705074</v>
      </c>
      <c r="D48" s="2899">
        <f t="shared" si="164"/>
        <v>207.37543398705074</v>
      </c>
      <c r="E48" s="2899">
        <f t="shared" ref="E48:F50" si="179">E47/(1+P47)</f>
        <v>352.81876655315932</v>
      </c>
      <c r="F48" s="2899">
        <f t="shared" si="179"/>
        <v>190.809968847352</v>
      </c>
      <c r="G48" s="3548">
        <v>2010</v>
      </c>
      <c r="H48" s="2925">
        <v>3</v>
      </c>
      <c r="I48" s="2925">
        <v>4.7300000000000004</v>
      </c>
      <c r="J48" s="2925">
        <v>3.9</v>
      </c>
      <c r="K48" s="2925">
        <v>5.03</v>
      </c>
      <c r="L48" s="2926">
        <v>4.21</v>
      </c>
      <c r="N48" s="2901">
        <f t="shared" si="166"/>
        <v>4.7300000000000002E-2</v>
      </c>
      <c r="O48" s="2887">
        <f t="shared" si="166"/>
        <v>3.9E-2</v>
      </c>
      <c r="P48" s="2887">
        <f t="shared" si="166"/>
        <v>5.0300000000000004E-2</v>
      </c>
      <c r="Q48" s="2887">
        <f t="shared" si="166"/>
        <v>4.2099999999999999E-2</v>
      </c>
      <c r="R48" s="2902"/>
      <c r="S48" s="2901"/>
      <c r="T48" s="2887"/>
      <c r="U48" s="2887"/>
      <c r="V48" s="2887"/>
    </row>
    <row r="49" spans="1:26">
      <c r="A49" s="2898" t="s">
        <v>2577</v>
      </c>
      <c r="B49" s="2899">
        <f t="shared" si="178"/>
        <v>242.95398227588385</v>
      </c>
      <c r="C49" s="2899">
        <f t="shared" si="178"/>
        <v>199.59137053614126</v>
      </c>
      <c r="D49" s="2899">
        <f t="shared" si="164"/>
        <v>199.59137053614126</v>
      </c>
      <c r="E49" s="2899">
        <f t="shared" si="179"/>
        <v>335.92189522342125</v>
      </c>
      <c r="F49" s="2899">
        <f t="shared" si="179"/>
        <v>183.10139991109489</v>
      </c>
      <c r="G49" s="3548">
        <v>2010</v>
      </c>
      <c r="H49" s="2913">
        <v>2</v>
      </c>
      <c r="I49" s="2913">
        <v>4.6900000000000004</v>
      </c>
      <c r="J49" s="2913">
        <v>3.55</v>
      </c>
      <c r="K49" s="2913">
        <v>5.07</v>
      </c>
      <c r="L49" s="2914">
        <v>4.2300000000000004</v>
      </c>
      <c r="N49" s="2901">
        <f t="shared" si="166"/>
        <v>4.6900000000000004E-2</v>
      </c>
      <c r="O49" s="2887">
        <f t="shared" si="166"/>
        <v>3.5499999999999997E-2</v>
      </c>
      <c r="P49" s="2887">
        <f t="shared" si="166"/>
        <v>5.0700000000000002E-2</v>
      </c>
      <c r="Q49" s="2887">
        <f t="shared" si="166"/>
        <v>4.2300000000000004E-2</v>
      </c>
      <c r="R49" s="2902"/>
      <c r="S49" s="2901"/>
      <c r="T49" s="2887"/>
      <c r="U49" s="2887"/>
      <c r="V49" s="2887"/>
    </row>
    <row r="50" spans="1:26" ht="13.5" thickBot="1">
      <c r="A50" s="2898" t="s">
        <v>2578</v>
      </c>
      <c r="B50" s="2899">
        <f t="shared" si="178"/>
        <v>232.06990378821649</v>
      </c>
      <c r="C50" s="2899">
        <f t="shared" si="178"/>
        <v>192.74878854286936</v>
      </c>
      <c r="D50" s="2899">
        <f t="shared" si="164"/>
        <v>192.74878854286936</v>
      </c>
      <c r="E50" s="2899">
        <f t="shared" si="179"/>
        <v>319.71247284992984</v>
      </c>
      <c r="F50" s="2899">
        <f t="shared" si="179"/>
        <v>175.67053622862409</v>
      </c>
      <c r="G50" s="3551">
        <v>2010</v>
      </c>
      <c r="H50" s="2900">
        <v>1</v>
      </c>
      <c r="I50" s="2900">
        <v>5.4</v>
      </c>
      <c r="J50" s="2900">
        <v>3.2</v>
      </c>
      <c r="K50" s="2900">
        <v>6.16</v>
      </c>
      <c r="L50" s="2906">
        <v>4.51</v>
      </c>
      <c r="N50" s="2901">
        <f t="shared" si="166"/>
        <v>5.4000000000000006E-2</v>
      </c>
      <c r="O50" s="2887">
        <f t="shared" si="166"/>
        <v>3.2000000000000001E-2</v>
      </c>
      <c r="P50" s="2887">
        <f t="shared" si="166"/>
        <v>6.1600000000000002E-2</v>
      </c>
      <c r="Q50" s="2887">
        <f t="shared" si="166"/>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2579</v>
      </c>
      <c r="B51" s="2920">
        <v>220</v>
      </c>
      <c r="C51" s="2920">
        <v>187</v>
      </c>
      <c r="D51" s="2920">
        <f t="shared" si="164"/>
        <v>187</v>
      </c>
      <c r="E51" s="2920">
        <v>301</v>
      </c>
      <c r="F51" s="2921">
        <v>168</v>
      </c>
      <c r="G51" s="3550">
        <v>2009</v>
      </c>
      <c r="H51" s="2922">
        <v>4</v>
      </c>
      <c r="I51" s="2922">
        <v>2.2999999999999998</v>
      </c>
      <c r="J51" s="2922">
        <v>1.04</v>
      </c>
      <c r="K51" s="2922">
        <v>2.84</v>
      </c>
      <c r="L51" s="2923">
        <v>0.67</v>
      </c>
      <c r="N51" s="2917">
        <f t="shared" si="166"/>
        <v>2.3E-2</v>
      </c>
      <c r="O51" s="2918">
        <f t="shared" si="166"/>
        <v>1.04E-2</v>
      </c>
      <c r="P51" s="2918">
        <f t="shared" si="166"/>
        <v>2.8399999999999998E-2</v>
      </c>
      <c r="Q51" s="2918">
        <f t="shared" si="166"/>
        <v>6.7000000000000002E-3</v>
      </c>
      <c r="R51" s="2902"/>
      <c r="S51" s="2911"/>
      <c r="T51" s="2912"/>
      <c r="U51" s="2912"/>
      <c r="V51" s="2912"/>
      <c r="X51" s="2912"/>
      <c r="Y51" s="2912"/>
      <c r="Z51" s="2912"/>
    </row>
    <row r="52" spans="1:26">
      <c r="A52" s="2898" t="s">
        <v>2580</v>
      </c>
      <c r="B52" s="2899">
        <f t="shared" ref="B52:C54" si="180">B51/(1+N51)</f>
        <v>215.05376344086022</v>
      </c>
      <c r="C52" s="2899">
        <f t="shared" si="180"/>
        <v>185.0752177355503</v>
      </c>
      <c r="D52" s="2899">
        <f t="shared" si="164"/>
        <v>185.0752177355503</v>
      </c>
      <c r="E52" s="2899">
        <f t="shared" ref="E52:F54" si="181">E51/(1+P51)</f>
        <v>292.68767016725008</v>
      </c>
      <c r="F52" s="2899">
        <f t="shared" si="181"/>
        <v>166.88189132810174</v>
      </c>
      <c r="G52" s="3548">
        <v>2009</v>
      </c>
      <c r="H52" s="2925">
        <v>3</v>
      </c>
      <c r="I52" s="2925">
        <v>2.1</v>
      </c>
      <c r="J52" s="2925">
        <v>1.86</v>
      </c>
      <c r="K52" s="2925">
        <v>2.29</v>
      </c>
      <c r="L52" s="2926">
        <v>0.85</v>
      </c>
      <c r="N52" s="2901">
        <f t="shared" si="166"/>
        <v>2.1000000000000001E-2</v>
      </c>
      <c r="O52" s="2919">
        <f t="shared" si="166"/>
        <v>1.8600000000000002E-2</v>
      </c>
      <c r="P52" s="2919">
        <f t="shared" si="166"/>
        <v>2.29E-2</v>
      </c>
      <c r="Q52" s="2919">
        <f t="shared" si="166"/>
        <v>8.5000000000000006E-3</v>
      </c>
      <c r="R52" s="2902"/>
      <c r="S52" s="2901"/>
      <c r="T52" s="2887"/>
      <c r="U52" s="2887"/>
      <c r="V52" s="2887"/>
    </row>
    <row r="53" spans="1:26">
      <c r="A53" s="2898" t="s">
        <v>2581</v>
      </c>
      <c r="B53" s="2899">
        <f t="shared" si="180"/>
        <v>210.630522469011</v>
      </c>
      <c r="C53" s="2899">
        <f t="shared" si="180"/>
        <v>181.69567812247232</v>
      </c>
      <c r="D53" s="2899">
        <f t="shared" si="164"/>
        <v>181.69567812247232</v>
      </c>
      <c r="E53" s="2899">
        <f t="shared" si="181"/>
        <v>286.13517466736738</v>
      </c>
      <c r="F53" s="2899">
        <f t="shared" si="181"/>
        <v>165.47535084591149</v>
      </c>
      <c r="G53" s="3548">
        <v>2009</v>
      </c>
      <c r="H53" s="2913">
        <v>2</v>
      </c>
      <c r="I53" s="2913">
        <v>0.86</v>
      </c>
      <c r="J53" s="2913">
        <v>-1.1299999999999999</v>
      </c>
      <c r="K53" s="2913">
        <v>1.79</v>
      </c>
      <c r="L53" s="2914">
        <v>-2.0699999999999998</v>
      </c>
      <c r="N53" s="2901">
        <f t="shared" si="166"/>
        <v>8.6E-3</v>
      </c>
      <c r="O53" s="2919">
        <f t="shared" si="166"/>
        <v>-1.1299999999999999E-2</v>
      </c>
      <c r="P53" s="2919">
        <f t="shared" si="166"/>
        <v>1.7899999999999999E-2</v>
      </c>
      <c r="Q53" s="2919">
        <f t="shared" si="166"/>
        <v>-2.07E-2</v>
      </c>
      <c r="R53" s="2902"/>
      <c r="S53" s="2901"/>
      <c r="T53" s="2887"/>
      <c r="U53" s="2887"/>
      <c r="V53" s="2887"/>
    </row>
    <row r="54" spans="1:26">
      <c r="A54" s="2898" t="s">
        <v>2582</v>
      </c>
      <c r="B54" s="2899">
        <f t="shared" si="180"/>
        <v>208.83454537875372</v>
      </c>
      <c r="C54" s="2899">
        <f t="shared" si="180"/>
        <v>183.77230517090351</v>
      </c>
      <c r="D54" s="2899">
        <f t="shared" si="164"/>
        <v>183.77230517090351</v>
      </c>
      <c r="E54" s="2899">
        <f t="shared" si="181"/>
        <v>281.10342338870947</v>
      </c>
      <c r="F54" s="2899">
        <f t="shared" si="181"/>
        <v>168.97309388942256</v>
      </c>
      <c r="G54" s="3551">
        <v>2009</v>
      </c>
      <c r="H54" s="2900">
        <v>1</v>
      </c>
      <c r="I54" s="2900">
        <v>-2.64</v>
      </c>
      <c r="J54" s="2900">
        <v>-2.5299999999999998</v>
      </c>
      <c r="K54" s="2900">
        <v>-3.02</v>
      </c>
      <c r="L54" s="2906">
        <v>1.52</v>
      </c>
      <c r="N54" s="2903">
        <f t="shared" si="166"/>
        <v>-2.64E-2</v>
      </c>
      <c r="O54" s="2904">
        <f t="shared" si="166"/>
        <v>-2.53E-2</v>
      </c>
      <c r="P54" s="2904">
        <f t="shared" si="166"/>
        <v>-3.0200000000000001E-2</v>
      </c>
      <c r="Q54" s="2904">
        <f t="shared" si="166"/>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2583</v>
      </c>
      <c r="B55" s="2948">
        <v>214</v>
      </c>
      <c r="C55" s="2948">
        <v>188</v>
      </c>
      <c r="D55" s="2948">
        <f t="shared" si="164"/>
        <v>188</v>
      </c>
      <c r="E55" s="2948">
        <v>289</v>
      </c>
      <c r="F55" s="2949">
        <v>166</v>
      </c>
      <c r="G55" s="3550">
        <v>2008</v>
      </c>
      <c r="H55" s="2922">
        <v>4</v>
      </c>
      <c r="I55" s="2922">
        <v>1.73</v>
      </c>
      <c r="J55" s="2922">
        <v>0.03</v>
      </c>
      <c r="K55" s="2922">
        <v>2.59</v>
      </c>
      <c r="L55" s="2923">
        <v>-1.66</v>
      </c>
      <c r="N55" s="2901">
        <f t="shared" si="166"/>
        <v>1.7299999999999999E-2</v>
      </c>
      <c r="O55" s="2887">
        <f t="shared" si="166"/>
        <v>2.9999999999999997E-4</v>
      </c>
      <c r="P55" s="2887">
        <f t="shared" si="166"/>
        <v>2.5899999999999999E-2</v>
      </c>
      <c r="Q55" s="2887">
        <f t="shared" si="166"/>
        <v>-1.66E-2</v>
      </c>
      <c r="R55" s="2902"/>
      <c r="S55" s="2911"/>
      <c r="T55" s="2912"/>
      <c r="U55" s="2912"/>
      <c r="V55" s="2912"/>
      <c r="X55" s="2912"/>
      <c r="Y55" s="2912"/>
      <c r="Z55" s="2912"/>
    </row>
    <row r="56" spans="1:26">
      <c r="A56" s="2898" t="s">
        <v>2584</v>
      </c>
      <c r="B56" s="2899">
        <f t="shared" ref="B56:C58" si="182">B55/(1+N55)</f>
        <v>210.36075887152265</v>
      </c>
      <c r="C56" s="2899">
        <f t="shared" si="182"/>
        <v>187.94361691492554</v>
      </c>
      <c r="D56" s="2899">
        <f t="shared" si="164"/>
        <v>187.94361691492554</v>
      </c>
      <c r="E56" s="2899">
        <f t="shared" ref="E56:F58" si="183">E55/(1+P55)</f>
        <v>281.70386977288234</v>
      </c>
      <c r="F56" s="2899">
        <f t="shared" si="183"/>
        <v>168.80211511083994</v>
      </c>
      <c r="G56" s="3548">
        <v>2008</v>
      </c>
      <c r="H56" s="2925">
        <v>3</v>
      </c>
      <c r="I56" s="2925">
        <v>1.96</v>
      </c>
      <c r="J56" s="2925">
        <v>2.36</v>
      </c>
      <c r="K56" s="2925">
        <v>1.82</v>
      </c>
      <c r="L56" s="2926">
        <v>2.2200000000000002</v>
      </c>
      <c r="N56" s="2901">
        <f t="shared" si="166"/>
        <v>1.9599999999999999E-2</v>
      </c>
      <c r="O56" s="2887">
        <f t="shared" si="166"/>
        <v>2.3599999999999999E-2</v>
      </c>
      <c r="P56" s="2887">
        <f t="shared" si="166"/>
        <v>1.8200000000000001E-2</v>
      </c>
      <c r="Q56" s="2887">
        <f t="shared" si="166"/>
        <v>2.2200000000000001E-2</v>
      </c>
      <c r="R56" s="2902"/>
      <c r="S56" s="2901"/>
      <c r="T56" s="2887"/>
      <c r="U56" s="2887"/>
      <c r="V56" s="2887"/>
    </row>
    <row r="57" spans="1:26">
      <c r="A57" s="2898" t="s">
        <v>2585</v>
      </c>
      <c r="B57" s="2899">
        <f t="shared" si="182"/>
        <v>206.31694671589116</v>
      </c>
      <c r="C57" s="2899">
        <f t="shared" si="182"/>
        <v>183.61041121036101</v>
      </c>
      <c r="D57" s="2899">
        <f t="shared" si="164"/>
        <v>183.61041121036101</v>
      </c>
      <c r="E57" s="2899">
        <f t="shared" si="183"/>
        <v>276.66850301795557</v>
      </c>
      <c r="F57" s="2899">
        <f t="shared" si="183"/>
        <v>165.1360938278614</v>
      </c>
      <c r="G57" s="3548">
        <v>2008</v>
      </c>
      <c r="H57" s="2913">
        <v>2</v>
      </c>
      <c r="I57" s="2913">
        <v>4.93</v>
      </c>
      <c r="J57" s="2913">
        <v>7.38</v>
      </c>
      <c r="K57" s="2913">
        <v>3.98</v>
      </c>
      <c r="L57" s="2914">
        <v>6.86</v>
      </c>
      <c r="N57" s="2901">
        <f t="shared" si="166"/>
        <v>4.9299999999999997E-2</v>
      </c>
      <c r="O57" s="2887">
        <f t="shared" si="166"/>
        <v>7.3800000000000004E-2</v>
      </c>
      <c r="P57" s="2887">
        <f t="shared" si="166"/>
        <v>3.9800000000000002E-2</v>
      </c>
      <c r="Q57" s="2887">
        <f t="shared" si="166"/>
        <v>6.8600000000000008E-2</v>
      </c>
      <c r="R57" s="2902"/>
      <c r="S57" s="2901"/>
      <c r="T57" s="2887"/>
      <c r="U57" s="2887"/>
      <c r="V57" s="2887"/>
    </row>
    <row r="58" spans="1:26" s="2954" customFormat="1" ht="13.5" thickBot="1">
      <c r="A58" s="2898" t="s">
        <v>2586</v>
      </c>
      <c r="B58" s="2951">
        <f t="shared" si="182"/>
        <v>196.62341248059772</v>
      </c>
      <c r="C58" s="2951">
        <f t="shared" si="182"/>
        <v>170.99125648199012</v>
      </c>
      <c r="D58" s="2951">
        <f t="shared" si="164"/>
        <v>170.99125648199012</v>
      </c>
      <c r="E58" s="2951">
        <f t="shared" si="183"/>
        <v>266.07857570490052</v>
      </c>
      <c r="F58" s="2951">
        <f t="shared" si="183"/>
        <v>154.53499328828505</v>
      </c>
      <c r="G58" s="3551">
        <v>2008</v>
      </c>
      <c r="H58" s="2952">
        <v>1</v>
      </c>
      <c r="I58" s="2952">
        <v>4.1399999999999997</v>
      </c>
      <c r="J58" s="2952">
        <v>3.45</v>
      </c>
      <c r="K58" s="2952">
        <v>4.95</v>
      </c>
      <c r="L58" s="2953">
        <v>4.82</v>
      </c>
      <c r="N58" s="2955">
        <f t="shared" si="166"/>
        <v>4.1399999999999999E-2</v>
      </c>
      <c r="O58" s="2956">
        <f t="shared" si="166"/>
        <v>3.4500000000000003E-2</v>
      </c>
      <c r="P58" s="2956">
        <f t="shared" si="166"/>
        <v>4.9500000000000002E-2</v>
      </c>
      <c r="Q58" s="2956">
        <f t="shared" si="166"/>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2587</v>
      </c>
      <c r="B59" s="2920">
        <v>188</v>
      </c>
      <c r="C59" s="2920">
        <v>165</v>
      </c>
      <c r="D59" s="2920">
        <f t="shared" si="164"/>
        <v>165</v>
      </c>
      <c r="E59" s="2920">
        <v>254</v>
      </c>
      <c r="F59" s="2921">
        <v>148</v>
      </c>
      <c r="G59" s="3550">
        <v>2007</v>
      </c>
      <c r="H59" s="2958">
        <v>4</v>
      </c>
      <c r="I59" s="2958">
        <v>5.51</v>
      </c>
      <c r="J59" s="2958">
        <v>4.8899999999999997</v>
      </c>
      <c r="K59" s="2958">
        <v>6.43</v>
      </c>
      <c r="L59" s="2959">
        <v>5.36</v>
      </c>
      <c r="N59" s="2960">
        <f t="shared" ref="N59:O62" si="184">B59/B60-1</f>
        <v>4.1339718365245526E-2</v>
      </c>
      <c r="O59" s="2961">
        <f t="shared" si="184"/>
        <v>4.0324492593776018E-2</v>
      </c>
      <c r="P59" s="2961">
        <f t="shared" ref="P59:Q62" si="185">E59/E60-1</f>
        <v>6.1625555347990968E-2</v>
      </c>
      <c r="Q59" s="2961">
        <f t="shared" si="185"/>
        <v>4.6757569250590603E-2</v>
      </c>
      <c r="R59" s="2902"/>
      <c r="S59" s="2911"/>
      <c r="T59" s="2912"/>
      <c r="U59" s="2912"/>
      <c r="V59" s="2912"/>
      <c r="X59" s="2912"/>
      <c r="Y59" s="2912"/>
      <c r="Z59" s="2912"/>
    </row>
    <row r="60" spans="1:26">
      <c r="A60" s="2898" t="s">
        <v>2588</v>
      </c>
      <c r="B60" s="2899">
        <f t="shared" ref="B60:C62" si="186">B61+(B$59-B$63)*I60/SUM(I$59:I$62)</f>
        <v>180.5366651097618</v>
      </c>
      <c r="C60" s="2899">
        <f t="shared" si="186"/>
        <v>158.60435967302453</v>
      </c>
      <c r="D60" s="2899">
        <f t="shared" si="164"/>
        <v>158.60435967302453</v>
      </c>
      <c r="E60" s="2899">
        <f t="shared" ref="E60:F62" si="187">E61+(E$59-E$63)*K60/SUM(K$59:K$62)</f>
        <v>239.25573260785075</v>
      </c>
      <c r="F60" s="2899">
        <f t="shared" si="187"/>
        <v>141.38899430740037</v>
      </c>
      <c r="G60" s="3548">
        <v>2007</v>
      </c>
      <c r="H60" s="2925">
        <v>3</v>
      </c>
      <c r="I60" s="2925">
        <v>8.65</v>
      </c>
      <c r="J60" s="2925">
        <v>8.06</v>
      </c>
      <c r="K60" s="2925">
        <v>9.94</v>
      </c>
      <c r="L60" s="2926">
        <v>5.8</v>
      </c>
      <c r="N60" s="2960">
        <f t="shared" si="184"/>
        <v>6.940217571740015E-2</v>
      </c>
      <c r="O60" s="2961">
        <f t="shared" si="184"/>
        <v>7.1197482471153428E-2</v>
      </c>
      <c r="P60" s="2961">
        <f t="shared" si="185"/>
        <v>0.10529679922579582</v>
      </c>
      <c r="Q60" s="2961">
        <f t="shared" si="185"/>
        <v>5.3292245059512133E-2</v>
      </c>
      <c r="R60" s="2902"/>
      <c r="S60" s="2901"/>
      <c r="T60" s="2887"/>
      <c r="U60" s="2887"/>
      <c r="V60" s="2887"/>
      <c r="X60" s="2962"/>
      <c r="Y60" s="2962"/>
      <c r="Z60" s="2962"/>
    </row>
    <row r="61" spans="1:26">
      <c r="A61" s="2898" t="s">
        <v>2589</v>
      </c>
      <c r="B61" s="2899">
        <f t="shared" si="186"/>
        <v>168.82017748715555</v>
      </c>
      <c r="C61" s="2899">
        <f t="shared" si="186"/>
        <v>148.06267029972753</v>
      </c>
      <c r="D61" s="2899">
        <f t="shared" si="164"/>
        <v>148.06267029972753</v>
      </c>
      <c r="E61" s="2899">
        <f t="shared" si="187"/>
        <v>216.46288379323747</v>
      </c>
      <c r="F61" s="2899">
        <f t="shared" si="187"/>
        <v>134.23529411764704</v>
      </c>
      <c r="G61" s="3548">
        <v>2007</v>
      </c>
      <c r="H61" s="2913">
        <v>2</v>
      </c>
      <c r="I61" s="2913">
        <v>3.67</v>
      </c>
      <c r="J61" s="2913">
        <v>2.3199999999999998</v>
      </c>
      <c r="K61" s="2913">
        <v>5.0199999999999996</v>
      </c>
      <c r="L61" s="2914">
        <v>6.71</v>
      </c>
      <c r="N61" s="2960">
        <f t="shared" si="184"/>
        <v>3.0339138143848032E-2</v>
      </c>
      <c r="O61" s="2961">
        <f t="shared" si="184"/>
        <v>2.0922341588790472E-2</v>
      </c>
      <c r="P61" s="2961">
        <f t="shared" si="185"/>
        <v>5.6164796592717003E-2</v>
      </c>
      <c r="Q61" s="2961">
        <f t="shared" si="185"/>
        <v>6.5704536723887319E-2</v>
      </c>
      <c r="R61" s="2902"/>
      <c r="S61" s="2901"/>
      <c r="T61" s="2887"/>
      <c r="U61" s="2887"/>
      <c r="V61" s="2887"/>
      <c r="X61" s="2962"/>
      <c r="Y61" s="2962"/>
      <c r="Z61" s="2962"/>
    </row>
    <row r="62" spans="1:26">
      <c r="A62" s="2898" t="s">
        <v>2590</v>
      </c>
      <c r="B62" s="2899">
        <f t="shared" si="186"/>
        <v>163.84913591779542</v>
      </c>
      <c r="C62" s="2899">
        <f t="shared" si="186"/>
        <v>145.0283378746594</v>
      </c>
      <c r="D62" s="2899">
        <f t="shared" si="164"/>
        <v>145.0283378746594</v>
      </c>
      <c r="E62" s="2899">
        <f t="shared" si="187"/>
        <v>204.95180722891567</v>
      </c>
      <c r="F62" s="2899">
        <f t="shared" si="187"/>
        <v>125.95920303605313</v>
      </c>
      <c r="G62" s="3551">
        <v>2007</v>
      </c>
      <c r="H62" s="2900">
        <v>1</v>
      </c>
      <c r="I62" s="2900">
        <v>3.58</v>
      </c>
      <c r="J62" s="2900">
        <v>3.08</v>
      </c>
      <c r="K62" s="2900">
        <v>4.34</v>
      </c>
      <c r="L62" s="2906">
        <v>3.21</v>
      </c>
      <c r="N62" s="2963">
        <f t="shared" si="184"/>
        <v>3.0497710174814063E-2</v>
      </c>
      <c r="O62" s="2964">
        <f t="shared" si="184"/>
        <v>2.8569772160704998E-2</v>
      </c>
      <c r="P62" s="2964">
        <f t="shared" si="185"/>
        <v>5.1034908866234296E-2</v>
      </c>
      <c r="Q62" s="2964">
        <f t="shared" si="185"/>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2591</v>
      </c>
      <c r="B63" s="2927">
        <v>159</v>
      </c>
      <c r="C63" s="2927">
        <v>141</v>
      </c>
      <c r="D63" s="2927">
        <f t="shared" si="164"/>
        <v>141</v>
      </c>
      <c r="E63" s="2927">
        <v>195</v>
      </c>
      <c r="F63" s="2928">
        <v>122</v>
      </c>
      <c r="G63" s="3550">
        <v>2006</v>
      </c>
      <c r="H63" s="2922">
        <v>4</v>
      </c>
      <c r="I63" s="2922">
        <v>3.79</v>
      </c>
      <c r="J63" s="2922">
        <v>2.21</v>
      </c>
      <c r="K63" s="2922">
        <v>5.65</v>
      </c>
      <c r="L63" s="2923">
        <v>5.41</v>
      </c>
      <c r="N63" s="2960">
        <f t="shared" ref="N63:O66" si="188">I63/SUM(I$63:I$66)*(B$63/B$67-1)</f>
        <v>7.245466462748526E-2</v>
      </c>
      <c r="O63" s="2961">
        <f t="shared" si="188"/>
        <v>2.3237230038062766E-2</v>
      </c>
      <c r="P63" s="2961">
        <f t="shared" ref="P63:Q66" si="189">K63/SUM(K$63:K$66)*(E$63/E$67-1)</f>
        <v>0.16146893866323722</v>
      </c>
      <c r="Q63" s="2961">
        <f t="shared" si="189"/>
        <v>5.0755230321793784E-2</v>
      </c>
      <c r="R63" s="2902"/>
      <c r="S63" s="2911"/>
      <c r="T63" s="2912"/>
      <c r="U63" s="2912"/>
      <c r="V63" s="2912"/>
      <c r="X63" s="2962"/>
      <c r="Y63" s="2962"/>
      <c r="Z63" s="2962"/>
    </row>
    <row r="64" spans="1:26">
      <c r="A64" s="2898" t="s">
        <v>2592</v>
      </c>
      <c r="B64" s="2899">
        <f t="shared" ref="B64:C66" si="190">B65+(B$63-B$67)*I64/SUM(I$63:I$66)</f>
        <v>149.00125628140702</v>
      </c>
      <c r="C64" s="2899">
        <f t="shared" si="190"/>
        <v>137.95592286501378</v>
      </c>
      <c r="D64" s="2899">
        <f t="shared" si="164"/>
        <v>137.95592286501378</v>
      </c>
      <c r="E64" s="2899">
        <f t="shared" ref="E64:F66" si="191">E65+(E$63-E$67)*K64/SUM(K$63:K$66)</f>
        <v>169.97231450719823</v>
      </c>
      <c r="F64" s="2899">
        <f t="shared" si="191"/>
        <v>116.21390374331551</v>
      </c>
      <c r="G64" s="3548">
        <v>2006</v>
      </c>
      <c r="H64" s="2925">
        <v>3</v>
      </c>
      <c r="I64" s="2925">
        <v>0.92</v>
      </c>
      <c r="J64" s="2925">
        <v>1.08</v>
      </c>
      <c r="K64" s="2925">
        <v>0.73</v>
      </c>
      <c r="L64" s="2926">
        <v>1.08</v>
      </c>
      <c r="N64" s="2960">
        <f t="shared" si="188"/>
        <v>1.7587939698492462E-2</v>
      </c>
      <c r="O64" s="2961">
        <f t="shared" si="188"/>
        <v>1.1355750425840628E-2</v>
      </c>
      <c r="P64" s="2961">
        <f t="shared" si="189"/>
        <v>2.0862358446754544E-2</v>
      </c>
      <c r="Q64" s="2961">
        <f t="shared" si="189"/>
        <v>1.0132282578103011E-2</v>
      </c>
      <c r="R64" s="2902"/>
      <c r="S64" s="2901"/>
      <c r="T64" s="2887"/>
      <c r="U64" s="2887"/>
      <c r="V64" s="2887"/>
      <c r="X64" s="2962"/>
      <c r="Y64" s="2962"/>
      <c r="Z64" s="2962"/>
    </row>
    <row r="65" spans="1:26">
      <c r="A65" s="2898" t="s">
        <v>2593</v>
      </c>
      <c r="B65" s="2899">
        <f t="shared" si="190"/>
        <v>146.57412060301507</v>
      </c>
      <c r="C65" s="2899">
        <f t="shared" si="190"/>
        <v>136.46831955922866</v>
      </c>
      <c r="D65" s="2899">
        <f t="shared" si="164"/>
        <v>136.46831955922866</v>
      </c>
      <c r="E65" s="2899">
        <f t="shared" si="191"/>
        <v>166.73864894795128</v>
      </c>
      <c r="F65" s="2899">
        <f t="shared" si="191"/>
        <v>115.05882352941177</v>
      </c>
      <c r="G65" s="3548">
        <v>2006</v>
      </c>
      <c r="H65" s="2913">
        <v>2</v>
      </c>
      <c r="I65" s="2913">
        <v>0.96</v>
      </c>
      <c r="J65" s="2913">
        <v>0.25</v>
      </c>
      <c r="K65" s="2913">
        <v>1.9</v>
      </c>
      <c r="L65" s="2914">
        <v>0.95</v>
      </c>
      <c r="N65" s="2960">
        <f t="shared" si="188"/>
        <v>1.8352632728861701E-2</v>
      </c>
      <c r="O65" s="2961">
        <f t="shared" si="188"/>
        <v>2.6286459319075526E-3</v>
      </c>
      <c r="P65" s="2961">
        <f t="shared" si="189"/>
        <v>5.4299289107991269E-2</v>
      </c>
      <c r="Q65" s="2961">
        <f t="shared" si="189"/>
        <v>8.9126559714794995E-3</v>
      </c>
      <c r="R65" s="2902"/>
      <c r="S65" s="2901"/>
      <c r="T65" s="2887"/>
      <c r="U65" s="2887"/>
      <c r="V65" s="2887"/>
      <c r="X65" s="2962"/>
      <c r="Y65" s="2962"/>
      <c r="Z65" s="2962"/>
    </row>
    <row r="66" spans="1:26">
      <c r="A66" s="2898" t="s">
        <v>2594</v>
      </c>
      <c r="B66" s="2899">
        <f t="shared" si="190"/>
        <v>144.04145728643215</v>
      </c>
      <c r="C66" s="2899">
        <f t="shared" si="190"/>
        <v>136.12396694214877</v>
      </c>
      <c r="D66" s="2899">
        <f t="shared" si="164"/>
        <v>136.12396694214877</v>
      </c>
      <c r="E66" s="2899">
        <f t="shared" si="191"/>
        <v>158.32225913621264</v>
      </c>
      <c r="F66" s="2899">
        <f t="shared" si="191"/>
        <v>114.04278074866311</v>
      </c>
      <c r="G66" s="3551">
        <v>2006</v>
      </c>
      <c r="H66" s="2900">
        <v>1</v>
      </c>
      <c r="I66" s="2900">
        <v>2.29</v>
      </c>
      <c r="J66" s="2900">
        <v>3.72</v>
      </c>
      <c r="K66" s="2900">
        <v>0.75</v>
      </c>
      <c r="L66" s="2906">
        <v>0.04</v>
      </c>
      <c r="N66" s="2963">
        <f t="shared" si="188"/>
        <v>4.3778675988638847E-2</v>
      </c>
      <c r="O66" s="2964">
        <f t="shared" si="188"/>
        <v>3.9114251466784385E-2</v>
      </c>
      <c r="P66" s="2964">
        <f t="shared" si="189"/>
        <v>2.1433929911049188E-2</v>
      </c>
      <c r="Q66" s="2964">
        <f t="shared" si="189"/>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2595</v>
      </c>
      <c r="B67" s="2927">
        <v>138</v>
      </c>
      <c r="C67" s="2927">
        <v>131</v>
      </c>
      <c r="D67" s="2927">
        <f t="shared" si="164"/>
        <v>131</v>
      </c>
      <c r="E67" s="2927">
        <v>155</v>
      </c>
      <c r="F67" s="2928">
        <v>114</v>
      </c>
      <c r="G67" s="3550">
        <v>2005</v>
      </c>
      <c r="H67" s="2922">
        <v>4</v>
      </c>
      <c r="I67" s="2922">
        <v>3.29</v>
      </c>
      <c r="J67" s="2922">
        <v>1.44</v>
      </c>
      <c r="K67" s="2922">
        <v>0.66</v>
      </c>
      <c r="L67" s="2923">
        <v>7.78</v>
      </c>
      <c r="N67" s="2960">
        <f t="shared" ref="N67:O70" si="192">I67/SUM(I$67:I$70)*(B$67/B$71-1)</f>
        <v>9.9404603216919935E-2</v>
      </c>
      <c r="O67" s="2961">
        <f t="shared" si="192"/>
        <v>4.7636550760861554E-2</v>
      </c>
      <c r="P67" s="2961">
        <f t="shared" ref="P67:Q70" si="193">K67/SUM(K$67:K$70)*(E$67/E$71-1)</f>
        <v>8.3756345177664976E-2</v>
      </c>
      <c r="Q67" s="2961">
        <f t="shared" si="193"/>
        <v>5.2148766661559584E-2</v>
      </c>
      <c r="R67" s="2902"/>
      <c r="S67" s="2911"/>
      <c r="T67" s="2912"/>
      <c r="U67" s="2912"/>
      <c r="V67" s="2912"/>
      <c r="X67" s="2962"/>
      <c r="Y67" s="2962"/>
      <c r="Z67" s="2962"/>
    </row>
    <row r="68" spans="1:26">
      <c r="A68" s="2898" t="s">
        <v>2596</v>
      </c>
      <c r="B68" s="2899">
        <f t="shared" ref="B68:C70" si="194">B69+(B$67-B$71)*I68/SUM(I$67:I$70)</f>
        <v>125.9720430107527</v>
      </c>
      <c r="C68" s="2899">
        <f t="shared" si="194"/>
        <v>125.1883408071749</v>
      </c>
      <c r="D68" s="2899">
        <f t="shared" si="164"/>
        <v>125.1883408071749</v>
      </c>
      <c r="E68" s="2899">
        <f t="shared" ref="E68:F70" si="195">E69+(E$67-E$71)*K68/SUM(K$67:K$70)</f>
        <v>144.61421319796952</v>
      </c>
      <c r="F68" s="2899">
        <f t="shared" si="195"/>
        <v>108.42008196721311</v>
      </c>
      <c r="G68" s="3548">
        <v>2005</v>
      </c>
      <c r="H68" s="2925">
        <v>3</v>
      </c>
      <c r="I68" s="2925">
        <v>0.46</v>
      </c>
      <c r="J68" s="2925">
        <v>0.32</v>
      </c>
      <c r="K68" s="2925">
        <v>0.42</v>
      </c>
      <c r="L68" s="2926">
        <v>0.64</v>
      </c>
      <c r="N68" s="2960">
        <f t="shared" si="192"/>
        <v>1.3898515951301874E-2</v>
      </c>
      <c r="O68" s="2961">
        <f t="shared" si="192"/>
        <v>1.0585900169080346E-2</v>
      </c>
      <c r="P68" s="2961">
        <f t="shared" si="193"/>
        <v>5.3299492385786795E-2</v>
      </c>
      <c r="Q68" s="2961">
        <f t="shared" si="193"/>
        <v>4.2898728359123568E-3</v>
      </c>
      <c r="R68" s="2902"/>
      <c r="S68" s="2901"/>
      <c r="T68" s="2887"/>
      <c r="U68" s="2887"/>
      <c r="V68" s="2887"/>
      <c r="X68" s="2962"/>
      <c r="Y68" s="2962"/>
      <c r="Z68" s="2962"/>
    </row>
    <row r="69" spans="1:26">
      <c r="A69" s="2898" t="s">
        <v>2597</v>
      </c>
      <c r="B69" s="2899">
        <f t="shared" si="194"/>
        <v>124.29032258064517</v>
      </c>
      <c r="C69" s="2899">
        <f t="shared" si="194"/>
        <v>123.8968609865471</v>
      </c>
      <c r="D69" s="2899">
        <f t="shared" si="164"/>
        <v>123.8968609865471</v>
      </c>
      <c r="E69" s="2899">
        <f t="shared" si="195"/>
        <v>138.00507614213197</v>
      </c>
      <c r="F69" s="2899">
        <f t="shared" si="195"/>
        <v>107.96106557377048</v>
      </c>
      <c r="G69" s="3548">
        <v>2005</v>
      </c>
      <c r="H69" s="2913">
        <v>2</v>
      </c>
      <c r="I69" s="2913">
        <v>0.47</v>
      </c>
      <c r="J69" s="2913">
        <v>0.1</v>
      </c>
      <c r="K69" s="2913">
        <v>0.52</v>
      </c>
      <c r="L69" s="2914">
        <v>0.79</v>
      </c>
      <c r="N69" s="2960">
        <f t="shared" si="192"/>
        <v>1.420065760241713E-2</v>
      </c>
      <c r="O69" s="2961">
        <f t="shared" si="192"/>
        <v>3.3080938028376083E-3</v>
      </c>
      <c r="P69" s="2961">
        <f t="shared" si="193"/>
        <v>6.598984771573603E-2</v>
      </c>
      <c r="Q69" s="2961">
        <f t="shared" si="193"/>
        <v>5.2953117818293153E-3</v>
      </c>
      <c r="R69" s="2902"/>
      <c r="S69" s="2901"/>
      <c r="T69" s="2887"/>
      <c r="U69" s="2887"/>
      <c r="V69" s="2887"/>
      <c r="X69" s="2962"/>
      <c r="Y69" s="2962"/>
      <c r="Z69" s="2962"/>
    </row>
    <row r="70" spans="1:26">
      <c r="A70" s="2898" t="s">
        <v>2598</v>
      </c>
      <c r="B70" s="2899">
        <f t="shared" si="194"/>
        <v>122.57204301075269</v>
      </c>
      <c r="C70" s="2899">
        <f t="shared" si="194"/>
        <v>123.4932735426009</v>
      </c>
      <c r="D70" s="2899">
        <f t="shared" si="164"/>
        <v>123.4932735426009</v>
      </c>
      <c r="E70" s="2899">
        <f t="shared" si="195"/>
        <v>129.82233502538071</v>
      </c>
      <c r="F70" s="2899">
        <f t="shared" si="195"/>
        <v>107.39446721311475</v>
      </c>
      <c r="G70" s="3551">
        <v>2005</v>
      </c>
      <c r="H70" s="2900">
        <v>1</v>
      </c>
      <c r="I70" s="2900">
        <v>0.43</v>
      </c>
      <c r="J70" s="2900">
        <v>0.37</v>
      </c>
      <c r="K70" s="2900">
        <v>0.37</v>
      </c>
      <c r="L70" s="2906">
        <v>0.55000000000000004</v>
      </c>
      <c r="N70" s="2963">
        <f t="shared" si="192"/>
        <v>1.2992090997956099E-2</v>
      </c>
      <c r="O70" s="2964">
        <f t="shared" si="192"/>
        <v>1.2239947070499151E-2</v>
      </c>
      <c r="P70" s="2964">
        <f t="shared" si="193"/>
        <v>4.6954314720812178E-2</v>
      </c>
      <c r="Q70" s="2964">
        <f t="shared" si="193"/>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2599</v>
      </c>
      <c r="B71" s="2948">
        <v>121</v>
      </c>
      <c r="C71" s="2948">
        <v>122</v>
      </c>
      <c r="D71" s="2948">
        <f t="shared" si="164"/>
        <v>122</v>
      </c>
      <c r="E71" s="2948">
        <v>124</v>
      </c>
      <c r="F71" s="2949">
        <v>107</v>
      </c>
      <c r="G71" s="3550">
        <v>2004</v>
      </c>
      <c r="H71" s="2922">
        <v>4</v>
      </c>
      <c r="I71" s="2922">
        <v>0.33</v>
      </c>
      <c r="J71" s="2922">
        <v>0.5</v>
      </c>
      <c r="K71" s="2922">
        <v>0.5</v>
      </c>
      <c r="L71" s="2923">
        <v>0</v>
      </c>
      <c r="N71" s="2960">
        <f t="shared" ref="N71:O74" si="196">I71/SUM(I$71:I$74)*(B$71/B$75-1)</f>
        <v>1.3391770148526898E-2</v>
      </c>
      <c r="O71" s="2961">
        <f t="shared" si="196"/>
        <v>1.063264221158958E-2</v>
      </c>
      <c r="P71" s="2961">
        <f t="shared" ref="P71:Q74" si="197">K71/SUM(K$71:K$74)*(E$71/E$75-1)</f>
        <v>2.2244466688911134E-2</v>
      </c>
      <c r="Q71" s="2961">
        <f t="shared" si="197"/>
        <v>0</v>
      </c>
      <c r="R71" s="2902"/>
      <c r="S71" s="2911"/>
      <c r="T71" s="2912"/>
      <c r="U71" s="2912"/>
      <c r="V71" s="2912"/>
      <c r="X71" s="2962"/>
      <c r="Y71" s="2962"/>
      <c r="Z71" s="2962"/>
    </row>
    <row r="72" spans="1:26">
      <c r="A72" s="2898" t="s">
        <v>2600</v>
      </c>
      <c r="B72" s="2899">
        <f t="shared" ref="B72:C74" si="198">B73+(B$71-B$75)*I72/SUM(I$71:I$74)</f>
        <v>119.51351351351352</v>
      </c>
      <c r="C72" s="2899">
        <f t="shared" si="198"/>
        <v>120.7878787878788</v>
      </c>
      <c r="D72" s="2899">
        <f t="shared" si="164"/>
        <v>120.7878787878788</v>
      </c>
      <c r="E72" s="2899">
        <f t="shared" ref="E72:F74" si="199">E73+(E$71-E$75)*K72/SUM(K$71:K$74)</f>
        <v>121.5975975975976</v>
      </c>
      <c r="F72" s="2899">
        <f t="shared" si="199"/>
        <v>107</v>
      </c>
      <c r="G72" s="3548">
        <v>2004</v>
      </c>
      <c r="H72" s="2925">
        <v>3</v>
      </c>
      <c r="I72" s="2925">
        <v>0.56000000000000005</v>
      </c>
      <c r="J72" s="2925">
        <v>0.8</v>
      </c>
      <c r="K72" s="2925">
        <v>0.83</v>
      </c>
      <c r="L72" s="2926">
        <v>0.06</v>
      </c>
      <c r="N72" s="2960">
        <f t="shared" si="196"/>
        <v>2.2725428130833527E-2</v>
      </c>
      <c r="O72" s="2961">
        <f t="shared" si="196"/>
        <v>1.7012227538543329E-2</v>
      </c>
      <c r="P72" s="2961">
        <f t="shared" si="197"/>
        <v>3.6925814703592477E-2</v>
      </c>
      <c r="Q72" s="2961">
        <f t="shared" si="197"/>
        <v>2.8846153846153744E-2</v>
      </c>
      <c r="R72" s="2902"/>
      <c r="S72" s="2901"/>
      <c r="T72" s="2887"/>
      <c r="U72" s="2887"/>
      <c r="V72" s="2887"/>
      <c r="X72" s="2962"/>
      <c r="Y72" s="2962"/>
      <c r="Z72" s="2962"/>
    </row>
    <row r="73" spans="1:26">
      <c r="A73" s="2898" t="s">
        <v>2601</v>
      </c>
      <c r="B73" s="2899">
        <f t="shared" si="198"/>
        <v>116.99099099099099</v>
      </c>
      <c r="C73" s="2899">
        <f t="shared" si="198"/>
        <v>118.84848484848486</v>
      </c>
      <c r="D73" s="2899">
        <f t="shared" si="164"/>
        <v>118.84848484848486</v>
      </c>
      <c r="E73" s="2899">
        <f t="shared" si="199"/>
        <v>117.60960960960961</v>
      </c>
      <c r="F73" s="2899">
        <f t="shared" si="199"/>
        <v>104</v>
      </c>
      <c r="G73" s="3548">
        <v>2004</v>
      </c>
      <c r="H73" s="2913">
        <v>2</v>
      </c>
      <c r="I73" s="2913">
        <v>1</v>
      </c>
      <c r="J73" s="2913">
        <v>1.5</v>
      </c>
      <c r="K73" s="2913">
        <v>1.5</v>
      </c>
      <c r="L73" s="2914">
        <v>0</v>
      </c>
      <c r="N73" s="2960">
        <f t="shared" si="196"/>
        <v>4.0581121662202721E-2</v>
      </c>
      <c r="O73" s="2961">
        <f t="shared" si="196"/>
        <v>3.1897926634768738E-2</v>
      </c>
      <c r="P73" s="2961">
        <f t="shared" si="197"/>
        <v>6.6733400066733395E-2</v>
      </c>
      <c r="Q73" s="2961">
        <f t="shared" si="197"/>
        <v>0</v>
      </c>
      <c r="R73" s="2902"/>
      <c r="S73" s="2901"/>
      <c r="T73" s="2887"/>
      <c r="U73" s="2887"/>
      <c r="V73" s="2887"/>
      <c r="X73" s="2962"/>
      <c r="Y73" s="2962"/>
      <c r="Z73" s="2962"/>
    </row>
    <row r="74" spans="1:26" s="2954" customFormat="1" ht="13.5" thickBot="1">
      <c r="A74" s="2898" t="s">
        <v>2602</v>
      </c>
      <c r="B74" s="2951">
        <f t="shared" si="198"/>
        <v>112.48648648648648</v>
      </c>
      <c r="C74" s="2951">
        <f t="shared" si="198"/>
        <v>115.21212121212122</v>
      </c>
      <c r="D74" s="2951">
        <f t="shared" si="164"/>
        <v>115.21212121212122</v>
      </c>
      <c r="E74" s="2951">
        <f t="shared" si="199"/>
        <v>110.4024024024024</v>
      </c>
      <c r="F74" s="2951">
        <f t="shared" si="199"/>
        <v>104</v>
      </c>
      <c r="G74" s="3551">
        <v>2004</v>
      </c>
      <c r="H74" s="2952">
        <v>1</v>
      </c>
      <c r="I74" s="2952">
        <v>0.33</v>
      </c>
      <c r="J74" s="2952">
        <v>0.5</v>
      </c>
      <c r="K74" s="2952">
        <v>0.5</v>
      </c>
      <c r="L74" s="2953">
        <v>0</v>
      </c>
      <c r="N74" s="2965">
        <f t="shared" si="196"/>
        <v>1.3391770148526898E-2</v>
      </c>
      <c r="O74" s="2966">
        <f t="shared" si="196"/>
        <v>1.063264221158958E-2</v>
      </c>
      <c r="P74" s="2966">
        <f t="shared" si="197"/>
        <v>2.2244466688911134E-2</v>
      </c>
      <c r="Q74" s="2966">
        <f t="shared" si="197"/>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2603</v>
      </c>
      <c r="B75" s="2968">
        <v>111</v>
      </c>
      <c r="C75" s="2968">
        <v>114</v>
      </c>
      <c r="D75" s="2968">
        <f t="shared" si="164"/>
        <v>114</v>
      </c>
      <c r="E75" s="2968">
        <v>108</v>
      </c>
      <c r="F75" s="2969">
        <v>104</v>
      </c>
      <c r="G75" s="3550">
        <v>2003</v>
      </c>
      <c r="H75" s="2958">
        <v>4</v>
      </c>
      <c r="I75" s="2970"/>
      <c r="J75" s="2970"/>
      <c r="K75" s="2970"/>
      <c r="L75" s="2970"/>
      <c r="N75" s="2971"/>
      <c r="O75" s="2970"/>
      <c r="P75" s="2970"/>
      <c r="Q75" s="2970"/>
      <c r="S75" s="2971"/>
      <c r="T75" s="2970"/>
      <c r="U75" s="2970"/>
      <c r="V75" s="2970"/>
      <c r="X75" s="2962"/>
      <c r="Y75" s="2962"/>
      <c r="Z75" s="2962"/>
    </row>
    <row r="76" spans="1:26">
      <c r="A76" s="2898" t="s">
        <v>2604</v>
      </c>
      <c r="B76" s="2972">
        <f t="shared" ref="B76:C78" si="200">B77+(B$75-B$79)/4</f>
        <v>109.75</v>
      </c>
      <c r="C76" s="2972">
        <f t="shared" si="200"/>
        <v>112.25</v>
      </c>
      <c r="D76" s="2972">
        <f t="shared" si="164"/>
        <v>112.25</v>
      </c>
      <c r="E76" s="2972">
        <f t="shared" ref="E76:F78" si="201">E77+(E$75-E$79)/4</f>
        <v>107.25</v>
      </c>
      <c r="F76" s="2972">
        <f t="shared" si="201"/>
        <v>103.5</v>
      </c>
      <c r="G76" s="3548">
        <v>2003</v>
      </c>
      <c r="H76" s="2925">
        <v>3</v>
      </c>
      <c r="I76" s="2970"/>
      <c r="J76" s="2970"/>
      <c r="K76" s="2970"/>
      <c r="L76" s="2970"/>
      <c r="X76" s="2962"/>
      <c r="Y76" s="2962"/>
      <c r="Z76" s="2962"/>
    </row>
    <row r="77" spans="1:26">
      <c r="A77" s="2898" t="s">
        <v>2605</v>
      </c>
      <c r="B77" s="2972">
        <f t="shared" si="200"/>
        <v>108.5</v>
      </c>
      <c r="C77" s="2972">
        <f t="shared" si="200"/>
        <v>110.5</v>
      </c>
      <c r="D77" s="2972">
        <f t="shared" si="164"/>
        <v>110.5</v>
      </c>
      <c r="E77" s="2972">
        <f t="shared" si="201"/>
        <v>106.5</v>
      </c>
      <c r="F77" s="2972">
        <f t="shared" si="201"/>
        <v>103</v>
      </c>
      <c r="G77" s="3548">
        <v>2003</v>
      </c>
      <c r="H77" s="2913">
        <v>2</v>
      </c>
      <c r="I77" s="2970"/>
      <c r="J77" s="2970"/>
      <c r="K77" s="2970"/>
      <c r="L77" s="2970"/>
      <c r="X77" s="2962"/>
      <c r="Y77" s="2962"/>
      <c r="Z77" s="2962"/>
    </row>
    <row r="78" spans="1:26" ht="13.5" thickBot="1">
      <c r="A78" s="2898" t="s">
        <v>2606</v>
      </c>
      <c r="B78" s="2972">
        <f t="shared" si="200"/>
        <v>107.25</v>
      </c>
      <c r="C78" s="2972">
        <f t="shared" si="200"/>
        <v>108.75</v>
      </c>
      <c r="D78" s="2972">
        <f t="shared" si="164"/>
        <v>108.75</v>
      </c>
      <c r="E78" s="2972">
        <f t="shared" si="201"/>
        <v>105.75</v>
      </c>
      <c r="F78" s="2972">
        <f t="shared" si="201"/>
        <v>102.5</v>
      </c>
      <c r="G78" s="3551">
        <v>2003</v>
      </c>
      <c r="H78" s="2973">
        <v>1</v>
      </c>
      <c r="I78" s="2970"/>
      <c r="J78" s="2970"/>
      <c r="K78" s="2970"/>
      <c r="L78" s="2970"/>
      <c r="S78" s="2901"/>
      <c r="T78" s="2887"/>
      <c r="U78" s="2887"/>
      <c r="X78" s="2962"/>
      <c r="Y78" s="2962"/>
      <c r="Z78" s="2962"/>
    </row>
    <row r="79" spans="1:26" ht="13.5" thickBot="1">
      <c r="A79" s="2898" t="s">
        <v>2607</v>
      </c>
      <c r="B79" s="2974">
        <v>106</v>
      </c>
      <c r="C79" s="2974">
        <v>107</v>
      </c>
      <c r="D79" s="2974">
        <f t="shared" si="164"/>
        <v>107</v>
      </c>
      <c r="E79" s="2974">
        <v>105</v>
      </c>
      <c r="F79" s="2975">
        <v>102</v>
      </c>
      <c r="G79" s="3550">
        <v>2002</v>
      </c>
      <c r="H79" s="2922">
        <v>4</v>
      </c>
      <c r="I79" s="2970"/>
      <c r="J79" s="2970"/>
      <c r="K79" s="2970"/>
      <c r="L79" s="2970"/>
      <c r="N79" s="2971"/>
      <c r="O79" s="2970"/>
      <c r="P79" s="2970"/>
      <c r="Q79" s="2970"/>
      <c r="S79" s="2971"/>
      <c r="T79" s="2970"/>
      <c r="U79" s="2970"/>
      <c r="V79" s="2970"/>
      <c r="X79" s="2962"/>
      <c r="Y79" s="2962"/>
      <c r="Z79" s="2962"/>
    </row>
    <row r="80" spans="1:26">
      <c r="A80" s="2898" t="s">
        <v>2608</v>
      </c>
      <c r="B80" s="2972">
        <f t="shared" ref="B80:C82" si="202">B81+(B$79-B$83)/4</f>
        <v>105</v>
      </c>
      <c r="C80" s="2972">
        <f t="shared" si="202"/>
        <v>106</v>
      </c>
      <c r="D80" s="2972">
        <f t="shared" si="164"/>
        <v>106</v>
      </c>
      <c r="E80" s="2972">
        <f t="shared" ref="E80:F82" si="203">E81+(E$79-E$83)/4</f>
        <v>104.5</v>
      </c>
      <c r="F80" s="2972">
        <f t="shared" si="203"/>
        <v>101.5</v>
      </c>
      <c r="G80" s="3548">
        <v>2002</v>
      </c>
      <c r="H80" s="2925">
        <v>3</v>
      </c>
      <c r="I80" s="2970"/>
      <c r="J80" s="2970"/>
      <c r="K80" s="2970"/>
      <c r="L80" s="2970"/>
      <c r="X80" s="2962"/>
      <c r="Y80" s="2962"/>
      <c r="Z80" s="2962"/>
    </row>
    <row r="81" spans="1:26">
      <c r="A81" s="2898" t="s">
        <v>2609</v>
      </c>
      <c r="B81" s="2972">
        <f t="shared" si="202"/>
        <v>104</v>
      </c>
      <c r="C81" s="2972">
        <f t="shared" si="202"/>
        <v>105</v>
      </c>
      <c r="D81" s="2972">
        <f t="shared" si="164"/>
        <v>105</v>
      </c>
      <c r="E81" s="2972">
        <f t="shared" si="203"/>
        <v>104</v>
      </c>
      <c r="F81" s="2972">
        <f t="shared" si="203"/>
        <v>101</v>
      </c>
      <c r="G81" s="3548">
        <v>2002</v>
      </c>
      <c r="H81" s="2913">
        <v>2</v>
      </c>
      <c r="I81" s="2970"/>
      <c r="J81" s="2970"/>
      <c r="K81" s="2970"/>
      <c r="L81" s="2970"/>
      <c r="X81" s="2962"/>
      <c r="Y81" s="2962"/>
      <c r="Z81" s="2962"/>
    </row>
    <row r="82" spans="1:26" s="2935" customFormat="1" ht="13.5" thickBot="1">
      <c r="A82" s="2931" t="s">
        <v>2610</v>
      </c>
      <c r="B82" s="2938">
        <f t="shared" si="202"/>
        <v>103</v>
      </c>
      <c r="C82" s="2938">
        <f t="shared" si="202"/>
        <v>104</v>
      </c>
      <c r="D82" s="2938">
        <f t="shared" si="164"/>
        <v>104</v>
      </c>
      <c r="E82" s="2938">
        <f t="shared" si="203"/>
        <v>103.5</v>
      </c>
      <c r="F82" s="2938">
        <f t="shared" si="203"/>
        <v>100.5</v>
      </c>
      <c r="G82" s="3551">
        <v>2002</v>
      </c>
      <c r="H82" s="2976">
        <v>1</v>
      </c>
      <c r="I82" s="2977"/>
      <c r="J82" s="2977"/>
      <c r="K82" s="2977"/>
      <c r="L82" s="2977"/>
      <c r="N82" s="2978"/>
      <c r="S82" s="2978"/>
      <c r="X82" s="2979"/>
      <c r="Y82" s="2979"/>
      <c r="Z82" s="2979"/>
    </row>
    <row r="83" spans="1:26" ht="13.5" thickBot="1">
      <c r="B83" s="2980">
        <v>102</v>
      </c>
      <c r="C83" s="2981">
        <v>103</v>
      </c>
      <c r="D83" s="2981">
        <f t="shared" si="164"/>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2611</v>
      </c>
      <c r="G85" s="2985"/>
      <c r="N85" s="2985"/>
      <c r="S85" s="2985"/>
    </row>
    <row r="86" spans="1:26" s="2984" customFormat="1">
      <c r="A86" s="2984" t="s">
        <v>2612</v>
      </c>
      <c r="G86" s="2985"/>
      <c r="N86" s="2985"/>
      <c r="S86" s="2985"/>
    </row>
    <row r="87" spans="1:26" s="2984" customFormat="1">
      <c r="A87" s="2984" t="s">
        <v>2613</v>
      </c>
      <c r="G87" s="2985"/>
      <c r="I87" s="2986"/>
      <c r="J87" s="2986"/>
      <c r="K87" s="2986"/>
      <c r="L87" s="2986"/>
      <c r="N87" s="2987"/>
      <c r="O87" s="2986"/>
      <c r="P87" s="2986"/>
      <c r="Q87" s="2986"/>
      <c r="S87" s="2987"/>
      <c r="T87" s="2986"/>
      <c r="U87" s="2986"/>
      <c r="V87" s="2986"/>
    </row>
    <row r="88" spans="1:26" s="2984" customFormat="1">
      <c r="A88" s="2984" t="s">
        <v>2614</v>
      </c>
      <c r="G88" s="2985"/>
      <c r="N88" s="2985"/>
      <c r="S88" s="2985"/>
    </row>
    <row r="95" spans="1:26" ht="13.5" thickBot="1"/>
    <row r="96" spans="1:26">
      <c r="G96" s="2886"/>
      <c r="S96" s="2988" t="s">
        <v>2615</v>
      </c>
      <c r="T96" s="2989" t="s">
        <v>2616</v>
      </c>
      <c r="U96" s="2989" t="s">
        <v>2617</v>
      </c>
      <c r="V96" s="2989" t="s">
        <v>2618</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2916</v>
      </c>
      <c r="B1" s="3246"/>
      <c r="C1" s="3246"/>
      <c r="D1" s="3246"/>
      <c r="E1" s="3246"/>
      <c r="F1" s="3246"/>
      <c r="G1" s="3247"/>
      <c r="H1" s="3247"/>
      <c r="I1" s="3247"/>
      <c r="J1" s="3247"/>
      <c r="K1" s="3247"/>
      <c r="L1" s="3247"/>
      <c r="M1" s="3247"/>
      <c r="N1" s="3247"/>
    </row>
    <row r="2" spans="1:14" ht="14.25">
      <c r="A2" s="3252" t="s">
        <v>2911</v>
      </c>
      <c r="B2" s="3257">
        <f ca="1">SUMIF(B7:B14,"&lt;&gt;#ref!",B7:B14)</f>
        <v>0</v>
      </c>
      <c r="C2" s="3252" t="s">
        <v>2912</v>
      </c>
      <c r="D2" s="3249"/>
      <c r="E2" s="3249"/>
      <c r="F2" s="3249"/>
      <c r="G2" s="3247"/>
      <c r="H2" s="3247"/>
      <c r="I2" s="3247"/>
      <c r="J2" s="3247"/>
      <c r="K2" s="3247"/>
      <c r="L2" s="3247"/>
      <c r="M2" s="3247"/>
      <c r="N2" s="3247"/>
    </row>
    <row r="3" spans="1:14" ht="14.25">
      <c r="A3" s="3252" t="s">
        <v>2941</v>
      </c>
      <c r="B3" s="3257" t="e">
        <f ca="1">ROUND(B2*10000/E3,0)</f>
        <v>#DIV/0!</v>
      </c>
      <c r="C3" s="3252" t="s">
        <v>2067</v>
      </c>
      <c r="D3" s="3252" t="s">
        <v>2913</v>
      </c>
      <c r="E3" s="3250">
        <f ca="1">SUMIF(E7:E14,"&lt;&gt;#ref!",E7:E14)</f>
        <v>0</v>
      </c>
      <c r="F3" s="3249"/>
      <c r="G3" s="3247"/>
      <c r="H3" s="3247"/>
      <c r="I3" s="3247"/>
      <c r="J3" s="3247"/>
      <c r="K3" s="3247"/>
      <c r="L3" s="3247"/>
      <c r="M3" s="3247"/>
      <c r="N3" s="3247"/>
    </row>
    <row r="4" spans="1:14" ht="14.25">
      <c r="A4" s="3252" t="s">
        <v>2919</v>
      </c>
      <c r="B4" s="3257" t="e">
        <f ca="1">ROUND(B2*10000/E4,0)</f>
        <v>#DIV/0!</v>
      </c>
      <c r="C4" s="3252" t="s">
        <v>2067</v>
      </c>
      <c r="D4" s="3252" t="s">
        <v>2920</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2917</v>
      </c>
      <c r="B6" s="3252" t="s">
        <v>2914</v>
      </c>
      <c r="C6" s="2790"/>
      <c r="D6" s="3249"/>
      <c r="E6" s="3252" t="s">
        <v>2915</v>
      </c>
      <c r="F6" s="3252" t="s">
        <v>2918</v>
      </c>
      <c r="G6" s="3247"/>
      <c r="H6" s="3247"/>
      <c r="I6" s="3247"/>
      <c r="J6" s="3247"/>
      <c r="K6" s="3247"/>
      <c r="L6" s="3247"/>
      <c r="M6" s="3247"/>
      <c r="N6" s="3247"/>
    </row>
    <row r="7" spans="1:14" ht="14.25">
      <c r="A7" s="3255"/>
      <c r="B7" s="3257" t="e">
        <f ca="1">SUMIF(INDIRECT("'"&amp;A7&amp;"'"&amp;"!A:A"),"总价",INDIRECT("'"&amp;A7&amp;"'"&amp;"!B:B"))</f>
        <v>#REF!</v>
      </c>
      <c r="C7" s="3252" t="s">
        <v>2912</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2912</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2912</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2912</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2912</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2912</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2912</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2912</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-2</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05" t="s">
        <v>2444</v>
      </c>
      <c r="C8" s="1741">
        <f ca="1">ROUND(F8*F10*F9*(1-F11)/10000,0)</f>
        <v>0</v>
      </c>
      <c r="D8" s="1738" t="s">
        <v>2515</v>
      </c>
      <c r="E8" s="61" t="s">
        <v>631</v>
      </c>
      <c r="F8" s="775">
        <f ca="1">INDIRECT("'数据-取费表'!u"&amp;$G$1)</f>
        <v>0</v>
      </c>
      <c r="G8" s="1527"/>
      <c r="H8" s="2358" t="s">
        <v>1815</v>
      </c>
      <c r="I8" s="3505" t="s">
        <v>2444</v>
      </c>
      <c r="J8" s="773">
        <f ca="1">ROUND(M8*M10*M9*(1-M11)/10000,0)</f>
        <v>0</v>
      </c>
      <c r="K8" s="339" t="s">
        <v>2515</v>
      </c>
      <c r="L8" s="774" t="s">
        <v>1729</v>
      </c>
      <c r="M8" s="775">
        <f ca="1">INDIRECT("'数据-取费表'!z"&amp;$G$1)</f>
        <v>0</v>
      </c>
    </row>
    <row r="9" spans="1:25" ht="18" customHeight="1">
      <c r="A9" s="2354"/>
      <c r="B9" s="3506"/>
      <c r="C9" s="1742"/>
      <c r="D9" s="1739"/>
      <c r="E9" s="61" t="s">
        <v>632</v>
      </c>
      <c r="F9" s="775">
        <f ca="1">IF(INDIRECT("'数据-取费表'!ah"&amp;$G$1)="",INDIRECT("'数据-取费表'!k"&amp;$G$1),INDIRECT("'数据-取费表'!ah"&amp;$G$1))</f>
        <v>0</v>
      </c>
      <c r="G9" s="1527"/>
      <c r="H9" s="2343"/>
      <c r="I9" s="3506"/>
      <c r="J9" s="778"/>
      <c r="K9" s="779"/>
      <c r="L9" s="774" t="s">
        <v>1730</v>
      </c>
      <c r="M9" s="775">
        <f ca="1">F9</f>
        <v>0</v>
      </c>
    </row>
    <row r="10" spans="1:25" ht="18" customHeight="1">
      <c r="A10" s="2347"/>
      <c r="B10" s="3507"/>
      <c r="C10" s="1742"/>
      <c r="D10" s="1739"/>
      <c r="E10" s="61" t="s">
        <v>633</v>
      </c>
      <c r="F10" s="775">
        <f ca="1">INDIRECT("'数据-取费表'!ai"&amp;$G$1)</f>
        <v>0</v>
      </c>
      <c r="G10" s="1527"/>
      <c r="H10" s="2343"/>
      <c r="I10" s="3507"/>
      <c r="J10" s="778"/>
      <c r="K10" s="779"/>
      <c r="L10" s="774" t="s">
        <v>1731</v>
      </c>
      <c r="M10" s="775">
        <f ca="1">INDIRECT("'数据-取费表'!ai"&amp;$G$1)</f>
        <v>0</v>
      </c>
    </row>
    <row r="11" spans="1:25" ht="18" customHeight="1">
      <c r="A11" s="776"/>
      <c r="B11" s="3508"/>
      <c r="C11" s="1742"/>
      <c r="D11" s="1739"/>
      <c r="E11" s="61" t="s">
        <v>634</v>
      </c>
      <c r="F11" s="784">
        <f ca="1">INDIRECT("'数据-取费表'!w"&amp;$G$1)</f>
        <v>0</v>
      </c>
      <c r="G11" s="1527"/>
      <c r="H11" s="2359"/>
      <c r="I11" s="3507"/>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2938</v>
      </c>
      <c r="E12" s="2352" t="s">
        <v>2445</v>
      </c>
      <c r="F12" s="2466"/>
      <c r="G12" s="1527"/>
      <c r="H12" s="2415" t="s">
        <v>1816</v>
      </c>
      <c r="I12" s="2420" t="s">
        <v>2440</v>
      </c>
      <c r="J12" s="773">
        <f ca="1">ROUND(IF(M12="押一",J8/12*M13,IF(M12="押二",J8/12*2*M13,IF(M12="押三",J8/12*3*M13,J13*M13))),0)</f>
        <v>0</v>
      </c>
      <c r="K12" s="2355" t="s">
        <v>2938</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3.7999999999999999E-2</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150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1</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2</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2995</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v>
      </c>
      <c r="G36" s="1946"/>
      <c r="H36" s="1949"/>
      <c r="I36" s="3558"/>
      <c r="J36" s="1963"/>
      <c r="K36" s="1964"/>
      <c r="L36" s="1963"/>
      <c r="M36" s="1963"/>
    </row>
    <row r="37" spans="1:18" ht="18" customHeight="1">
      <c r="A37" s="804"/>
      <c r="B37" s="783"/>
      <c r="C37" s="69"/>
      <c r="D37" s="805"/>
      <c r="E37" s="774" t="s">
        <v>668</v>
      </c>
      <c r="F37" s="775">
        <f ca="1">INDIRECT("'数据-取费表'!r"&amp;$G$1)</f>
        <v>0</v>
      </c>
      <c r="G37" s="1946"/>
      <c r="H37" s="1949"/>
      <c r="I37" s="3558"/>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2927</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2930</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2942</v>
      </c>
      <c r="J54" s="2858">
        <f ca="1">IF(M48="住宅",MAX(J52,L49-'数据-取费表'!B20),MIN(J52,L49-'数据-取费表'!B20))</f>
        <v>-2</v>
      </c>
      <c r="K54" s="3559"/>
      <c r="L54" s="3560"/>
      <c r="O54" s="2257" t="s">
        <v>2373</v>
      </c>
      <c r="P54" s="2255" t="s">
        <v>2374</v>
      </c>
      <c r="Q54" s="2256">
        <f ca="1">J54</f>
        <v>-2</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2910</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61" t="s">
        <v>2452</v>
      </c>
      <c r="B1" s="3562"/>
      <c r="C1" s="3563"/>
      <c r="D1" s="3564">
        <f>SUM(I10,I15,I20,I21,I23)</f>
        <v>0</v>
      </c>
      <c r="E1" s="3564"/>
      <c r="F1" s="3564"/>
      <c r="G1" s="3564"/>
      <c r="H1" s="3564"/>
      <c r="I1" s="3565"/>
    </row>
    <row r="2" spans="1:9">
      <c r="A2" s="3566" t="s">
        <v>2453</v>
      </c>
      <c r="B2" s="3567" t="s">
        <v>2454</v>
      </c>
      <c r="C2" s="3567"/>
      <c r="D2" s="2361" t="s">
        <v>2455</v>
      </c>
      <c r="E2" s="2361" t="s">
        <v>2456</v>
      </c>
      <c r="F2" s="2361" t="s">
        <v>2457</v>
      </c>
      <c r="G2" s="2361" t="s">
        <v>2458</v>
      </c>
      <c r="H2" s="2361" t="s">
        <v>2459</v>
      </c>
      <c r="I2" s="2362" t="s">
        <v>2460</v>
      </c>
    </row>
    <row r="3" spans="1:9">
      <c r="A3" s="3566"/>
      <c r="B3" s="3567" t="s">
        <v>2461</v>
      </c>
      <c r="C3" s="3567"/>
      <c r="D3" s="2363"/>
      <c r="E3" s="2361"/>
      <c r="F3" s="2364"/>
      <c r="G3" s="2364"/>
      <c r="H3" s="2365"/>
      <c r="I3" s="2366">
        <f>ROUND(D3*E3*F3*G3*H3/10000,0)</f>
        <v>0</v>
      </c>
    </row>
    <row r="4" spans="1:9">
      <c r="A4" s="3566"/>
      <c r="B4" s="3567" t="s">
        <v>2462</v>
      </c>
      <c r="C4" s="3567"/>
      <c r="D4" s="2363"/>
      <c r="E4" s="2361"/>
      <c r="F4" s="2364"/>
      <c r="G4" s="2364"/>
      <c r="H4" s="2365"/>
      <c r="I4" s="2366">
        <f t="shared" ref="I4:I9" si="0">ROUND(D4*E4*F4*G4*H4/10000,0)</f>
        <v>0</v>
      </c>
    </row>
    <row r="5" spans="1:9">
      <c r="A5" s="3566"/>
      <c r="B5" s="3567" t="s">
        <v>2463</v>
      </c>
      <c r="C5" s="3567"/>
      <c r="D5" s="2363"/>
      <c r="E5" s="2361"/>
      <c r="F5" s="2364"/>
      <c r="G5" s="2364"/>
      <c r="H5" s="2365"/>
      <c r="I5" s="2366">
        <f t="shared" si="0"/>
        <v>0</v>
      </c>
    </row>
    <row r="6" spans="1:9">
      <c r="A6" s="3566"/>
      <c r="B6" s="3567" t="s">
        <v>2464</v>
      </c>
      <c r="C6" s="3567"/>
      <c r="D6" s="2363"/>
      <c r="E6" s="2361"/>
      <c r="F6" s="2364"/>
      <c r="G6" s="2364"/>
      <c r="H6" s="2365"/>
      <c r="I6" s="2366">
        <f t="shared" si="0"/>
        <v>0</v>
      </c>
    </row>
    <row r="7" spans="1:9">
      <c r="A7" s="3566"/>
      <c r="B7" s="3567" t="s">
        <v>2465</v>
      </c>
      <c r="C7" s="3567"/>
      <c r="D7" s="2363"/>
      <c r="E7" s="2361"/>
      <c r="F7" s="2364"/>
      <c r="G7" s="2364"/>
      <c r="H7" s="2365"/>
      <c r="I7" s="2366">
        <f t="shared" si="0"/>
        <v>0</v>
      </c>
    </row>
    <row r="8" spans="1:9">
      <c r="A8" s="3566"/>
      <c r="B8" s="3567" t="s">
        <v>2466</v>
      </c>
      <c r="C8" s="3567"/>
      <c r="D8" s="2363"/>
      <c r="E8" s="2361"/>
      <c r="F8" s="2364"/>
      <c r="G8" s="2364"/>
      <c r="H8" s="2365"/>
      <c r="I8" s="2366">
        <f t="shared" si="0"/>
        <v>0</v>
      </c>
    </row>
    <row r="9" spans="1:9">
      <c r="A9" s="3566"/>
      <c r="B9" s="3567" t="s">
        <v>2467</v>
      </c>
      <c r="C9" s="3567"/>
      <c r="D9" s="2363"/>
      <c r="E9" s="2361"/>
      <c r="F9" s="2364"/>
      <c r="G9" s="2364"/>
      <c r="H9" s="2365"/>
      <c r="I9" s="2366">
        <f t="shared" si="0"/>
        <v>0</v>
      </c>
    </row>
    <row r="10" spans="1:9">
      <c r="A10" s="3566"/>
      <c r="B10" s="3568" t="s">
        <v>2468</v>
      </c>
      <c r="C10" s="3568"/>
      <c r="D10" s="2367">
        <v>527</v>
      </c>
      <c r="E10" s="2367" t="e">
        <f>ROUND(D1*10000/D10/H9,0)</f>
        <v>#DIV/0!</v>
      </c>
      <c r="F10" s="2368"/>
      <c r="G10" s="2368"/>
      <c r="H10" s="2369"/>
      <c r="I10" s="2370">
        <f>SUM(I3:I9)</f>
        <v>0</v>
      </c>
    </row>
    <row r="11" spans="1:9" ht="14.25">
      <c r="A11" s="3566" t="s">
        <v>2469</v>
      </c>
      <c r="B11" s="3567" t="s">
        <v>2470</v>
      </c>
      <c r="C11" s="3567"/>
      <c r="D11" s="2363" t="s">
        <v>2471</v>
      </c>
      <c r="E11" s="2363" t="s">
        <v>2472</v>
      </c>
      <c r="F11" s="2364" t="s">
        <v>2473</v>
      </c>
      <c r="G11" s="2364" t="s">
        <v>2474</v>
      </c>
      <c r="H11" s="2371" t="s">
        <v>2475</v>
      </c>
      <c r="I11" s="2362" t="s">
        <v>2476</v>
      </c>
    </row>
    <row r="12" spans="1:9">
      <c r="A12" s="3566"/>
      <c r="B12" s="3567" t="s">
        <v>2477</v>
      </c>
      <c r="C12" s="3567"/>
      <c r="D12" s="2363"/>
      <c r="E12" s="2363"/>
      <c r="F12" s="2364"/>
      <c r="G12" s="2365"/>
      <c r="H12" s="2372"/>
      <c r="I12" s="2362">
        <f>ROUND(D12*E12*F12*G12/10000,0)</f>
        <v>0</v>
      </c>
    </row>
    <row r="13" spans="1:9">
      <c r="A13" s="3566"/>
      <c r="B13" s="3567" t="s">
        <v>2478</v>
      </c>
      <c r="C13" s="3567"/>
      <c r="D13" s="2363"/>
      <c r="E13" s="2363"/>
      <c r="F13" s="2364"/>
      <c r="G13" s="2365"/>
      <c r="H13" s="2372"/>
      <c r="I13" s="2362">
        <f>ROUND(D13*E13*F13*G13/10000,0)</f>
        <v>0</v>
      </c>
    </row>
    <row r="14" spans="1:9">
      <c r="A14" s="3566"/>
      <c r="B14" s="3567" t="s">
        <v>2479</v>
      </c>
      <c r="C14" s="3567"/>
      <c r="D14" s="2363"/>
      <c r="E14" s="2363"/>
      <c r="F14" s="2364"/>
      <c r="G14" s="2365"/>
      <c r="H14" s="2372"/>
      <c r="I14" s="2362">
        <f>ROUND(D14*E14*F14*G14/10000,0)</f>
        <v>0</v>
      </c>
    </row>
    <row r="15" spans="1:9">
      <c r="A15" s="3566"/>
      <c r="B15" s="3568" t="s">
        <v>2468</v>
      </c>
      <c r="C15" s="3568"/>
      <c r="D15" s="2367"/>
      <c r="E15" s="2367">
        <f>SUM(E12:E14)</f>
        <v>0</v>
      </c>
      <c r="F15" s="2368"/>
      <c r="G15" s="2365"/>
      <c r="H15" s="2372"/>
      <c r="I15" s="2373">
        <f>SUM(I12:I14)</f>
        <v>0</v>
      </c>
    </row>
    <row r="16" spans="1:9" ht="24">
      <c r="A16" s="3566" t="s">
        <v>2480</v>
      </c>
      <c r="B16" s="3567" t="s">
        <v>2481</v>
      </c>
      <c r="C16" s="3567"/>
      <c r="D16" s="2363" t="s">
        <v>2482</v>
      </c>
      <c r="E16" s="2374" t="s">
        <v>2483</v>
      </c>
      <c r="F16" s="2364" t="s">
        <v>2484</v>
      </c>
      <c r="G16" s="2365" t="s">
        <v>2474</v>
      </c>
      <c r="H16" s="2371" t="s">
        <v>2475</v>
      </c>
      <c r="I16" s="2362" t="s">
        <v>2476</v>
      </c>
    </row>
    <row r="17" spans="1:9" ht="14.25">
      <c r="A17" s="3566"/>
      <c r="B17" s="3567" t="s">
        <v>2485</v>
      </c>
      <c r="C17" s="3567"/>
      <c r="D17" s="2363"/>
      <c r="E17" s="2363"/>
      <c r="F17" s="2364"/>
      <c r="G17" s="2365"/>
      <c r="H17" s="2375"/>
      <c r="I17" s="2376">
        <f>ROUND(D17*E17*F17*G17/10000,0)</f>
        <v>0</v>
      </c>
    </row>
    <row r="18" spans="1:9" ht="14.25">
      <c r="A18" s="3566"/>
      <c r="B18" s="3567" t="s">
        <v>2486</v>
      </c>
      <c r="C18" s="3567"/>
      <c r="D18" s="2363"/>
      <c r="E18" s="2363"/>
      <c r="F18" s="2364"/>
      <c r="G18" s="2365"/>
      <c r="H18" s="2375"/>
      <c r="I18" s="2376">
        <f>ROUND(D18*E18*F18*G18/10000,0)</f>
        <v>0</v>
      </c>
    </row>
    <row r="19" spans="1:9" ht="14.25">
      <c r="A19" s="3566"/>
      <c r="B19" s="3567" t="s">
        <v>2487</v>
      </c>
      <c r="C19" s="3567"/>
      <c r="D19" s="2363"/>
      <c r="E19" s="2363"/>
      <c r="F19" s="2364"/>
      <c r="G19" s="2365"/>
      <c r="H19" s="2375"/>
      <c r="I19" s="2376">
        <f>ROUND(D19*E19*F19*G19/10000,0)</f>
        <v>0</v>
      </c>
    </row>
    <row r="20" spans="1:9">
      <c r="A20" s="3566"/>
      <c r="B20" s="3568" t="s">
        <v>2468</v>
      </c>
      <c r="C20" s="3568"/>
      <c r="D20" s="2367">
        <f>SUM(D17:D19)</f>
        <v>0</v>
      </c>
      <c r="E20" s="2367"/>
      <c r="F20" s="2368"/>
      <c r="G20" s="2365"/>
      <c r="H20" s="2372"/>
      <c r="I20" s="2373">
        <f>SUM(I17:I19)</f>
        <v>0</v>
      </c>
    </row>
    <row r="21" spans="1:9">
      <c r="A21" s="3566" t="s">
        <v>2488</v>
      </c>
      <c r="B21" s="3570"/>
      <c r="C21" s="3570"/>
      <c r="D21" s="3570"/>
      <c r="E21" s="3570"/>
      <c r="F21" s="3570"/>
      <c r="G21" s="3570"/>
      <c r="H21" s="2377">
        <v>0.1</v>
      </c>
      <c r="I21" s="2370">
        <f>ROUND(I10*H21,0)</f>
        <v>0</v>
      </c>
    </row>
    <row r="22" spans="1:9" ht="14.25">
      <c r="A22" s="3571" t="s">
        <v>2489</v>
      </c>
      <c r="B22" s="3572"/>
      <c r="C22" s="3573"/>
      <c r="D22" s="2378" t="s">
        <v>2490</v>
      </c>
      <c r="E22" s="2378" t="s">
        <v>2491</v>
      </c>
      <c r="F22" s="2379" t="s">
        <v>2492</v>
      </c>
      <c r="G22" s="2379" t="s">
        <v>2493</v>
      </c>
      <c r="H22" s="2371" t="s">
        <v>2494</v>
      </c>
      <c r="I22" s="2362" t="s">
        <v>2495</v>
      </c>
    </row>
    <row r="23" spans="1:9" ht="14.25" thickBot="1">
      <c r="A23" s="3574"/>
      <c r="B23" s="3575"/>
      <c r="C23" s="3576"/>
      <c r="D23" s="2380"/>
      <c r="E23" s="2380"/>
      <c r="F23" s="2380"/>
      <c r="G23" s="2381"/>
      <c r="H23" s="2382"/>
      <c r="I23" s="2383">
        <f>ROUND(E23*D23*F23*(1-G23)/10000,0)</f>
        <v>0</v>
      </c>
    </row>
    <row r="26" spans="1:9">
      <c r="A26" s="2384" t="s">
        <v>2496</v>
      </c>
      <c r="B26" s="2384"/>
      <c r="C26" s="2384"/>
      <c r="D26" s="2384"/>
      <c r="E26" s="3577">
        <f>C27-C30-C31-C32</f>
        <v>0</v>
      </c>
      <c r="F26" s="3577"/>
      <c r="G26" s="3577"/>
      <c r="H26" s="2756" t="s">
        <v>2822</v>
      </c>
    </row>
    <row r="27" spans="1:9">
      <c r="A27" s="2385">
        <v>1</v>
      </c>
      <c r="B27" s="2386" t="s">
        <v>2497</v>
      </c>
      <c r="C27" s="2386"/>
      <c r="D27" s="2386"/>
      <c r="E27" s="3578"/>
      <c r="F27" s="3578"/>
      <c r="G27" s="3578"/>
    </row>
    <row r="28" spans="1:9">
      <c r="A28" s="2387" t="s">
        <v>2498</v>
      </c>
      <c r="B28" s="2386" t="s">
        <v>2499</v>
      </c>
      <c r="C28" s="2386"/>
      <c r="D28" s="2386"/>
      <c r="E28" s="3578"/>
      <c r="F28" s="3578"/>
      <c r="G28" s="3578"/>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69"/>
      <c r="F32" s="3569"/>
      <c r="G32" s="3569"/>
    </row>
    <row r="33" spans="1:7" hidden="1">
      <c r="A33" s="3579" t="s">
        <v>2507</v>
      </c>
      <c r="B33" s="3580"/>
      <c r="C33" s="3580"/>
      <c r="D33" s="3581"/>
      <c r="E33" s="3577"/>
      <c r="F33" s="3577"/>
      <c r="G33" s="3577"/>
    </row>
    <row r="34" spans="1:7" hidden="1">
      <c r="A34" s="2389">
        <v>1</v>
      </c>
      <c r="B34" s="2386" t="s">
        <v>2508</v>
      </c>
      <c r="C34" s="2386"/>
      <c r="D34" s="2386"/>
      <c r="E34" s="3578"/>
      <c r="F34" s="3578"/>
      <c r="G34" s="3578"/>
    </row>
    <row r="35" spans="1:7" hidden="1">
      <c r="A35" s="2389">
        <v>2</v>
      </c>
      <c r="B35" s="2386" t="s">
        <v>2509</v>
      </c>
      <c r="C35" s="2386"/>
      <c r="D35" s="2386"/>
      <c r="E35" s="3578"/>
      <c r="F35" s="3578"/>
      <c r="G35" s="3578"/>
    </row>
    <row r="36" spans="1:7" hidden="1">
      <c r="A36" s="2389">
        <v>3</v>
      </c>
      <c r="B36" s="2386" t="s">
        <v>2510</v>
      </c>
      <c r="C36" s="2386"/>
      <c r="D36" s="2386"/>
      <c r="E36" s="3578"/>
      <c r="F36" s="3578"/>
      <c r="G36" s="3578"/>
    </row>
    <row r="37" spans="1:7" hidden="1">
      <c r="A37" s="2389">
        <v>4</v>
      </c>
      <c r="B37" s="2386" t="s">
        <v>2511</v>
      </c>
      <c r="C37" s="2386"/>
      <c r="D37" s="2386"/>
      <c r="E37" s="3578"/>
      <c r="F37" s="3578"/>
      <c r="G37" s="3578"/>
    </row>
    <row r="38" spans="1:7" hidden="1">
      <c r="A38" s="3579" t="s">
        <v>2512</v>
      </c>
      <c r="B38" s="3580"/>
      <c r="C38" s="3580"/>
      <c r="D38" s="3581"/>
      <c r="E38" s="3577"/>
      <c r="F38" s="3577"/>
      <c r="G38" s="35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2997</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50</v>
      </c>
      <c r="F12" s="746"/>
      <c r="G12" s="749"/>
    </row>
    <row r="13" spans="1:25" s="2065" customFormat="1" ht="13.5" customHeight="1">
      <c r="A13" s="2330" t="s">
        <v>2430</v>
      </c>
      <c r="B13" s="747" t="s">
        <v>606</v>
      </c>
      <c r="C13" s="748">
        <f>ROUND(D13*E13/10000,0)</f>
        <v>1678</v>
      </c>
      <c r="D13" s="3271">
        <f>'数据-汇总表'!E6</f>
        <v>335510</v>
      </c>
      <c r="E13" s="3271">
        <f>'数据-取费表'!B28</f>
        <v>50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0.81699999999999995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471" t="s">
        <v>516</v>
      </c>
      <c r="D4" s="3472"/>
      <c r="E4" s="3511" t="s">
        <v>517</v>
      </c>
      <c r="F4" s="3512"/>
      <c r="G4" s="3471" t="s">
        <v>518</v>
      </c>
      <c r="H4" s="3472"/>
      <c r="I4" s="3471" t="s">
        <v>519</v>
      </c>
      <c r="J4" s="3472"/>
      <c r="K4" s="842" t="s">
        <v>520</v>
      </c>
      <c r="L4" s="2016"/>
      <c r="M4" s="2017"/>
      <c r="N4" s="2017"/>
      <c r="O4" s="2017"/>
      <c r="P4" s="3473" t="s">
        <v>521</v>
      </c>
      <c r="Q4" s="3474"/>
      <c r="R4" s="3479" t="s">
        <v>517</v>
      </c>
      <c r="S4" s="3480"/>
      <c r="T4" s="3479" t="s">
        <v>518</v>
      </c>
      <c r="U4" s="3480"/>
      <c r="V4" s="3466" t="s">
        <v>519</v>
      </c>
      <c r="W4" s="3466"/>
      <c r="X4" s="1502"/>
      <c r="Y4" s="3479" t="s">
        <v>521</v>
      </c>
      <c r="Z4" s="3480"/>
      <c r="AA4" s="3468" t="s">
        <v>517</v>
      </c>
      <c r="AB4" s="3468" t="s">
        <v>518</v>
      </c>
      <c r="AC4" s="3468" t="s">
        <v>519</v>
      </c>
    </row>
    <row r="5" spans="1:29" ht="15">
      <c r="A5" s="509"/>
      <c r="B5" s="510"/>
      <c r="C5" s="3487" t="s">
        <v>2897</v>
      </c>
      <c r="D5" s="3488"/>
      <c r="E5" s="3513" t="s">
        <v>2898</v>
      </c>
      <c r="F5" s="3514"/>
      <c r="G5" s="3487" t="s">
        <v>2899</v>
      </c>
      <c r="H5" s="3488"/>
      <c r="I5" s="3487" t="s">
        <v>2900</v>
      </c>
      <c r="J5" s="3488"/>
      <c r="K5" s="843"/>
      <c r="L5" s="2016"/>
      <c r="M5" s="2017"/>
      <c r="N5" s="2017"/>
      <c r="O5" s="2017"/>
      <c r="P5" s="3475"/>
      <c r="Q5" s="3476"/>
      <c r="R5" s="3481"/>
      <c r="S5" s="3482"/>
      <c r="T5" s="3481"/>
      <c r="U5" s="3482"/>
      <c r="V5" s="3466"/>
      <c r="W5" s="3466"/>
      <c r="X5" s="1502"/>
      <c r="Y5" s="3481"/>
      <c r="Z5" s="3482"/>
      <c r="AA5" s="3469"/>
      <c r="AB5" s="3469"/>
      <c r="AC5" s="3469"/>
    </row>
    <row r="6" spans="1:29" ht="15.75" thickBot="1">
      <c r="A6" s="511"/>
      <c r="B6" s="512"/>
      <c r="C6" s="3485" t="s">
        <v>2901</v>
      </c>
      <c r="D6" s="3486"/>
      <c r="E6" s="3509" t="s">
        <v>2901</v>
      </c>
      <c r="F6" s="3510"/>
      <c r="G6" s="3485" t="s">
        <v>2901</v>
      </c>
      <c r="H6" s="3486"/>
      <c r="I6" s="3485" t="s">
        <v>2901</v>
      </c>
      <c r="J6" s="3486"/>
      <c r="K6" s="843" t="s">
        <v>522</v>
      </c>
      <c r="L6" s="2016"/>
      <c r="M6" s="2017"/>
      <c r="N6" s="2017"/>
      <c r="O6" s="2017"/>
      <c r="P6" s="3477"/>
      <c r="Q6" s="3478"/>
      <c r="R6" s="3481"/>
      <c r="S6" s="3482"/>
      <c r="T6" s="3483"/>
      <c r="U6" s="3484"/>
      <c r="V6" s="3466"/>
      <c r="W6" s="3466"/>
      <c r="X6" s="1502"/>
      <c r="Y6" s="3483"/>
      <c r="Z6" s="3484"/>
      <c r="AA6" s="3470"/>
      <c r="AB6" s="3470"/>
      <c r="AC6" s="3470"/>
    </row>
    <row r="7" spans="1:29" s="1203" customFormat="1" ht="15.75" thickBot="1">
      <c r="A7" s="2630"/>
      <c r="B7" s="2637" t="s">
        <v>523</v>
      </c>
      <c r="C7" s="513">
        <f>'数据-取费表'!B2</f>
        <v>44369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96" t="s">
        <v>524</v>
      </c>
      <c r="Q7" s="3498"/>
      <c r="R7" s="1503" t="s">
        <v>13</v>
      </c>
      <c r="S7" s="1504">
        <f t="shared" ref="S7:S15" si="0">F7</f>
        <v>0</v>
      </c>
      <c r="T7" s="1503" t="s">
        <v>13</v>
      </c>
      <c r="U7" s="1504">
        <f t="shared" ref="U7:U15" si="1">H7</f>
        <v>0</v>
      </c>
      <c r="V7" s="1503" t="s">
        <v>13</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96" t="s">
        <v>527</v>
      </c>
      <c r="Q8" s="3497"/>
      <c r="R8" s="1503" t="s">
        <v>13</v>
      </c>
      <c r="S8" s="1504">
        <f t="shared" si="0"/>
        <v>0</v>
      </c>
      <c r="T8" s="1503" t="s">
        <v>13</v>
      </c>
      <c r="U8" s="1504">
        <f t="shared" si="1"/>
        <v>0</v>
      </c>
      <c r="V8" s="1503" t="s">
        <v>13</v>
      </c>
      <c r="W8" s="1504">
        <f t="shared" si="2"/>
        <v>0</v>
      </c>
      <c r="X8" s="1505"/>
      <c r="Y8" s="3496" t="s">
        <v>527</v>
      </c>
      <c r="Z8" s="3497"/>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65" t="s">
        <v>529</v>
      </c>
      <c r="Q9" s="1134" t="str">
        <f t="shared" ref="Q9:Q15" si="6">B9</f>
        <v>用途</v>
      </c>
      <c r="R9" s="1503" t="s">
        <v>8</v>
      </c>
      <c r="S9" s="1504">
        <f t="shared" si="0"/>
        <v>100</v>
      </c>
      <c r="T9" s="1503" t="s">
        <v>8</v>
      </c>
      <c r="U9" s="1504">
        <f t="shared" si="1"/>
        <v>100</v>
      </c>
      <c r="V9" s="1503" t="s">
        <v>8</v>
      </c>
      <c r="W9" s="1504">
        <f t="shared" si="2"/>
        <v>100</v>
      </c>
      <c r="X9" s="1505"/>
      <c r="Y9" s="341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65"/>
      <c r="Q11" s="1134" t="str">
        <f t="shared" si="6"/>
        <v>容积率</v>
      </c>
      <c r="R11" s="1503" t="s">
        <v>11</v>
      </c>
      <c r="S11" s="1504" t="e">
        <f t="shared" si="0"/>
        <v>#N/A</v>
      </c>
      <c r="T11" s="1503" t="s">
        <v>11</v>
      </c>
      <c r="U11" s="1504" t="e">
        <f t="shared" si="1"/>
        <v>#N/A</v>
      </c>
      <c r="V11" s="1503" t="s">
        <v>11</v>
      </c>
      <c r="W11" s="1504" t="e">
        <f t="shared" si="2"/>
        <v>#N/A</v>
      </c>
      <c r="X11" s="1505"/>
      <c r="Y11" s="341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65"/>
      <c r="Q12" s="1134">
        <f t="shared" si="6"/>
        <v>111</v>
      </c>
      <c r="R12" s="1503" t="s">
        <v>11</v>
      </c>
      <c r="S12" s="1504">
        <f t="shared" si="0"/>
        <v>100</v>
      </c>
      <c r="T12" s="1503" t="s">
        <v>11</v>
      </c>
      <c r="U12" s="1504">
        <f t="shared" si="1"/>
        <v>100</v>
      </c>
      <c r="V12" s="1503" t="s">
        <v>11</v>
      </c>
      <c r="W12" s="1504">
        <f t="shared" si="2"/>
        <v>100</v>
      </c>
      <c r="X12" s="1505"/>
      <c r="Y12" s="3411"/>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65"/>
      <c r="Q13" s="1134">
        <f t="shared" si="6"/>
        <v>111</v>
      </c>
      <c r="R13" s="1503" t="s">
        <v>11</v>
      </c>
      <c r="S13" s="1504">
        <f t="shared" si="0"/>
        <v>100</v>
      </c>
      <c r="T13" s="1503" t="s">
        <v>11</v>
      </c>
      <c r="U13" s="1504">
        <f t="shared" si="1"/>
        <v>100</v>
      </c>
      <c r="V13" s="1503" t="s">
        <v>11</v>
      </c>
      <c r="W13" s="1504">
        <f t="shared" si="2"/>
        <v>100</v>
      </c>
      <c r="X13" s="1505"/>
      <c r="Y13" s="3411"/>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65"/>
      <c r="Q14" s="1134">
        <f t="shared" si="6"/>
        <v>111</v>
      </c>
      <c r="R14" s="1503" t="s">
        <v>11</v>
      </c>
      <c r="S14" s="1504">
        <f t="shared" si="0"/>
        <v>100</v>
      </c>
      <c r="T14" s="1503" t="s">
        <v>11</v>
      </c>
      <c r="U14" s="1504">
        <f t="shared" si="1"/>
        <v>100</v>
      </c>
      <c r="V14" s="1503" t="s">
        <v>11</v>
      </c>
      <c r="W14" s="1504">
        <f t="shared" si="2"/>
        <v>100</v>
      </c>
      <c r="X14" s="1505"/>
      <c r="Y14" s="3411"/>
      <c r="Z14" s="1133">
        <f t="shared" si="7"/>
        <v>111</v>
      </c>
      <c r="AA14" s="1506">
        <f t="shared" si="3"/>
        <v>1</v>
      </c>
      <c r="AB14" s="1506">
        <f t="shared" si="4"/>
        <v>1</v>
      </c>
      <c r="AC14" s="1506">
        <f t="shared" si="5"/>
        <v>1</v>
      </c>
    </row>
    <row r="15" spans="1:29" ht="99.75">
      <c r="A15" s="2628"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9" t="s">
        <v>534</v>
      </c>
      <c r="Q15" s="1507" t="str">
        <f t="shared" si="6"/>
        <v>居住社区成熟度</v>
      </c>
      <c r="R15" s="1508" t="s">
        <v>11</v>
      </c>
      <c r="S15" s="1509">
        <f t="shared" si="0"/>
        <v>100</v>
      </c>
      <c r="T15" s="1508" t="s">
        <v>11</v>
      </c>
      <c r="U15" s="1509">
        <f t="shared" si="1"/>
        <v>100</v>
      </c>
      <c r="V15" s="1508" t="s">
        <v>11</v>
      </c>
      <c r="W15" s="1509">
        <f t="shared" si="2"/>
        <v>100</v>
      </c>
      <c r="X15" s="1502"/>
      <c r="Y15" s="3499"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00"/>
      <c r="Q17" s="1507" t="str">
        <f>B17</f>
        <v>交通便捷度</v>
      </c>
      <c r="R17" s="1508" t="s">
        <v>11</v>
      </c>
      <c r="S17" s="1509">
        <f>F17</f>
        <v>100</v>
      </c>
      <c r="T17" s="1508" t="s">
        <v>11</v>
      </c>
      <c r="U17" s="1509">
        <f>H17</f>
        <v>100</v>
      </c>
      <c r="V17" s="1508" t="s">
        <v>11</v>
      </c>
      <c r="W17" s="1509">
        <f>J17</f>
        <v>100</v>
      </c>
      <c r="X17" s="1502"/>
      <c r="Y17" s="350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00"/>
      <c r="Q19" s="1507" t="str">
        <f>B19</f>
        <v>公共配套设施</v>
      </c>
      <c r="R19" s="1508" t="s">
        <v>11</v>
      </c>
      <c r="S19" s="1509">
        <f>F19</f>
        <v>100</v>
      </c>
      <c r="T19" s="1508" t="s">
        <v>11</v>
      </c>
      <c r="U19" s="1509">
        <f>H19</f>
        <v>100</v>
      </c>
      <c r="V19" s="1508" t="s">
        <v>11</v>
      </c>
      <c r="W19" s="1509">
        <f>J19</f>
        <v>100</v>
      </c>
      <c r="X19" s="1502"/>
      <c r="Y19" s="350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00"/>
      <c r="Q21" s="2430" t="str">
        <f>B21</f>
        <v>基础设施水平</v>
      </c>
      <c r="R21" s="1508" t="s">
        <v>11</v>
      </c>
      <c r="S21" s="1509">
        <f>F21</f>
        <v>100</v>
      </c>
      <c r="T21" s="1508" t="s">
        <v>11</v>
      </c>
      <c r="U21" s="1509">
        <f>H21</f>
        <v>100</v>
      </c>
      <c r="V21" s="1508" t="s">
        <v>11</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00"/>
      <c r="Q22" s="2430"/>
      <c r="R22" s="1508"/>
      <c r="S22" s="1509"/>
      <c r="T22" s="1508"/>
      <c r="U22" s="1509"/>
      <c r="V22" s="1508"/>
      <c r="W22" s="1509"/>
      <c r="X22" s="2432"/>
      <c r="Y22" s="3500"/>
      <c r="Z22" s="2431"/>
      <c r="AA22" s="1511">
        <v>1</v>
      </c>
      <c r="AB22" s="1511">
        <v>1</v>
      </c>
      <c r="AC22" s="1511">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00"/>
      <c r="Q23" s="1507" t="str">
        <f>B23</f>
        <v>自然及人文环境</v>
      </c>
      <c r="R23" s="1508" t="s">
        <v>11</v>
      </c>
      <c r="S23" s="1509">
        <f>F23</f>
        <v>100</v>
      </c>
      <c r="T23" s="1508" t="s">
        <v>11</v>
      </c>
      <c r="U23" s="1509">
        <f>H23</f>
        <v>100</v>
      </c>
      <c r="V23" s="1508" t="s">
        <v>11</v>
      </c>
      <c r="W23" s="1509">
        <f>J23</f>
        <v>100</v>
      </c>
      <c r="X23" s="1502"/>
      <c r="Y23" s="350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00"/>
      <c r="Q25" s="1507" t="str">
        <f t="shared" ref="Q25:Q46" si="11">B25</f>
        <v>楼层-1</v>
      </c>
      <c r="R25" s="1508" t="s">
        <v>11</v>
      </c>
      <c r="S25" s="1509">
        <f>F25</f>
        <v>100</v>
      </c>
      <c r="T25" s="1508" t="s">
        <v>11</v>
      </c>
      <c r="U25" s="1509">
        <f>H25</f>
        <v>100</v>
      </c>
      <c r="V25" s="1508" t="s">
        <v>11</v>
      </c>
      <c r="W25" s="1509">
        <f>J25</f>
        <v>100</v>
      </c>
      <c r="X25" s="1502"/>
      <c r="Y25" s="3500"/>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00"/>
      <c r="Q26" s="1507" t="str">
        <f t="shared" si="11"/>
        <v>朝向</v>
      </c>
      <c r="R26" s="1508" t="s">
        <v>11</v>
      </c>
      <c r="S26" s="1509">
        <f>F26</f>
        <v>100</v>
      </c>
      <c r="T26" s="1508" t="s">
        <v>11</v>
      </c>
      <c r="U26" s="1509">
        <f>H26</f>
        <v>100</v>
      </c>
      <c r="V26" s="1508" t="s">
        <v>11</v>
      </c>
      <c r="W26" s="1509">
        <f>J26</f>
        <v>100</v>
      </c>
      <c r="X26" s="1502"/>
      <c r="Y26" s="3500"/>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00"/>
      <c r="Q27" s="1134" t="str">
        <f t="shared" si="11"/>
        <v>道路级别</v>
      </c>
      <c r="R27" s="1503" t="s">
        <v>11</v>
      </c>
      <c r="S27" s="1504">
        <f>F27</f>
        <v>100</v>
      </c>
      <c r="T27" s="1503" t="s">
        <v>11</v>
      </c>
      <c r="U27" s="1504">
        <f>H27</f>
        <v>100</v>
      </c>
      <c r="V27" s="1503" t="s">
        <v>11</v>
      </c>
      <c r="W27" s="1504">
        <f>J27</f>
        <v>100</v>
      </c>
      <c r="X27" s="1505"/>
      <c r="Y27" s="3500"/>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00"/>
      <c r="Q28" s="1507">
        <f t="shared" si="11"/>
        <v>111</v>
      </c>
      <c r="R28" s="1508" t="s">
        <v>11</v>
      </c>
      <c r="S28" s="1509">
        <f t="shared" ref="S28:S46" si="12">F28</f>
        <v>100</v>
      </c>
      <c r="T28" s="1508" t="s">
        <v>11</v>
      </c>
      <c r="U28" s="1509">
        <f t="shared" ref="U28:U46" si="13">H28</f>
        <v>100</v>
      </c>
      <c r="V28" s="1508" t="s">
        <v>11</v>
      </c>
      <c r="W28" s="1509">
        <f t="shared" ref="W28:W46" si="14">J28</f>
        <v>100</v>
      </c>
      <c r="X28" s="1502"/>
      <c r="Y28" s="3500"/>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00"/>
      <c r="Q29" s="1507">
        <f t="shared" si="11"/>
        <v>111</v>
      </c>
      <c r="R29" s="1508" t="s">
        <v>11</v>
      </c>
      <c r="S29" s="1509">
        <f t="shared" si="12"/>
        <v>100</v>
      </c>
      <c r="T29" s="1508" t="s">
        <v>11</v>
      </c>
      <c r="U29" s="1509">
        <f t="shared" si="13"/>
        <v>100</v>
      </c>
      <c r="V29" s="1508" t="s">
        <v>11</v>
      </c>
      <c r="W29" s="1509">
        <f t="shared" si="14"/>
        <v>100</v>
      </c>
      <c r="X29" s="1502"/>
      <c r="Y29" s="350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00"/>
      <c r="Q30" s="1507">
        <f t="shared" si="11"/>
        <v>111</v>
      </c>
      <c r="R30" s="1508" t="s">
        <v>11</v>
      </c>
      <c r="S30" s="1509">
        <f t="shared" si="12"/>
        <v>100</v>
      </c>
      <c r="T30" s="1508" t="s">
        <v>11</v>
      </c>
      <c r="U30" s="1509">
        <f t="shared" si="13"/>
        <v>100</v>
      </c>
      <c r="V30" s="1508" t="s">
        <v>11</v>
      </c>
      <c r="W30" s="1509">
        <f t="shared" si="14"/>
        <v>100</v>
      </c>
      <c r="X30" s="1502"/>
      <c r="Y30" s="3500"/>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00"/>
      <c r="Q31" s="1507">
        <f t="shared" si="11"/>
        <v>111</v>
      </c>
      <c r="R31" s="1508" t="s">
        <v>11</v>
      </c>
      <c r="S31" s="1509">
        <f t="shared" si="12"/>
        <v>100</v>
      </c>
      <c r="T31" s="1508" t="s">
        <v>11</v>
      </c>
      <c r="U31" s="1509">
        <f t="shared" si="13"/>
        <v>100</v>
      </c>
      <c r="V31" s="1508" t="s">
        <v>11</v>
      </c>
      <c r="W31" s="1509">
        <f t="shared" si="14"/>
        <v>100</v>
      </c>
      <c r="X31" s="1502"/>
      <c r="Y31" s="3500"/>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01" t="s">
        <v>544</v>
      </c>
      <c r="Q32" s="1507" t="str">
        <f t="shared" si="11"/>
        <v>建筑类型</v>
      </c>
      <c r="R32" s="1508" t="s">
        <v>11</v>
      </c>
      <c r="S32" s="1509">
        <f t="shared" si="12"/>
        <v>100</v>
      </c>
      <c r="T32" s="1508" t="s">
        <v>11</v>
      </c>
      <c r="U32" s="1509">
        <f t="shared" si="13"/>
        <v>100</v>
      </c>
      <c r="V32" s="1508" t="s">
        <v>11</v>
      </c>
      <c r="W32" s="1509">
        <f t="shared" si="14"/>
        <v>100</v>
      </c>
      <c r="X32" s="1502"/>
      <c r="Y32" s="3502"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02"/>
      <c r="Q33" s="1536" t="str">
        <f t="shared" si="11"/>
        <v>项目建筑规模</v>
      </c>
      <c r="R33" s="1512" t="s">
        <v>11</v>
      </c>
      <c r="S33" s="1513" t="e">
        <f t="shared" si="12"/>
        <v>#N/A</v>
      </c>
      <c r="T33" s="1512" t="s">
        <v>11</v>
      </c>
      <c r="U33" s="1513" t="e">
        <f t="shared" si="13"/>
        <v>#N/A</v>
      </c>
      <c r="V33" s="1512" t="s">
        <v>11</v>
      </c>
      <c r="W33" s="1513" t="e">
        <f t="shared" si="14"/>
        <v>#N/A</v>
      </c>
      <c r="X33" s="1514"/>
      <c r="Y33" s="350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02"/>
      <c r="Q34" s="1507" t="str">
        <f t="shared" si="11"/>
        <v>建筑结构</v>
      </c>
      <c r="R34" s="1508" t="s">
        <v>11</v>
      </c>
      <c r="S34" s="1509">
        <f t="shared" si="12"/>
        <v>100</v>
      </c>
      <c r="T34" s="1508" t="s">
        <v>11</v>
      </c>
      <c r="U34" s="1509">
        <f t="shared" si="13"/>
        <v>100</v>
      </c>
      <c r="V34" s="1508" t="s">
        <v>11</v>
      </c>
      <c r="W34" s="1509">
        <f t="shared" si="14"/>
        <v>100</v>
      </c>
      <c r="X34" s="1502"/>
      <c r="Y34" s="3502"/>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02"/>
      <c r="Q35" s="1507" t="str">
        <f t="shared" si="11"/>
        <v>建筑品质</v>
      </c>
      <c r="R35" s="1508" t="s">
        <v>11</v>
      </c>
      <c r="S35" s="1509">
        <f t="shared" si="12"/>
        <v>100</v>
      </c>
      <c r="T35" s="1508" t="s">
        <v>11</v>
      </c>
      <c r="U35" s="1509">
        <f t="shared" si="13"/>
        <v>100</v>
      </c>
      <c r="V35" s="1508" t="s">
        <v>11</v>
      </c>
      <c r="W35" s="1509">
        <f t="shared" si="14"/>
        <v>100</v>
      </c>
      <c r="X35" s="1502"/>
      <c r="Y35" s="3502"/>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02"/>
      <c r="Q36" s="1507" t="str">
        <f t="shared" si="11"/>
        <v>公共部分装修</v>
      </c>
      <c r="R36" s="1508" t="s">
        <v>11</v>
      </c>
      <c r="S36" s="1509">
        <f t="shared" si="12"/>
        <v>100</v>
      </c>
      <c r="T36" s="1508" t="s">
        <v>11</v>
      </c>
      <c r="U36" s="1509">
        <f t="shared" si="13"/>
        <v>100</v>
      </c>
      <c r="V36" s="1508" t="s">
        <v>11</v>
      </c>
      <c r="W36" s="1509">
        <f t="shared" si="14"/>
        <v>100</v>
      </c>
      <c r="X36" s="1502"/>
      <c r="Y36" s="3502"/>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02"/>
      <c r="Q37" s="1134" t="str">
        <f t="shared" si="11"/>
        <v>成新度</v>
      </c>
      <c r="R37" s="1503" t="s">
        <v>11</v>
      </c>
      <c r="S37" s="1504" t="e">
        <f t="shared" si="12"/>
        <v>#N/A</v>
      </c>
      <c r="T37" s="1503" t="s">
        <v>11</v>
      </c>
      <c r="U37" s="1504" t="e">
        <f t="shared" si="13"/>
        <v>#N/A</v>
      </c>
      <c r="V37" s="1503" t="s">
        <v>11</v>
      </c>
      <c r="W37" s="1504" t="e">
        <f t="shared" si="14"/>
        <v>#N/A</v>
      </c>
      <c r="X37" s="1505"/>
      <c r="Y37" s="3502"/>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02" t="s">
        <v>544</v>
      </c>
      <c r="Q38" s="1507" t="str">
        <f t="shared" si="11"/>
        <v>物业管理</v>
      </c>
      <c r="R38" s="1508" t="s">
        <v>11</v>
      </c>
      <c r="S38" s="1509">
        <f t="shared" si="12"/>
        <v>100</v>
      </c>
      <c r="T38" s="1508" t="s">
        <v>11</v>
      </c>
      <c r="U38" s="1509">
        <f t="shared" si="13"/>
        <v>100</v>
      </c>
      <c r="V38" s="1508" t="s">
        <v>11</v>
      </c>
      <c r="W38" s="1509">
        <f t="shared" si="14"/>
        <v>100</v>
      </c>
      <c r="X38" s="1502"/>
      <c r="Y38" s="3502"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02"/>
      <c r="Q39" s="1507" t="str">
        <f t="shared" si="11"/>
        <v>市政基础设施</v>
      </c>
      <c r="R39" s="1508" t="s">
        <v>11</v>
      </c>
      <c r="S39" s="1509">
        <f t="shared" si="12"/>
        <v>100</v>
      </c>
      <c r="T39" s="1508" t="s">
        <v>11</v>
      </c>
      <c r="U39" s="1509">
        <f t="shared" si="13"/>
        <v>100</v>
      </c>
      <c r="V39" s="1508" t="s">
        <v>11</v>
      </c>
      <c r="W39" s="1509">
        <f t="shared" si="14"/>
        <v>100</v>
      </c>
      <c r="X39" s="1502"/>
      <c r="Y39" s="3502"/>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02"/>
      <c r="Q40" s="1507" t="str">
        <f t="shared" si="11"/>
        <v>房型</v>
      </c>
      <c r="R40" s="1508" t="s">
        <v>11</v>
      </c>
      <c r="S40" s="1509">
        <f t="shared" si="12"/>
        <v>100</v>
      </c>
      <c r="T40" s="1508" t="s">
        <v>11</v>
      </c>
      <c r="U40" s="1509">
        <f t="shared" si="13"/>
        <v>100</v>
      </c>
      <c r="V40" s="1508" t="s">
        <v>11</v>
      </c>
      <c r="W40" s="1509">
        <f t="shared" si="14"/>
        <v>100</v>
      </c>
      <c r="X40" s="1502"/>
      <c r="Y40" s="3502"/>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02"/>
      <c r="Q41" s="1536" t="str">
        <f t="shared" si="11"/>
        <v>单套/主力户型建筑面积</v>
      </c>
      <c r="R41" s="1512" t="s">
        <v>11</v>
      </c>
      <c r="S41" s="1513">
        <f t="shared" si="12"/>
        <v>100</v>
      </c>
      <c r="T41" s="1512" t="s">
        <v>11</v>
      </c>
      <c r="U41" s="1513">
        <f t="shared" si="13"/>
        <v>100</v>
      </c>
      <c r="V41" s="1512" t="s">
        <v>11</v>
      </c>
      <c r="W41" s="1513">
        <f t="shared" si="14"/>
        <v>100</v>
      </c>
      <c r="X41" s="1514"/>
      <c r="Y41" s="3502"/>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02"/>
      <c r="Q42" s="1507" t="str">
        <f t="shared" si="11"/>
        <v>内部装修</v>
      </c>
      <c r="R42" s="1508" t="s">
        <v>11</v>
      </c>
      <c r="S42" s="1509">
        <f t="shared" si="12"/>
        <v>100</v>
      </c>
      <c r="T42" s="1508" t="s">
        <v>11</v>
      </c>
      <c r="U42" s="1509">
        <f t="shared" si="13"/>
        <v>100</v>
      </c>
      <c r="V42" s="1508" t="s">
        <v>11</v>
      </c>
      <c r="W42" s="1509">
        <f t="shared" si="14"/>
        <v>100</v>
      </c>
      <c r="X42" s="1502"/>
      <c r="Y42" s="3502"/>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02"/>
      <c r="Q43" s="1507" t="str">
        <f t="shared" si="11"/>
        <v>内部装修维护情况</v>
      </c>
      <c r="R43" s="1508" t="s">
        <v>11</v>
      </c>
      <c r="S43" s="1509">
        <f t="shared" si="12"/>
        <v>100</v>
      </c>
      <c r="T43" s="1508" t="s">
        <v>11</v>
      </c>
      <c r="U43" s="1509">
        <f t="shared" si="13"/>
        <v>100</v>
      </c>
      <c r="V43" s="1508" t="s">
        <v>11</v>
      </c>
      <c r="W43" s="1509">
        <f t="shared" si="14"/>
        <v>100</v>
      </c>
      <c r="X43" s="1502"/>
      <c r="Y43" s="350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02"/>
      <c r="Q44" s="1134">
        <f t="shared" si="11"/>
        <v>111</v>
      </c>
      <c r="R44" s="1503" t="s">
        <v>11</v>
      </c>
      <c r="S44" s="1504">
        <f t="shared" si="12"/>
        <v>100</v>
      </c>
      <c r="T44" s="1503" t="s">
        <v>11</v>
      </c>
      <c r="U44" s="1504">
        <f t="shared" si="13"/>
        <v>100</v>
      </c>
      <c r="V44" s="1503" t="s">
        <v>11</v>
      </c>
      <c r="W44" s="1504">
        <f t="shared" si="14"/>
        <v>100</v>
      </c>
      <c r="X44" s="1505"/>
      <c r="Y44" s="350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02"/>
      <c r="Q45" s="1507">
        <f t="shared" si="11"/>
        <v>111</v>
      </c>
      <c r="R45" s="1508" t="s">
        <v>11</v>
      </c>
      <c r="S45" s="1509">
        <f t="shared" si="12"/>
        <v>100</v>
      </c>
      <c r="T45" s="1508" t="s">
        <v>11</v>
      </c>
      <c r="U45" s="1509">
        <f t="shared" si="13"/>
        <v>100</v>
      </c>
      <c r="V45" s="1508" t="s">
        <v>11</v>
      </c>
      <c r="W45" s="1509">
        <f t="shared" si="14"/>
        <v>100</v>
      </c>
      <c r="X45" s="1502"/>
      <c r="Y45" s="3502"/>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84"/>
      <c r="Q46" s="1507">
        <f t="shared" si="11"/>
        <v>111</v>
      </c>
      <c r="R46" s="1508" t="s">
        <v>10</v>
      </c>
      <c r="S46" s="1509">
        <f t="shared" si="12"/>
        <v>100</v>
      </c>
      <c r="T46" s="1508" t="s">
        <v>10</v>
      </c>
      <c r="U46" s="1509">
        <f t="shared" si="13"/>
        <v>100</v>
      </c>
      <c r="V46" s="1508" t="s">
        <v>10</v>
      </c>
      <c r="W46" s="1509">
        <f t="shared" si="14"/>
        <v>100</v>
      </c>
      <c r="X46" s="1502"/>
      <c r="Y46" s="3584"/>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465" t="str">
        <f>A47</f>
        <v>成交单价（元/平方米）</v>
      </c>
      <c r="Q47" s="3465"/>
      <c r="R47" s="3583">
        <f>E47</f>
        <v>0</v>
      </c>
      <c r="S47" s="3583"/>
      <c r="T47" s="3583">
        <f>G47</f>
        <v>0</v>
      </c>
      <c r="U47" s="3583"/>
      <c r="V47" s="3583">
        <f>I47</f>
        <v>0</v>
      </c>
      <c r="W47" s="3583"/>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28"/>
      <c r="O48" s="2028"/>
      <c r="P48" s="3465" t="str">
        <f>A48</f>
        <v>比较价格（元/平方米）</v>
      </c>
      <c r="Q48" s="3465"/>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38"/>
      <c r="L49" s="2027"/>
      <c r="M49" s="2028"/>
      <c r="N49" s="2028"/>
      <c r="O49" s="2028"/>
      <c r="P49" s="3462" t="str">
        <f>A49</f>
        <v>估价对象XX用房的比较价格（楼面单价，元/平方米）</v>
      </c>
      <c r="Q49" s="3463"/>
      <c r="R49" s="3582" t="e">
        <f>IF(F1="售价",ROUND(IF(D48="简单平均",AVERAGE(R48:V48),R48*F48+T48*H48+V48*J48),0),ROUND(IF(D48="简单平均",AVERAGE(R48:V48),R48*F48+T48*H48+V48*J48),1))</f>
        <v>#DIV/0!</v>
      </c>
      <c r="S49" s="3582"/>
      <c r="T49" s="3582"/>
      <c r="U49" s="3582"/>
      <c r="V49" s="3582"/>
      <c r="W49" s="3582"/>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2021-6</v>
      </c>
      <c r="D58" s="2522">
        <f>EDATE(C58,-1)</f>
        <v>44317</v>
      </c>
      <c r="E58" s="2522">
        <f t="shared" ref="E58:O58" si="16">EDATE(D58,-1)</f>
        <v>44287</v>
      </c>
      <c r="F58" s="2522">
        <f t="shared" si="16"/>
        <v>44256</v>
      </c>
      <c r="G58" s="2522">
        <f t="shared" si="16"/>
        <v>44228</v>
      </c>
      <c r="H58" s="2522">
        <f t="shared" si="16"/>
        <v>44197</v>
      </c>
      <c r="I58" s="2522">
        <f t="shared" si="16"/>
        <v>44166</v>
      </c>
      <c r="J58" s="2522">
        <f t="shared" si="16"/>
        <v>44136</v>
      </c>
      <c r="K58" s="2522">
        <f t="shared" si="16"/>
        <v>44105</v>
      </c>
      <c r="L58" s="2522">
        <f t="shared" si="16"/>
        <v>44075</v>
      </c>
      <c r="M58" s="2522">
        <f t="shared" si="16"/>
        <v>44044</v>
      </c>
      <c r="N58" s="2522">
        <f t="shared" si="16"/>
        <v>44013</v>
      </c>
      <c r="O58" s="2522">
        <f t="shared" si="16"/>
        <v>43983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471" t="s">
        <v>516</v>
      </c>
      <c r="D4" s="3472"/>
      <c r="E4" s="3511" t="s">
        <v>517</v>
      </c>
      <c r="F4" s="3512"/>
      <c r="G4" s="3471" t="s">
        <v>518</v>
      </c>
      <c r="H4" s="3472"/>
      <c r="I4" s="3471" t="s">
        <v>519</v>
      </c>
      <c r="J4" s="3472"/>
      <c r="K4" s="508" t="s">
        <v>520</v>
      </c>
      <c r="L4" s="2016"/>
      <c r="M4" s="2017"/>
      <c r="N4" s="2017"/>
      <c r="O4" s="2017"/>
      <c r="P4" s="3473" t="s">
        <v>521</v>
      </c>
      <c r="Q4" s="3474"/>
      <c r="R4" s="3479" t="s">
        <v>517</v>
      </c>
      <c r="S4" s="3480"/>
      <c r="T4" s="3479" t="s">
        <v>518</v>
      </c>
      <c r="U4" s="3480"/>
      <c r="V4" s="3466" t="s">
        <v>519</v>
      </c>
      <c r="W4" s="3466"/>
      <c r="X4" s="1502"/>
      <c r="Y4" s="3479" t="s">
        <v>521</v>
      </c>
      <c r="Z4" s="3480"/>
      <c r="AA4" s="3468" t="s">
        <v>517</v>
      </c>
      <c r="AB4" s="3466" t="s">
        <v>518</v>
      </c>
      <c r="AC4" s="3468" t="s">
        <v>519</v>
      </c>
    </row>
    <row r="5" spans="1:29" ht="15">
      <c r="A5" s="509"/>
      <c r="B5" s="510"/>
      <c r="C5" s="3487" t="s">
        <v>2897</v>
      </c>
      <c r="D5" s="3488"/>
      <c r="E5" s="3513" t="s">
        <v>2898</v>
      </c>
      <c r="F5" s="3514"/>
      <c r="G5" s="3487" t="s">
        <v>2899</v>
      </c>
      <c r="H5" s="3488"/>
      <c r="I5" s="3487" t="s">
        <v>2900</v>
      </c>
      <c r="J5" s="3488"/>
      <c r="K5" s="508"/>
      <c r="L5" s="2016"/>
      <c r="M5" s="2017"/>
      <c r="N5" s="2017"/>
      <c r="O5" s="2017"/>
      <c r="P5" s="3475"/>
      <c r="Q5" s="3476"/>
      <c r="R5" s="3481"/>
      <c r="S5" s="3482"/>
      <c r="T5" s="3481"/>
      <c r="U5" s="3482"/>
      <c r="V5" s="3466"/>
      <c r="W5" s="3466"/>
      <c r="X5" s="1502"/>
      <c r="Y5" s="3481"/>
      <c r="Z5" s="3482"/>
      <c r="AA5" s="3469"/>
      <c r="AB5" s="3466"/>
      <c r="AC5" s="3469"/>
    </row>
    <row r="6" spans="1:29" ht="15.75" thickBot="1">
      <c r="A6" s="511"/>
      <c r="B6" s="512"/>
      <c r="C6" s="3485" t="s">
        <v>2901</v>
      </c>
      <c r="D6" s="3486"/>
      <c r="E6" s="3509" t="s">
        <v>2901</v>
      </c>
      <c r="F6" s="3510"/>
      <c r="G6" s="3485" t="s">
        <v>2901</v>
      </c>
      <c r="H6" s="3486"/>
      <c r="I6" s="3485" t="s">
        <v>2901</v>
      </c>
      <c r="J6" s="3486"/>
      <c r="K6" s="508" t="s">
        <v>522</v>
      </c>
      <c r="L6" s="2016"/>
      <c r="M6" s="2017"/>
      <c r="N6" s="2017"/>
      <c r="O6" s="2017"/>
      <c r="P6" s="3477"/>
      <c r="Q6" s="3478"/>
      <c r="R6" s="3481"/>
      <c r="S6" s="3482"/>
      <c r="T6" s="3483"/>
      <c r="U6" s="3484"/>
      <c r="V6" s="3466"/>
      <c r="W6" s="3466"/>
      <c r="X6" s="1502"/>
      <c r="Y6" s="3483"/>
      <c r="Z6" s="3484"/>
      <c r="AA6" s="3470"/>
      <c r="AB6" s="3466"/>
      <c r="AC6" s="3470"/>
    </row>
    <row r="7" spans="1:29" s="1203" customFormat="1" ht="15.75" thickBot="1">
      <c r="A7" s="2630"/>
      <c r="B7" s="2637" t="s">
        <v>523</v>
      </c>
      <c r="C7" s="513">
        <f>'数据-取费表'!B2</f>
        <v>44369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96" t="s">
        <v>524</v>
      </c>
      <c r="Q7" s="3498"/>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65" t="s">
        <v>529</v>
      </c>
      <c r="Q9" s="1134" t="str">
        <f t="shared" ref="Q9:Q15" si="6">B9</f>
        <v>用途</v>
      </c>
      <c r="R9" s="1503" t="s">
        <v>8</v>
      </c>
      <c r="S9" s="1504">
        <f t="shared" si="0"/>
        <v>100</v>
      </c>
      <c r="T9" s="1503" t="s">
        <v>8</v>
      </c>
      <c r="U9" s="1504">
        <f t="shared" si="1"/>
        <v>100</v>
      </c>
      <c r="V9" s="1503" t="s">
        <v>8</v>
      </c>
      <c r="W9" s="1504">
        <f t="shared" si="2"/>
        <v>100</v>
      </c>
      <c r="X9" s="1505"/>
      <c r="Y9" s="341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65"/>
      <c r="Q11" s="1134" t="str">
        <f t="shared" si="6"/>
        <v>容积率</v>
      </c>
      <c r="R11" s="1503" t="s">
        <v>8</v>
      </c>
      <c r="S11" s="1504" t="e">
        <f t="shared" si="0"/>
        <v>#N/A</v>
      </c>
      <c r="T11" s="1503" t="s">
        <v>8</v>
      </c>
      <c r="U11" s="1504" t="e">
        <f t="shared" si="1"/>
        <v>#N/A</v>
      </c>
      <c r="V11" s="1503" t="s">
        <v>8</v>
      </c>
      <c r="W11" s="1504" t="e">
        <f t="shared" si="2"/>
        <v>#N/A</v>
      </c>
      <c r="X11" s="1505"/>
      <c r="Y11" s="341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65"/>
      <c r="Q12" s="1134">
        <f t="shared" si="6"/>
        <v>111</v>
      </c>
      <c r="R12" s="1503" t="s">
        <v>8</v>
      </c>
      <c r="S12" s="1504">
        <f t="shared" si="0"/>
        <v>100</v>
      </c>
      <c r="T12" s="1503" t="s">
        <v>8</v>
      </c>
      <c r="U12" s="1504">
        <f t="shared" si="1"/>
        <v>100</v>
      </c>
      <c r="V12" s="1503" t="s">
        <v>8</v>
      </c>
      <c r="W12" s="1504">
        <f t="shared" si="2"/>
        <v>100</v>
      </c>
      <c r="X12" s="1505"/>
      <c r="Y12" s="3411"/>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65"/>
      <c r="Q13" s="1134">
        <f t="shared" si="6"/>
        <v>111</v>
      </c>
      <c r="R13" s="1503" t="s">
        <v>8</v>
      </c>
      <c r="S13" s="1504">
        <f t="shared" si="0"/>
        <v>100</v>
      </c>
      <c r="T13" s="1503" t="s">
        <v>8</v>
      </c>
      <c r="U13" s="1504">
        <f t="shared" si="1"/>
        <v>100</v>
      </c>
      <c r="V13" s="1503" t="s">
        <v>8</v>
      </c>
      <c r="W13" s="1504">
        <f t="shared" si="2"/>
        <v>100</v>
      </c>
      <c r="X13" s="1505"/>
      <c r="Y13" s="3411"/>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65"/>
      <c r="Q14" s="1134">
        <f t="shared" si="6"/>
        <v>111</v>
      </c>
      <c r="R14" s="1503" t="s">
        <v>8</v>
      </c>
      <c r="S14" s="1504">
        <f t="shared" si="0"/>
        <v>100</v>
      </c>
      <c r="T14" s="1503" t="s">
        <v>8</v>
      </c>
      <c r="U14" s="1504">
        <f t="shared" si="1"/>
        <v>100</v>
      </c>
      <c r="V14" s="1503" t="s">
        <v>8</v>
      </c>
      <c r="W14" s="1504">
        <f t="shared" si="2"/>
        <v>100</v>
      </c>
      <c r="X14" s="1505"/>
      <c r="Y14" s="3411"/>
      <c r="Z14" s="1133">
        <f t="shared" si="7"/>
        <v>111</v>
      </c>
      <c r="AA14" s="1506">
        <f t="shared" si="3"/>
        <v>1</v>
      </c>
      <c r="AB14" s="1506">
        <f t="shared" si="4"/>
        <v>1</v>
      </c>
      <c r="AC14" s="1506">
        <f t="shared" si="5"/>
        <v>1</v>
      </c>
    </row>
    <row r="15" spans="1:29" ht="71.25">
      <c r="A15" s="2628"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9" t="s">
        <v>534</v>
      </c>
      <c r="Q15" s="1507" t="str">
        <f t="shared" si="6"/>
        <v>商业繁华度</v>
      </c>
      <c r="R15" s="1508" t="s">
        <v>8</v>
      </c>
      <c r="S15" s="1509">
        <f t="shared" si="0"/>
        <v>100</v>
      </c>
      <c r="T15" s="1508" t="s">
        <v>8</v>
      </c>
      <c r="U15" s="1509">
        <f t="shared" si="1"/>
        <v>100</v>
      </c>
      <c r="V15" s="1508" t="s">
        <v>8</v>
      </c>
      <c r="W15" s="1509">
        <f t="shared" si="2"/>
        <v>100</v>
      </c>
      <c r="X15" s="1502"/>
      <c r="Y15" s="3499"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5"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8"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00"/>
      <c r="Q22" s="2430"/>
      <c r="R22" s="1508"/>
      <c r="S22" s="1509"/>
      <c r="T22" s="1508"/>
      <c r="U22" s="1509"/>
      <c r="V22" s="1508"/>
      <c r="W22" s="1509"/>
      <c r="X22" s="2432"/>
      <c r="Y22" s="3500"/>
      <c r="Z22" s="2431"/>
      <c r="AA22" s="1511">
        <v>1</v>
      </c>
      <c r="AB22" s="1511">
        <v>1</v>
      </c>
      <c r="AC22" s="1511">
        <v>1</v>
      </c>
    </row>
    <row r="23" spans="1:29" ht="57">
      <c r="A23" s="526"/>
      <c r="B23" s="860" t="s">
        <v>297</v>
      </c>
      <c r="C23" s="889"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00"/>
      <c r="Q23" s="1507" t="str">
        <f>B23</f>
        <v>自然及人文环境</v>
      </c>
      <c r="R23" s="1508" t="s">
        <v>8</v>
      </c>
      <c r="S23" s="1509">
        <f>F23</f>
        <v>100</v>
      </c>
      <c r="T23" s="1508" t="s">
        <v>8</v>
      </c>
      <c r="U23" s="1509">
        <f>H23</f>
        <v>100</v>
      </c>
      <c r="V23" s="1508" t="s">
        <v>8</v>
      </c>
      <c r="W23" s="1509">
        <f>J23</f>
        <v>100</v>
      </c>
      <c r="X23" s="1502"/>
      <c r="Y23" s="3500"/>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00"/>
      <c r="Q25" s="1507" t="str">
        <f t="shared" ref="Q25:Q46" si="11">B25</f>
        <v>临街状况</v>
      </c>
      <c r="R25" s="1508" t="s">
        <v>8</v>
      </c>
      <c r="S25" s="1509">
        <f>F25</f>
        <v>100</v>
      </c>
      <c r="T25" s="1508" t="s">
        <v>8</v>
      </c>
      <c r="U25" s="1509">
        <f>H25</f>
        <v>100</v>
      </c>
      <c r="V25" s="1508" t="s">
        <v>8</v>
      </c>
      <c r="W25" s="1509">
        <f>J25</f>
        <v>100</v>
      </c>
      <c r="X25" s="1502"/>
      <c r="Y25" s="3500"/>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00"/>
      <c r="Q26" s="1507" t="str">
        <f t="shared" si="11"/>
        <v>平面位置/可视性</v>
      </c>
      <c r="R26" s="1508" t="s">
        <v>8</v>
      </c>
      <c r="S26" s="1509">
        <f>F26</f>
        <v>100</v>
      </c>
      <c r="T26" s="1508" t="s">
        <v>8</v>
      </c>
      <c r="U26" s="1509">
        <f>H26</f>
        <v>100</v>
      </c>
      <c r="V26" s="1508" t="s">
        <v>8</v>
      </c>
      <c r="W26" s="1509">
        <f>J26</f>
        <v>100</v>
      </c>
      <c r="X26" s="1502"/>
      <c r="Y26" s="3500"/>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00"/>
      <c r="Q27" s="1134" t="str">
        <f t="shared" si="11"/>
        <v>人流量</v>
      </c>
      <c r="R27" s="1503" t="s">
        <v>8</v>
      </c>
      <c r="S27" s="1504">
        <f>F27</f>
        <v>100</v>
      </c>
      <c r="T27" s="1503" t="s">
        <v>8</v>
      </c>
      <c r="U27" s="1504">
        <f>H27</f>
        <v>100</v>
      </c>
      <c r="V27" s="1503" t="s">
        <v>8</v>
      </c>
      <c r="W27" s="1504">
        <f>J27</f>
        <v>100</v>
      </c>
      <c r="X27" s="1505"/>
      <c r="Y27" s="3500"/>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00"/>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00"/>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00"/>
      <c r="Q29" s="1507">
        <f t="shared" si="11"/>
        <v>111</v>
      </c>
      <c r="R29" s="1508" t="s">
        <v>8</v>
      </c>
      <c r="S29" s="1509">
        <f t="shared" si="12"/>
        <v>100</v>
      </c>
      <c r="T29" s="1508" t="s">
        <v>8</v>
      </c>
      <c r="U29" s="1509">
        <f t="shared" si="13"/>
        <v>100</v>
      </c>
      <c r="V29" s="1508" t="s">
        <v>8</v>
      </c>
      <c r="W29" s="1509">
        <f t="shared" si="14"/>
        <v>100</v>
      </c>
      <c r="X29" s="1502"/>
      <c r="Y29" s="3500"/>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00"/>
      <c r="Q30" s="1507">
        <f t="shared" si="11"/>
        <v>111</v>
      </c>
      <c r="R30" s="1508" t="s">
        <v>8</v>
      </c>
      <c r="S30" s="1509">
        <f t="shared" si="12"/>
        <v>100</v>
      </c>
      <c r="T30" s="1508" t="s">
        <v>8</v>
      </c>
      <c r="U30" s="1509">
        <f t="shared" si="13"/>
        <v>100</v>
      </c>
      <c r="V30" s="1508" t="s">
        <v>8</v>
      </c>
      <c r="W30" s="1509">
        <f t="shared" si="14"/>
        <v>100</v>
      </c>
      <c r="X30" s="1502"/>
      <c r="Y30" s="3500"/>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00"/>
      <c r="Q31" s="1507">
        <f t="shared" si="11"/>
        <v>111</v>
      </c>
      <c r="R31" s="1508" t="s">
        <v>8</v>
      </c>
      <c r="S31" s="1509">
        <f t="shared" si="12"/>
        <v>100</v>
      </c>
      <c r="T31" s="1508" t="s">
        <v>8</v>
      </c>
      <c r="U31" s="1509">
        <f t="shared" si="13"/>
        <v>100</v>
      </c>
      <c r="V31" s="1508" t="s">
        <v>8</v>
      </c>
      <c r="W31" s="1509">
        <f t="shared" si="14"/>
        <v>100</v>
      </c>
      <c r="X31" s="1502"/>
      <c r="Y31" s="3500"/>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01" t="s">
        <v>544</v>
      </c>
      <c r="Q32" s="1507" t="str">
        <f t="shared" si="11"/>
        <v>商业类型</v>
      </c>
      <c r="R32" s="1508" t="s">
        <v>8</v>
      </c>
      <c r="S32" s="1509">
        <f t="shared" si="12"/>
        <v>100</v>
      </c>
      <c r="T32" s="1508" t="s">
        <v>8</v>
      </c>
      <c r="U32" s="1509">
        <f t="shared" si="13"/>
        <v>100</v>
      </c>
      <c r="V32" s="1508" t="s">
        <v>8</v>
      </c>
      <c r="W32" s="1509">
        <f t="shared" si="14"/>
        <v>100</v>
      </c>
      <c r="X32" s="1502"/>
      <c r="Y32" s="3502"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02"/>
      <c r="Q33" s="1536" t="str">
        <f t="shared" si="11"/>
        <v>项目建筑规模</v>
      </c>
      <c r="R33" s="1512" t="s">
        <v>8</v>
      </c>
      <c r="S33" s="1513" t="e">
        <f t="shared" si="12"/>
        <v>#N/A</v>
      </c>
      <c r="T33" s="1512" t="s">
        <v>8</v>
      </c>
      <c r="U33" s="1513" t="e">
        <f t="shared" si="13"/>
        <v>#N/A</v>
      </c>
      <c r="V33" s="1512" t="s">
        <v>8</v>
      </c>
      <c r="W33" s="1513" t="e">
        <f t="shared" si="14"/>
        <v>#N/A</v>
      </c>
      <c r="X33" s="1514"/>
      <c r="Y33" s="3502"/>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02"/>
      <c r="Q34" s="1507" t="str">
        <f t="shared" si="11"/>
        <v>建筑结构</v>
      </c>
      <c r="R34" s="1508" t="s">
        <v>8</v>
      </c>
      <c r="S34" s="1509">
        <f t="shared" si="12"/>
        <v>100</v>
      </c>
      <c r="T34" s="1508" t="s">
        <v>8</v>
      </c>
      <c r="U34" s="1509">
        <f t="shared" si="13"/>
        <v>100</v>
      </c>
      <c r="V34" s="1508" t="s">
        <v>8</v>
      </c>
      <c r="W34" s="1509">
        <f t="shared" si="14"/>
        <v>100</v>
      </c>
      <c r="X34" s="1502"/>
      <c r="Y34" s="3502"/>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02"/>
      <c r="Q35" s="1507" t="str">
        <f t="shared" si="11"/>
        <v>公共部分装修</v>
      </c>
      <c r="R35" s="1508" t="s">
        <v>8</v>
      </c>
      <c r="S35" s="1509">
        <f t="shared" si="12"/>
        <v>100</v>
      </c>
      <c r="T35" s="1508" t="s">
        <v>8</v>
      </c>
      <c r="U35" s="1509">
        <f t="shared" si="13"/>
        <v>100</v>
      </c>
      <c r="V35" s="1508" t="s">
        <v>8</v>
      </c>
      <c r="W35" s="1509">
        <f t="shared" si="14"/>
        <v>100</v>
      </c>
      <c r="X35" s="1502"/>
      <c r="Y35" s="3502"/>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02"/>
      <c r="Q36" s="1507" t="str">
        <f t="shared" si="11"/>
        <v>成新度</v>
      </c>
      <c r="R36" s="1508" t="s">
        <v>8</v>
      </c>
      <c r="S36" s="1509" t="e">
        <f t="shared" si="12"/>
        <v>#N/A</v>
      </c>
      <c r="T36" s="1508" t="s">
        <v>8</v>
      </c>
      <c r="U36" s="1509" t="e">
        <f t="shared" si="13"/>
        <v>#N/A</v>
      </c>
      <c r="V36" s="1508" t="s">
        <v>8</v>
      </c>
      <c r="W36" s="1509" t="e">
        <f t="shared" si="14"/>
        <v>#N/A</v>
      </c>
      <c r="X36" s="1502"/>
      <c r="Y36" s="3502"/>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02"/>
      <c r="Q37" s="1134" t="str">
        <f t="shared" si="11"/>
        <v>市政基础设施</v>
      </c>
      <c r="R37" s="1503" t="s">
        <v>8</v>
      </c>
      <c r="S37" s="1504">
        <f t="shared" si="12"/>
        <v>100</v>
      </c>
      <c r="T37" s="1503" t="s">
        <v>8</v>
      </c>
      <c r="U37" s="1504">
        <f t="shared" si="13"/>
        <v>100</v>
      </c>
      <c r="V37" s="1503" t="s">
        <v>8</v>
      </c>
      <c r="W37" s="1504">
        <f t="shared" si="14"/>
        <v>100</v>
      </c>
      <c r="X37" s="1505"/>
      <c r="Y37" s="3502"/>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02" t="s">
        <v>760</v>
      </c>
      <c r="Q38" s="1507" t="str">
        <f t="shared" si="11"/>
        <v>业态</v>
      </c>
      <c r="R38" s="1508" t="s">
        <v>8</v>
      </c>
      <c r="S38" s="1509">
        <f t="shared" si="12"/>
        <v>100</v>
      </c>
      <c r="T38" s="1508" t="s">
        <v>8</v>
      </c>
      <c r="U38" s="1509">
        <f t="shared" si="13"/>
        <v>100</v>
      </c>
      <c r="V38" s="1508" t="s">
        <v>8</v>
      </c>
      <c r="W38" s="1509">
        <f t="shared" si="14"/>
        <v>100</v>
      </c>
      <c r="X38" s="1502"/>
      <c r="Y38" s="3502"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02"/>
      <c r="Q39" s="1507" t="str">
        <f t="shared" si="11"/>
        <v>层高</v>
      </c>
      <c r="R39" s="1508" t="s">
        <v>8</v>
      </c>
      <c r="S39" s="1509">
        <f t="shared" si="12"/>
        <v>100</v>
      </c>
      <c r="T39" s="1508" t="s">
        <v>8</v>
      </c>
      <c r="U39" s="1509">
        <f t="shared" si="13"/>
        <v>100</v>
      </c>
      <c r="V39" s="1508" t="s">
        <v>8</v>
      </c>
      <c r="W39" s="1509">
        <f t="shared" si="14"/>
        <v>100</v>
      </c>
      <c r="X39" s="1502"/>
      <c r="Y39" s="3502"/>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02"/>
      <c r="Q40" s="1507" t="str">
        <f t="shared" si="11"/>
        <v>单套建筑面积</v>
      </c>
      <c r="R40" s="1508" t="s">
        <v>8</v>
      </c>
      <c r="S40" s="1509">
        <f t="shared" si="12"/>
        <v>100</v>
      </c>
      <c r="T40" s="1508" t="s">
        <v>8</v>
      </c>
      <c r="U40" s="1509">
        <f t="shared" si="13"/>
        <v>100</v>
      </c>
      <c r="V40" s="1508" t="s">
        <v>8</v>
      </c>
      <c r="W40" s="1509">
        <f t="shared" si="14"/>
        <v>100</v>
      </c>
      <c r="X40" s="1502"/>
      <c r="Y40" s="3502"/>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02"/>
      <c r="Q41" s="1536" t="str">
        <f t="shared" si="11"/>
        <v>进深比</v>
      </c>
      <c r="R41" s="1512" t="s">
        <v>8</v>
      </c>
      <c r="S41" s="1513">
        <f t="shared" si="12"/>
        <v>100</v>
      </c>
      <c r="T41" s="1512" t="s">
        <v>8</v>
      </c>
      <c r="U41" s="1513">
        <f t="shared" si="13"/>
        <v>100</v>
      </c>
      <c r="V41" s="1512" t="s">
        <v>8</v>
      </c>
      <c r="W41" s="1513">
        <f t="shared" si="14"/>
        <v>100</v>
      </c>
      <c r="X41" s="1514"/>
      <c r="Y41" s="3502"/>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02"/>
      <c r="Q42" s="1507" t="str">
        <f t="shared" si="11"/>
        <v>内部装修</v>
      </c>
      <c r="R42" s="1508" t="s">
        <v>8</v>
      </c>
      <c r="S42" s="1509">
        <f t="shared" si="12"/>
        <v>100</v>
      </c>
      <c r="T42" s="1508" t="s">
        <v>8</v>
      </c>
      <c r="U42" s="1509">
        <f t="shared" si="13"/>
        <v>100</v>
      </c>
      <c r="V42" s="1508" t="s">
        <v>8</v>
      </c>
      <c r="W42" s="1509">
        <f t="shared" si="14"/>
        <v>100</v>
      </c>
      <c r="X42" s="1502"/>
      <c r="Y42" s="3502"/>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02"/>
      <c r="Q43" s="1507" t="str">
        <f t="shared" si="11"/>
        <v>内部装修维护情况</v>
      </c>
      <c r="R43" s="1508" t="s">
        <v>8</v>
      </c>
      <c r="S43" s="1509">
        <f t="shared" si="12"/>
        <v>100</v>
      </c>
      <c r="T43" s="1508" t="s">
        <v>8</v>
      </c>
      <c r="U43" s="1509">
        <f t="shared" si="13"/>
        <v>100</v>
      </c>
      <c r="V43" s="1508" t="s">
        <v>8</v>
      </c>
      <c r="W43" s="1509">
        <f t="shared" si="14"/>
        <v>100</v>
      </c>
      <c r="X43" s="1502"/>
      <c r="Y43" s="3502"/>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02"/>
      <c r="Q44" s="1134">
        <f t="shared" si="11"/>
        <v>111</v>
      </c>
      <c r="R44" s="1503" t="s">
        <v>8</v>
      </c>
      <c r="S44" s="1504">
        <f t="shared" si="12"/>
        <v>100</v>
      </c>
      <c r="T44" s="1503" t="s">
        <v>8</v>
      </c>
      <c r="U44" s="1504">
        <f t="shared" si="13"/>
        <v>100</v>
      </c>
      <c r="V44" s="1503" t="s">
        <v>8</v>
      </c>
      <c r="W44" s="1504">
        <f t="shared" si="14"/>
        <v>100</v>
      </c>
      <c r="X44" s="1505"/>
      <c r="Y44" s="3502"/>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02"/>
      <c r="Q45" s="1507">
        <f t="shared" si="11"/>
        <v>111</v>
      </c>
      <c r="R45" s="1508" t="s">
        <v>8</v>
      </c>
      <c r="S45" s="1509">
        <f t="shared" si="12"/>
        <v>100</v>
      </c>
      <c r="T45" s="1508" t="s">
        <v>8</v>
      </c>
      <c r="U45" s="1509">
        <f t="shared" si="13"/>
        <v>100</v>
      </c>
      <c r="V45" s="1508" t="s">
        <v>8</v>
      </c>
      <c r="W45" s="1509">
        <f t="shared" si="14"/>
        <v>100</v>
      </c>
      <c r="X45" s="1502"/>
      <c r="Y45" s="3502"/>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84"/>
      <c r="Q46" s="1507">
        <f t="shared" si="11"/>
        <v>111</v>
      </c>
      <c r="R46" s="1508" t="s">
        <v>8</v>
      </c>
      <c r="S46" s="1509">
        <f t="shared" si="12"/>
        <v>100</v>
      </c>
      <c r="T46" s="1508" t="s">
        <v>8</v>
      </c>
      <c r="U46" s="1509">
        <f t="shared" si="13"/>
        <v>100</v>
      </c>
      <c r="V46" s="1508" t="s">
        <v>8</v>
      </c>
      <c r="W46" s="1509">
        <f t="shared" si="14"/>
        <v>100</v>
      </c>
      <c r="X46" s="1502"/>
      <c r="Y46" s="3584"/>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465" t="str">
        <f>A47</f>
        <v>成交单价（元/平方米）</v>
      </c>
      <c r="Q47" s="3465"/>
      <c r="R47" s="3583">
        <f>E47</f>
        <v>0</v>
      </c>
      <c r="S47" s="3583"/>
      <c r="T47" s="3583">
        <f>G47</f>
        <v>0</v>
      </c>
      <c r="U47" s="3583"/>
      <c r="V47" s="3583">
        <f>I47</f>
        <v>0</v>
      </c>
      <c r="W47" s="3583"/>
      <c r="X47" s="1497"/>
      <c r="Y47" s="1516"/>
      <c r="Z47" s="1497"/>
      <c r="AA47" s="1497"/>
      <c r="AB47" s="1497"/>
      <c r="AC47" s="1497"/>
    </row>
    <row r="48" spans="1:29" ht="15.75" thickBot="1">
      <c r="A48" s="609" t="s">
        <v>2740</v>
      </c>
      <c r="B48" s="877"/>
      <c r="C48" s="2477" t="e">
        <f>R49</f>
        <v>#DIV/0!</v>
      </c>
      <c r="D48" s="3014" t="s">
        <v>2971</v>
      </c>
      <c r="E48" s="2478" t="e">
        <f>R48</f>
        <v>#DIV/0!</v>
      </c>
      <c r="F48" s="3015"/>
      <c r="G48" s="2477" t="e">
        <f>T48</f>
        <v>#DIV/0!</v>
      </c>
      <c r="H48" s="3015"/>
      <c r="I48" s="2478" t="e">
        <f>V48</f>
        <v>#DIV/0!</v>
      </c>
      <c r="J48" s="3015"/>
      <c r="K48" s="3023">
        <f>F48+H48+J48</f>
        <v>0</v>
      </c>
      <c r="L48" s="2027"/>
      <c r="M48" s="2028"/>
      <c r="N48" s="2017"/>
      <c r="O48" s="2028"/>
      <c r="P48" s="3465" t="str">
        <f>A48</f>
        <v>比较价格（元/平方米）</v>
      </c>
      <c r="Q48" s="3465"/>
      <c r="R48" s="3583" t="e">
        <f>IF(F1="售价",ROUND(PRODUCT(R47,AA7:AA46),0),ROUND(PRODUCT(R47,AA7:AA46),1))</f>
        <v>#DIV/0!</v>
      </c>
      <c r="S48" s="3583"/>
      <c r="T48" s="3583" t="e">
        <f>IF(F1="售价",ROUND(PRODUCT(T47,AB7:AB46),0),ROUND(PRODUCT(T47,AB7:AB46),1))</f>
        <v>#DIV/0!</v>
      </c>
      <c r="U48" s="3583"/>
      <c r="V48" s="3583" t="e">
        <f>IF(F1="售价",ROUND(PRODUCT(V47,AC7:AC46),0),ROUND(PRODUCT(V47,AC7:AC46),1))</f>
        <v>#DIV/0!</v>
      </c>
      <c r="W48" s="3583"/>
      <c r="X48" s="1497"/>
      <c r="Y48" s="1497"/>
      <c r="Z48" s="1497"/>
      <c r="AA48" s="1497"/>
      <c r="AB48" s="1497"/>
      <c r="AC48" s="1497"/>
    </row>
    <row r="49" spans="1:29" ht="15.75" thickBot="1">
      <c r="A49" s="613" t="s">
        <v>2903</v>
      </c>
      <c r="B49" s="614"/>
      <c r="C49" s="2479" t="e">
        <f>R49</f>
        <v>#DIV/0!</v>
      </c>
      <c r="D49" s="2479"/>
      <c r="E49" s="2479"/>
      <c r="F49" s="2479"/>
      <c r="G49" s="2479"/>
      <c r="H49" s="2479"/>
      <c r="I49" s="2479"/>
      <c r="J49" s="2479"/>
      <c r="K49" s="1542"/>
      <c r="L49" s="2027"/>
      <c r="M49" s="2028"/>
      <c r="N49" s="2017"/>
      <c r="O49" s="2028"/>
      <c r="P49" s="3462" t="str">
        <f>A49</f>
        <v>估价对象XX用房的比较价格（楼面单价，元/平方米）</v>
      </c>
      <c r="Q49" s="3463"/>
      <c r="R49" s="3582" t="e">
        <f>IF(F1="售价",ROUND(IF(D48="简单平均",AVERAGE(R48:V48),R48*F48+T48*H48+V48*J48),0),ROUND(IF(D48="简单平均",AVERAGE(R48:V48),R48*F48+T48*H48+V48*J48),1))</f>
        <v>#DIV/0!</v>
      </c>
      <c r="S49" s="3582"/>
      <c r="T49" s="3582"/>
      <c r="U49" s="3582"/>
      <c r="V49" s="3582"/>
      <c r="W49" s="3582"/>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2021-6</v>
      </c>
      <c r="D58" s="2522">
        <f>EDATE(C58,-1)</f>
        <v>44317</v>
      </c>
      <c r="E58" s="2522">
        <f t="shared" ref="E58:O58" si="16">EDATE(D58,-1)</f>
        <v>44287</v>
      </c>
      <c r="F58" s="2522">
        <f t="shared" si="16"/>
        <v>44256</v>
      </c>
      <c r="G58" s="2522">
        <f t="shared" si="16"/>
        <v>44228</v>
      </c>
      <c r="H58" s="2522">
        <f t="shared" si="16"/>
        <v>44197</v>
      </c>
      <c r="I58" s="2522">
        <f t="shared" si="16"/>
        <v>44166</v>
      </c>
      <c r="J58" s="2522">
        <f t="shared" si="16"/>
        <v>44136</v>
      </c>
      <c r="K58" s="2522">
        <f t="shared" si="16"/>
        <v>44105</v>
      </c>
      <c r="L58" s="2522">
        <f t="shared" si="16"/>
        <v>44075</v>
      </c>
      <c r="M58" s="2522">
        <f t="shared" si="16"/>
        <v>44044</v>
      </c>
      <c r="N58" s="2522">
        <f t="shared" si="16"/>
        <v>44013</v>
      </c>
      <c r="O58" s="2522">
        <f t="shared" si="16"/>
        <v>43983</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471" t="s">
        <v>516</v>
      </c>
      <c r="D4" s="3472"/>
      <c r="E4" s="3511" t="s">
        <v>517</v>
      </c>
      <c r="F4" s="3512"/>
      <c r="G4" s="3471" t="s">
        <v>518</v>
      </c>
      <c r="H4" s="3472"/>
      <c r="I4" s="3471" t="s">
        <v>519</v>
      </c>
      <c r="J4" s="3472"/>
      <c r="K4" s="508" t="s">
        <v>520</v>
      </c>
      <c r="L4" s="2016"/>
      <c r="M4" s="2017"/>
      <c r="N4" s="2017"/>
      <c r="O4" s="2017"/>
      <c r="P4" s="3586" t="s">
        <v>521</v>
      </c>
      <c r="Q4" s="3474"/>
      <c r="R4" s="3479" t="s">
        <v>517</v>
      </c>
      <c r="S4" s="3480"/>
      <c r="T4" s="3479" t="s">
        <v>518</v>
      </c>
      <c r="U4" s="3480"/>
      <c r="V4" s="3466" t="s">
        <v>519</v>
      </c>
      <c r="W4" s="3466"/>
      <c r="X4" s="1502"/>
      <c r="Y4" s="3479" t="s">
        <v>521</v>
      </c>
      <c r="Z4" s="3480"/>
      <c r="AA4" s="3468" t="s">
        <v>517</v>
      </c>
      <c r="AB4" s="3468" t="s">
        <v>518</v>
      </c>
      <c r="AC4" s="3468" t="s">
        <v>519</v>
      </c>
    </row>
    <row r="5" spans="1:29" ht="15">
      <c r="A5" s="509"/>
      <c r="B5" s="510"/>
      <c r="C5" s="3487" t="s">
        <v>2897</v>
      </c>
      <c r="D5" s="3488"/>
      <c r="E5" s="3513" t="s">
        <v>2898</v>
      </c>
      <c r="F5" s="3514"/>
      <c r="G5" s="3487" t="s">
        <v>2899</v>
      </c>
      <c r="H5" s="3488"/>
      <c r="I5" s="3487" t="s">
        <v>2900</v>
      </c>
      <c r="J5" s="3488"/>
      <c r="K5" s="508"/>
      <c r="L5" s="2016"/>
      <c r="M5" s="2017"/>
      <c r="N5" s="2017"/>
      <c r="O5" s="2017"/>
      <c r="P5" s="3587"/>
      <c r="Q5" s="3476"/>
      <c r="R5" s="3481"/>
      <c r="S5" s="3482"/>
      <c r="T5" s="3481"/>
      <c r="U5" s="3482"/>
      <c r="V5" s="3466"/>
      <c r="W5" s="3466"/>
      <c r="X5" s="1502"/>
      <c r="Y5" s="3481"/>
      <c r="Z5" s="3482"/>
      <c r="AA5" s="3469"/>
      <c r="AB5" s="3469"/>
      <c r="AC5" s="3469"/>
    </row>
    <row r="6" spans="1:29" ht="15.75" thickBot="1">
      <c r="A6" s="511"/>
      <c r="B6" s="512"/>
      <c r="C6" s="3485" t="s">
        <v>2901</v>
      </c>
      <c r="D6" s="3486"/>
      <c r="E6" s="3509" t="s">
        <v>2901</v>
      </c>
      <c r="F6" s="3510"/>
      <c r="G6" s="3485" t="s">
        <v>2901</v>
      </c>
      <c r="H6" s="3486"/>
      <c r="I6" s="3485" t="s">
        <v>2901</v>
      </c>
      <c r="J6" s="3486"/>
      <c r="K6" s="508" t="s">
        <v>522</v>
      </c>
      <c r="L6" s="2016"/>
      <c r="M6" s="2017"/>
      <c r="N6" s="2017"/>
      <c r="O6" s="2017"/>
      <c r="P6" s="3588"/>
      <c r="Q6" s="3478"/>
      <c r="R6" s="3481"/>
      <c r="S6" s="3482"/>
      <c r="T6" s="3483"/>
      <c r="U6" s="3484"/>
      <c r="V6" s="3466"/>
      <c r="W6" s="3466"/>
      <c r="X6" s="1502"/>
      <c r="Y6" s="3483"/>
      <c r="Z6" s="3484"/>
      <c r="AA6" s="3470"/>
      <c r="AB6" s="3470"/>
      <c r="AC6" s="3470"/>
    </row>
    <row r="7" spans="1:29" s="1203" customFormat="1" ht="15.75" thickBot="1">
      <c r="A7" s="2630"/>
      <c r="B7" s="2637" t="s">
        <v>523</v>
      </c>
      <c r="C7" s="513">
        <f>'数据-取费表'!B2</f>
        <v>44369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8" t="s">
        <v>524</v>
      </c>
      <c r="Q7" s="3498"/>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8" t="s">
        <v>527</v>
      </c>
      <c r="Q8" s="3497"/>
      <c r="R8" s="1503" t="s">
        <v>8</v>
      </c>
      <c r="S8" s="1504">
        <f t="shared" si="0"/>
        <v>0</v>
      </c>
      <c r="T8" s="1503" t="s">
        <v>8</v>
      </c>
      <c r="U8" s="1504">
        <f t="shared" si="1"/>
        <v>0</v>
      </c>
      <c r="V8" s="1503" t="s">
        <v>8</v>
      </c>
      <c r="W8" s="1504">
        <f t="shared" si="2"/>
        <v>0</v>
      </c>
      <c r="X8" s="1505"/>
      <c r="Y8" s="3496" t="s">
        <v>527</v>
      </c>
      <c r="Z8" s="3497"/>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65" t="s">
        <v>529</v>
      </c>
      <c r="Q9" s="1134" t="str">
        <f t="shared" ref="Q9:Q15" si="6">B9</f>
        <v>用途</v>
      </c>
      <c r="R9" s="1503" t="s">
        <v>8</v>
      </c>
      <c r="S9" s="1504">
        <f t="shared" si="0"/>
        <v>100</v>
      </c>
      <c r="T9" s="1503" t="s">
        <v>8</v>
      </c>
      <c r="U9" s="1504">
        <f t="shared" si="1"/>
        <v>100</v>
      </c>
      <c r="V9" s="1503" t="s">
        <v>8</v>
      </c>
      <c r="W9" s="1504">
        <f t="shared" si="2"/>
        <v>100</v>
      </c>
      <c r="X9" s="1505"/>
      <c r="Y9" s="341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65"/>
      <c r="Q11" s="1134" t="str">
        <f t="shared" si="6"/>
        <v>容积率</v>
      </c>
      <c r="R11" s="1503" t="s">
        <v>8</v>
      </c>
      <c r="S11" s="1504" t="e">
        <f t="shared" si="0"/>
        <v>#N/A</v>
      </c>
      <c r="T11" s="1503" t="s">
        <v>8</v>
      </c>
      <c r="U11" s="1504" t="e">
        <f t="shared" si="1"/>
        <v>#N/A</v>
      </c>
      <c r="V11" s="1503" t="s">
        <v>8</v>
      </c>
      <c r="W11" s="1504" t="e">
        <f t="shared" si="2"/>
        <v>#N/A</v>
      </c>
      <c r="X11" s="1505"/>
      <c r="Y11" s="341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65"/>
      <c r="Q12" s="1134">
        <f t="shared" si="6"/>
        <v>111</v>
      </c>
      <c r="R12" s="1503" t="s">
        <v>8</v>
      </c>
      <c r="S12" s="1504">
        <f t="shared" si="0"/>
        <v>100</v>
      </c>
      <c r="T12" s="1503" t="s">
        <v>8</v>
      </c>
      <c r="U12" s="1504">
        <f t="shared" si="1"/>
        <v>100</v>
      </c>
      <c r="V12" s="1503" t="s">
        <v>8</v>
      </c>
      <c r="W12" s="1504">
        <f t="shared" si="2"/>
        <v>100</v>
      </c>
      <c r="X12" s="1505"/>
      <c r="Y12" s="3411"/>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65"/>
      <c r="Q13" s="1134">
        <f t="shared" si="6"/>
        <v>111</v>
      </c>
      <c r="R13" s="1503" t="s">
        <v>8</v>
      </c>
      <c r="S13" s="1504">
        <f t="shared" si="0"/>
        <v>100</v>
      </c>
      <c r="T13" s="1503" t="s">
        <v>8</v>
      </c>
      <c r="U13" s="1504">
        <f t="shared" si="1"/>
        <v>100</v>
      </c>
      <c r="V13" s="1503" t="s">
        <v>8</v>
      </c>
      <c r="W13" s="1504">
        <f t="shared" si="2"/>
        <v>100</v>
      </c>
      <c r="X13" s="1505"/>
      <c r="Y13" s="3411"/>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65"/>
      <c r="Q14" s="1134">
        <f t="shared" si="6"/>
        <v>111</v>
      </c>
      <c r="R14" s="1503" t="s">
        <v>8</v>
      </c>
      <c r="S14" s="1504">
        <f t="shared" si="0"/>
        <v>100</v>
      </c>
      <c r="T14" s="1503" t="s">
        <v>8</v>
      </c>
      <c r="U14" s="1504">
        <f t="shared" si="1"/>
        <v>100</v>
      </c>
      <c r="V14" s="1503" t="s">
        <v>8</v>
      </c>
      <c r="W14" s="1504">
        <f t="shared" si="2"/>
        <v>100</v>
      </c>
      <c r="X14" s="1505"/>
      <c r="Y14" s="3411"/>
      <c r="Z14" s="1133">
        <f t="shared" si="7"/>
        <v>111</v>
      </c>
      <c r="AA14" s="1506">
        <f t="shared" si="3"/>
        <v>1</v>
      </c>
      <c r="AB14" s="1506">
        <f t="shared" si="4"/>
        <v>1</v>
      </c>
      <c r="AC14" s="1506">
        <f t="shared" si="5"/>
        <v>1</v>
      </c>
    </row>
    <row r="15" spans="1:29" ht="71.25">
      <c r="A15" s="2628"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9" t="s">
        <v>534</v>
      </c>
      <c r="Q15" s="1507" t="str">
        <f t="shared" si="6"/>
        <v>办公集聚程度</v>
      </c>
      <c r="R15" s="1508" t="s">
        <v>8</v>
      </c>
      <c r="S15" s="1509">
        <f t="shared" si="0"/>
        <v>100</v>
      </c>
      <c r="T15" s="1508" t="s">
        <v>8</v>
      </c>
      <c r="U15" s="1509">
        <f t="shared" si="1"/>
        <v>100</v>
      </c>
      <c r="V15" s="1508" t="s">
        <v>8</v>
      </c>
      <c r="W15" s="1509">
        <f t="shared" si="2"/>
        <v>100</v>
      </c>
      <c r="X15" s="1502"/>
      <c r="Y15" s="3499"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00"/>
      <c r="Q16" s="1507"/>
      <c r="R16" s="1508"/>
      <c r="S16" s="1509"/>
      <c r="T16" s="1508"/>
      <c r="U16" s="1509"/>
      <c r="V16" s="1508"/>
      <c r="W16" s="1509"/>
      <c r="X16" s="1502"/>
      <c r="Y16" s="3500"/>
      <c r="Z16" s="1510"/>
      <c r="AA16" s="1511">
        <v>1</v>
      </c>
      <c r="AB16" s="1511">
        <v>1</v>
      </c>
      <c r="AC16" s="1511">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00"/>
      <c r="Q18" s="1507"/>
      <c r="R18" s="1508"/>
      <c r="S18" s="1509"/>
      <c r="T18" s="1508"/>
      <c r="U18" s="1509"/>
      <c r="V18" s="1508"/>
      <c r="W18" s="1509"/>
      <c r="X18" s="1502"/>
      <c r="Y18" s="3500"/>
      <c r="Z18" s="1510"/>
      <c r="AA18" s="1511">
        <v>1</v>
      </c>
      <c r="AB18" s="1511">
        <v>1</v>
      </c>
      <c r="AC18" s="1511">
        <v>1</v>
      </c>
    </row>
    <row r="19" spans="1:29" ht="42.75">
      <c r="A19" s="526"/>
      <c r="B19" s="2448"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00"/>
      <c r="Q20" s="1507"/>
      <c r="R20" s="1508"/>
      <c r="S20" s="1509"/>
      <c r="T20" s="1508"/>
      <c r="U20" s="1509"/>
      <c r="V20" s="1508"/>
      <c r="W20" s="1509"/>
      <c r="X20" s="1502"/>
      <c r="Y20" s="3500"/>
      <c r="Z20" s="1510"/>
      <c r="AA20" s="1511">
        <v>1</v>
      </c>
      <c r="AB20" s="1511">
        <v>1</v>
      </c>
      <c r="AC20" s="1511">
        <v>1</v>
      </c>
    </row>
    <row r="21" spans="1:29" ht="28.5">
      <c r="A21" s="526"/>
      <c r="B21" s="2436"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00"/>
      <c r="Q22" s="2430"/>
      <c r="R22" s="1508"/>
      <c r="S22" s="1509"/>
      <c r="T22" s="1508"/>
      <c r="U22" s="1509"/>
      <c r="V22" s="1508"/>
      <c r="W22" s="1509"/>
      <c r="X22" s="2432"/>
      <c r="Y22" s="3500"/>
      <c r="Z22" s="2431"/>
      <c r="AA22" s="1511">
        <v>1</v>
      </c>
      <c r="AB22" s="1511">
        <v>1</v>
      </c>
      <c r="AC22" s="1511">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00"/>
      <c r="Q23" s="1507" t="str">
        <f>B23</f>
        <v>环境质量</v>
      </c>
      <c r="R23" s="1508" t="s">
        <v>8</v>
      </c>
      <c r="S23" s="1509">
        <f>F23</f>
        <v>100</v>
      </c>
      <c r="T23" s="1508" t="s">
        <v>8</v>
      </c>
      <c r="U23" s="1509">
        <f>H23</f>
        <v>100</v>
      </c>
      <c r="V23" s="1508" t="s">
        <v>8</v>
      </c>
      <c r="W23" s="1509">
        <f>J23</f>
        <v>100</v>
      </c>
      <c r="X23" s="1502"/>
      <c r="Y23" s="3500"/>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00"/>
      <c r="Q24" s="1507"/>
      <c r="R24" s="1508"/>
      <c r="S24" s="1509"/>
      <c r="T24" s="1508"/>
      <c r="U24" s="1509"/>
      <c r="V24" s="1508"/>
      <c r="W24" s="1509"/>
      <c r="X24" s="1502"/>
      <c r="Y24" s="3500"/>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00"/>
      <c r="Q25" s="1507" t="str">
        <f>B25</f>
        <v>毗邻道路的类型与等级</v>
      </c>
      <c r="R25" s="1508" t="s">
        <v>8</v>
      </c>
      <c r="S25" s="1509">
        <f>F25</f>
        <v>100</v>
      </c>
      <c r="T25" s="1508" t="s">
        <v>8</v>
      </c>
      <c r="U25" s="1509">
        <f>H25</f>
        <v>100</v>
      </c>
      <c r="V25" s="1508" t="s">
        <v>8</v>
      </c>
      <c r="W25" s="1509">
        <f>J25</f>
        <v>100</v>
      </c>
      <c r="X25" s="1502"/>
      <c r="Y25" s="3500"/>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00"/>
      <c r="Q26" s="1507"/>
      <c r="R26" s="1508"/>
      <c r="S26" s="1509"/>
      <c r="T26" s="1508"/>
      <c r="U26" s="1509"/>
      <c r="V26" s="1508"/>
      <c r="W26" s="1509"/>
      <c r="X26" s="1502"/>
      <c r="Y26" s="3500"/>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00"/>
      <c r="Q27" s="1507" t="str">
        <f t="shared" ref="Q27:Q47" si="11">B27</f>
        <v>楼层</v>
      </c>
      <c r="R27" s="1508" t="s">
        <v>8</v>
      </c>
      <c r="S27" s="1509">
        <f>F27</f>
        <v>100</v>
      </c>
      <c r="T27" s="1508" t="s">
        <v>8</v>
      </c>
      <c r="U27" s="1509">
        <f>H27</f>
        <v>100</v>
      </c>
      <c r="V27" s="1508" t="s">
        <v>8</v>
      </c>
      <c r="W27" s="1509">
        <f>J27</f>
        <v>100</v>
      </c>
      <c r="X27" s="1502"/>
      <c r="Y27" s="3500"/>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00"/>
      <c r="Q28" s="1134" t="str">
        <f t="shared" si="11"/>
        <v>朝向</v>
      </c>
      <c r="R28" s="1503" t="s">
        <v>8</v>
      </c>
      <c r="S28" s="1504">
        <f>F28</f>
        <v>100</v>
      </c>
      <c r="T28" s="1503" t="s">
        <v>8</v>
      </c>
      <c r="U28" s="1504">
        <f>H28</f>
        <v>100</v>
      </c>
      <c r="V28" s="1503" t="s">
        <v>8</v>
      </c>
      <c r="W28" s="1504">
        <f>J28</f>
        <v>100</v>
      </c>
      <c r="X28" s="1505"/>
      <c r="Y28" s="3500"/>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00"/>
      <c r="Q29" s="1507">
        <f t="shared" si="11"/>
        <v>111</v>
      </c>
      <c r="R29" s="1508" t="s">
        <v>8</v>
      </c>
      <c r="S29" s="1509">
        <f t="shared" ref="S29:S47" si="12">F29</f>
        <v>100</v>
      </c>
      <c r="T29" s="1508" t="s">
        <v>8</v>
      </c>
      <c r="U29" s="1509">
        <f t="shared" ref="U29:U47" si="13">H29</f>
        <v>100</v>
      </c>
      <c r="V29" s="1508" t="s">
        <v>8</v>
      </c>
      <c r="W29" s="1509">
        <f t="shared" ref="W29:W47" si="14">J29</f>
        <v>100</v>
      </c>
      <c r="X29" s="1502"/>
      <c r="Y29" s="3500"/>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00"/>
      <c r="Q30" s="1507">
        <f t="shared" si="11"/>
        <v>111</v>
      </c>
      <c r="R30" s="1508" t="s">
        <v>8</v>
      </c>
      <c r="S30" s="1509">
        <f t="shared" si="12"/>
        <v>100</v>
      </c>
      <c r="T30" s="1508" t="s">
        <v>8</v>
      </c>
      <c r="U30" s="1509">
        <f t="shared" si="13"/>
        <v>100</v>
      </c>
      <c r="V30" s="1508" t="s">
        <v>8</v>
      </c>
      <c r="W30" s="1509">
        <f t="shared" si="14"/>
        <v>100</v>
      </c>
      <c r="X30" s="1502"/>
      <c r="Y30" s="3500"/>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00"/>
      <c r="Q31" s="1507">
        <f t="shared" si="11"/>
        <v>111</v>
      </c>
      <c r="R31" s="1508" t="s">
        <v>8</v>
      </c>
      <c r="S31" s="1509">
        <f t="shared" si="12"/>
        <v>100</v>
      </c>
      <c r="T31" s="1508" t="s">
        <v>8</v>
      </c>
      <c r="U31" s="1509">
        <f t="shared" si="13"/>
        <v>100</v>
      </c>
      <c r="V31" s="1508" t="s">
        <v>8</v>
      </c>
      <c r="W31" s="1509">
        <f t="shared" si="14"/>
        <v>100</v>
      </c>
      <c r="X31" s="1502"/>
      <c r="Y31" s="3500"/>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00"/>
      <c r="Q32" s="1507">
        <f t="shared" si="11"/>
        <v>111</v>
      </c>
      <c r="R32" s="1508" t="s">
        <v>8</v>
      </c>
      <c r="S32" s="1509">
        <f t="shared" si="12"/>
        <v>100</v>
      </c>
      <c r="T32" s="1508" t="s">
        <v>8</v>
      </c>
      <c r="U32" s="1509">
        <f t="shared" si="13"/>
        <v>100</v>
      </c>
      <c r="V32" s="1508" t="s">
        <v>8</v>
      </c>
      <c r="W32" s="1509">
        <f t="shared" si="14"/>
        <v>100</v>
      </c>
      <c r="X32" s="1502"/>
      <c r="Y32" s="3500"/>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01" t="s">
        <v>544</v>
      </c>
      <c r="Q33" s="1507" t="str">
        <f t="shared" si="11"/>
        <v>建筑类型</v>
      </c>
      <c r="R33" s="1508" t="s">
        <v>8</v>
      </c>
      <c r="S33" s="1509">
        <f t="shared" si="12"/>
        <v>100</v>
      </c>
      <c r="T33" s="1508" t="s">
        <v>8</v>
      </c>
      <c r="U33" s="1509">
        <f t="shared" si="13"/>
        <v>100</v>
      </c>
      <c r="V33" s="1508" t="s">
        <v>8</v>
      </c>
      <c r="W33" s="1509">
        <f t="shared" si="14"/>
        <v>100</v>
      </c>
      <c r="X33" s="1502"/>
      <c r="Y33" s="3502"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02"/>
      <c r="Q34" s="1536" t="str">
        <f t="shared" si="11"/>
        <v>项目建筑规模</v>
      </c>
      <c r="R34" s="1512" t="s">
        <v>8</v>
      </c>
      <c r="S34" s="1513" t="e">
        <f t="shared" si="12"/>
        <v>#N/A</v>
      </c>
      <c r="T34" s="1512" t="s">
        <v>8</v>
      </c>
      <c r="U34" s="1513" t="e">
        <f t="shared" si="13"/>
        <v>#N/A</v>
      </c>
      <c r="V34" s="1512" t="s">
        <v>8</v>
      </c>
      <c r="W34" s="1513" t="e">
        <f t="shared" si="14"/>
        <v>#N/A</v>
      </c>
      <c r="X34" s="1514"/>
      <c r="Y34" s="3502"/>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02"/>
      <c r="Q35" s="1507" t="str">
        <f t="shared" si="11"/>
        <v>建筑结构</v>
      </c>
      <c r="R35" s="1508" t="s">
        <v>8</v>
      </c>
      <c r="S35" s="1509">
        <f t="shared" si="12"/>
        <v>100</v>
      </c>
      <c r="T35" s="1508" t="s">
        <v>8</v>
      </c>
      <c r="U35" s="1509">
        <f t="shared" si="13"/>
        <v>100</v>
      </c>
      <c r="V35" s="1508" t="s">
        <v>8</v>
      </c>
      <c r="W35" s="1509">
        <f t="shared" si="14"/>
        <v>100</v>
      </c>
      <c r="X35" s="1502"/>
      <c r="Y35" s="3502"/>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02"/>
      <c r="Q36" s="1507" t="str">
        <f t="shared" si="11"/>
        <v>公共部分装修</v>
      </c>
      <c r="R36" s="1508" t="s">
        <v>8</v>
      </c>
      <c r="S36" s="1509">
        <f t="shared" si="12"/>
        <v>100</v>
      </c>
      <c r="T36" s="1508" t="s">
        <v>8</v>
      </c>
      <c r="U36" s="1509">
        <f t="shared" si="13"/>
        <v>100</v>
      </c>
      <c r="V36" s="1508" t="s">
        <v>8</v>
      </c>
      <c r="W36" s="1509">
        <f t="shared" si="14"/>
        <v>100</v>
      </c>
      <c r="X36" s="1502"/>
      <c r="Y36" s="3502"/>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02"/>
      <c r="Q37" s="1507" t="str">
        <f t="shared" si="11"/>
        <v>成新度</v>
      </c>
      <c r="R37" s="1508" t="s">
        <v>8</v>
      </c>
      <c r="S37" s="1509" t="e">
        <f t="shared" si="12"/>
        <v>#N/A</v>
      </c>
      <c r="T37" s="1508" t="s">
        <v>8</v>
      </c>
      <c r="U37" s="1509" t="e">
        <f t="shared" si="13"/>
        <v>#N/A</v>
      </c>
      <c r="V37" s="1508" t="s">
        <v>8</v>
      </c>
      <c r="W37" s="1509" t="e">
        <f t="shared" si="14"/>
        <v>#N/A</v>
      </c>
      <c r="X37" s="1502"/>
      <c r="Y37" s="3502"/>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02"/>
      <c r="Q38" s="1134" t="str">
        <f t="shared" si="11"/>
        <v>写字楼等级</v>
      </c>
      <c r="R38" s="1503" t="s">
        <v>8</v>
      </c>
      <c r="S38" s="1504">
        <f t="shared" si="12"/>
        <v>100</v>
      </c>
      <c r="T38" s="1503" t="s">
        <v>8</v>
      </c>
      <c r="U38" s="1504">
        <f t="shared" si="13"/>
        <v>100</v>
      </c>
      <c r="V38" s="1503" t="s">
        <v>8</v>
      </c>
      <c r="W38" s="1504">
        <f t="shared" si="14"/>
        <v>100</v>
      </c>
      <c r="X38" s="1505"/>
      <c r="Y38" s="3502"/>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02" t="s">
        <v>544</v>
      </c>
      <c r="Q39" s="1507" t="str">
        <f t="shared" si="11"/>
        <v>物业管理</v>
      </c>
      <c r="R39" s="1508" t="s">
        <v>8</v>
      </c>
      <c r="S39" s="1509">
        <f t="shared" si="12"/>
        <v>100</v>
      </c>
      <c r="T39" s="1508" t="s">
        <v>8</v>
      </c>
      <c r="U39" s="1509">
        <f t="shared" si="13"/>
        <v>100</v>
      </c>
      <c r="V39" s="1508" t="s">
        <v>8</v>
      </c>
      <c r="W39" s="1509">
        <f t="shared" si="14"/>
        <v>100</v>
      </c>
      <c r="X39" s="1502"/>
      <c r="Y39" s="3502"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02"/>
      <c r="Q40" s="1507" t="str">
        <f t="shared" si="11"/>
        <v>市政基础设施</v>
      </c>
      <c r="R40" s="1508" t="s">
        <v>8</v>
      </c>
      <c r="S40" s="1509">
        <f t="shared" si="12"/>
        <v>100</v>
      </c>
      <c r="T40" s="1508" t="s">
        <v>8</v>
      </c>
      <c r="U40" s="1509">
        <f t="shared" si="13"/>
        <v>100</v>
      </c>
      <c r="V40" s="1508" t="s">
        <v>8</v>
      </c>
      <c r="W40" s="1509">
        <f t="shared" si="14"/>
        <v>100</v>
      </c>
      <c r="X40" s="1502"/>
      <c r="Y40" s="3502"/>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02"/>
      <c r="Q41" s="1507" t="str">
        <f t="shared" si="11"/>
        <v>层高</v>
      </c>
      <c r="R41" s="1508" t="s">
        <v>8</v>
      </c>
      <c r="S41" s="1509">
        <f t="shared" si="12"/>
        <v>100</v>
      </c>
      <c r="T41" s="1508" t="s">
        <v>8</v>
      </c>
      <c r="U41" s="1509">
        <f t="shared" si="13"/>
        <v>100</v>
      </c>
      <c r="V41" s="1508" t="s">
        <v>8</v>
      </c>
      <c r="W41" s="1509">
        <f t="shared" si="14"/>
        <v>100</v>
      </c>
      <c r="X41" s="1502"/>
      <c r="Y41" s="3502"/>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02"/>
      <c r="Q42" s="1536" t="str">
        <f t="shared" si="11"/>
        <v>单套建筑面积</v>
      </c>
      <c r="R42" s="1512" t="s">
        <v>8</v>
      </c>
      <c r="S42" s="1513">
        <f t="shared" si="12"/>
        <v>100</v>
      </c>
      <c r="T42" s="1512" t="s">
        <v>8</v>
      </c>
      <c r="U42" s="1513">
        <f t="shared" si="13"/>
        <v>100</v>
      </c>
      <c r="V42" s="1512" t="s">
        <v>8</v>
      </c>
      <c r="W42" s="1513">
        <f t="shared" si="14"/>
        <v>100</v>
      </c>
      <c r="X42" s="1514"/>
      <c r="Y42" s="3502"/>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02"/>
      <c r="Q43" s="1507" t="str">
        <f t="shared" si="11"/>
        <v>内部装修</v>
      </c>
      <c r="R43" s="1508" t="s">
        <v>8</v>
      </c>
      <c r="S43" s="1509">
        <f t="shared" si="12"/>
        <v>100</v>
      </c>
      <c r="T43" s="1508" t="s">
        <v>8</v>
      </c>
      <c r="U43" s="1509">
        <f t="shared" si="13"/>
        <v>100</v>
      </c>
      <c r="V43" s="1508" t="s">
        <v>8</v>
      </c>
      <c r="W43" s="1509">
        <f t="shared" si="14"/>
        <v>100</v>
      </c>
      <c r="X43" s="1502"/>
      <c r="Y43" s="3502"/>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02"/>
      <c r="Q44" s="1507" t="str">
        <f t="shared" si="11"/>
        <v>内部装修维护情况</v>
      </c>
      <c r="R44" s="1508" t="s">
        <v>8</v>
      </c>
      <c r="S44" s="1509">
        <f t="shared" si="12"/>
        <v>100</v>
      </c>
      <c r="T44" s="1508" t="s">
        <v>8</v>
      </c>
      <c r="U44" s="1509">
        <f t="shared" si="13"/>
        <v>100</v>
      </c>
      <c r="V44" s="1508" t="s">
        <v>8</v>
      </c>
      <c r="W44" s="1509">
        <f t="shared" si="14"/>
        <v>100</v>
      </c>
      <c r="X44" s="1502"/>
      <c r="Y44" s="3502"/>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02"/>
      <c r="Q45" s="1134">
        <f t="shared" si="11"/>
        <v>111</v>
      </c>
      <c r="R45" s="1503" t="s">
        <v>8</v>
      </c>
      <c r="S45" s="1504">
        <f t="shared" si="12"/>
        <v>100</v>
      </c>
      <c r="T45" s="1503" t="s">
        <v>8</v>
      </c>
      <c r="U45" s="1504">
        <f t="shared" si="13"/>
        <v>100</v>
      </c>
      <c r="V45" s="1503" t="s">
        <v>8</v>
      </c>
      <c r="W45" s="1504">
        <f t="shared" si="14"/>
        <v>100</v>
      </c>
      <c r="X45" s="1505"/>
      <c r="Y45" s="3502"/>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02"/>
      <c r="Q46" s="1507">
        <f t="shared" si="11"/>
        <v>111</v>
      </c>
      <c r="R46" s="1508" t="s">
        <v>8</v>
      </c>
      <c r="S46" s="1509">
        <f t="shared" si="12"/>
        <v>100</v>
      </c>
      <c r="T46" s="1508" t="s">
        <v>8</v>
      </c>
      <c r="U46" s="1509">
        <f t="shared" si="13"/>
        <v>100</v>
      </c>
      <c r="V46" s="1508" t="s">
        <v>8</v>
      </c>
      <c r="W46" s="1509">
        <f t="shared" si="14"/>
        <v>100</v>
      </c>
      <c r="X46" s="1502"/>
      <c r="Y46" s="3502"/>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84"/>
      <c r="Q47" s="1507">
        <f t="shared" si="11"/>
        <v>111</v>
      </c>
      <c r="R47" s="1508" t="s">
        <v>8</v>
      </c>
      <c r="S47" s="1509">
        <f t="shared" si="12"/>
        <v>100</v>
      </c>
      <c r="T47" s="1508" t="s">
        <v>8</v>
      </c>
      <c r="U47" s="1509">
        <f t="shared" si="13"/>
        <v>100</v>
      </c>
      <c r="V47" s="1508" t="s">
        <v>8</v>
      </c>
      <c r="W47" s="1509">
        <f t="shared" si="14"/>
        <v>100</v>
      </c>
      <c r="X47" s="1502"/>
      <c r="Y47" s="3584"/>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463" t="str">
        <f>A48</f>
        <v>成交单价（元/平方米）</v>
      </c>
      <c r="Q48" s="3465"/>
      <c r="R48" s="3583">
        <f>E48</f>
        <v>0</v>
      </c>
      <c r="S48" s="3583"/>
      <c r="T48" s="3583">
        <f>G48</f>
        <v>0</v>
      </c>
      <c r="U48" s="3583"/>
      <c r="V48" s="3583">
        <f>I48</f>
        <v>0</v>
      </c>
      <c r="W48" s="3583"/>
      <c r="X48" s="1497"/>
      <c r="Y48" s="1516"/>
      <c r="Z48" s="1497"/>
      <c r="AA48" s="1497"/>
      <c r="AB48" s="1497"/>
      <c r="AC48" s="1497"/>
    </row>
    <row r="49" spans="1:29" ht="15.75" thickBot="1">
      <c r="A49" s="609" t="s">
        <v>2740</v>
      </c>
      <c r="B49" s="877"/>
      <c r="C49" s="2477" t="e">
        <f>R50</f>
        <v>#DIV/0!</v>
      </c>
      <c r="D49" s="3014" t="s">
        <v>2971</v>
      </c>
      <c r="E49" s="2478" t="e">
        <f>R49</f>
        <v>#DIV/0!</v>
      </c>
      <c r="F49" s="3015"/>
      <c r="G49" s="2477" t="e">
        <f>T49</f>
        <v>#DIV/0!</v>
      </c>
      <c r="H49" s="3015"/>
      <c r="I49" s="2478" t="e">
        <f>V49</f>
        <v>#DIV/0!</v>
      </c>
      <c r="J49" s="3015"/>
      <c r="K49" s="3023">
        <f>F49+H49+J49</f>
        <v>0</v>
      </c>
      <c r="L49" s="2027"/>
      <c r="M49" s="2017"/>
      <c r="N49" s="2017"/>
      <c r="O49" s="2017"/>
      <c r="P49" s="3463" t="str">
        <f>A49</f>
        <v>比较价格（元/平方米）</v>
      </c>
      <c r="Q49" s="3465"/>
      <c r="R49" s="3583" t="e">
        <f>IF(F1="售价",ROUND(PRODUCT(R48,AA7:AA47),0),ROUND(PRODUCT(R48,AA7:AA47),1))</f>
        <v>#DIV/0!</v>
      </c>
      <c r="S49" s="3583"/>
      <c r="T49" s="3583" t="e">
        <f>IF(F1="售价",ROUND(PRODUCT(T48,AB7:AB47),0),ROUND(PRODUCT(T48,AB7:AB47),1))</f>
        <v>#DIV/0!</v>
      </c>
      <c r="U49" s="3583"/>
      <c r="V49" s="3583" t="e">
        <f>IF(F1="售价",ROUND(PRODUCT(V48,AC7:AC47),0),ROUND(PRODUCT(V48,AC7:AC47),1))</f>
        <v>#DIV/0!</v>
      </c>
      <c r="W49" s="3583"/>
      <c r="X49" s="1497"/>
      <c r="Y49" s="1497"/>
      <c r="Z49" s="1497"/>
      <c r="AA49" s="1497"/>
      <c r="AB49" s="1497"/>
      <c r="AC49" s="1497"/>
    </row>
    <row r="50" spans="1:29" ht="15.75" thickBot="1">
      <c r="A50" s="613" t="s">
        <v>2903</v>
      </c>
      <c r="B50" s="614"/>
      <c r="C50" s="2479" t="e">
        <f>R50</f>
        <v>#DIV/0!</v>
      </c>
      <c r="D50" s="2479"/>
      <c r="E50" s="2479"/>
      <c r="F50" s="2479"/>
      <c r="G50" s="2479"/>
      <c r="H50" s="2479"/>
      <c r="I50" s="2479"/>
      <c r="J50" s="2479"/>
      <c r="K50" s="1542"/>
      <c r="L50" s="2027"/>
      <c r="M50" s="2017"/>
      <c r="N50" s="2017"/>
      <c r="O50" s="2017"/>
      <c r="P50" s="3585" t="str">
        <f>A50</f>
        <v>估价对象XX用房的比较价格（楼面单价，元/平方米）</v>
      </c>
      <c r="Q50" s="3463"/>
      <c r="R50" s="3582" t="e">
        <f>IF(F1="售价",ROUND(IF(D49="简单平均",AVERAGE(R49:V49),R49*F49+T49*H49+V49*J49),0),ROUND(IF(D49="简单平均",AVERAGE(R49:V49),R49*F49+T49*H49+V49*J49),1))</f>
        <v>#DIV/0!</v>
      </c>
      <c r="S50" s="3582"/>
      <c r="T50" s="3582"/>
      <c r="U50" s="3582"/>
      <c r="V50" s="3582"/>
      <c r="W50" s="3582"/>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2021-6</v>
      </c>
      <c r="D59" s="2522">
        <f>EDATE(C59,-1)</f>
        <v>44317</v>
      </c>
      <c r="E59" s="2522">
        <f t="shared" ref="E59:O59" si="16">EDATE(D59,-1)</f>
        <v>44287</v>
      </c>
      <c r="F59" s="2522">
        <f t="shared" si="16"/>
        <v>44256</v>
      </c>
      <c r="G59" s="2522">
        <f t="shared" si="16"/>
        <v>44228</v>
      </c>
      <c r="H59" s="2522">
        <f t="shared" si="16"/>
        <v>44197</v>
      </c>
      <c r="I59" s="2522">
        <f t="shared" si="16"/>
        <v>44166</v>
      </c>
      <c r="J59" s="2522">
        <f t="shared" si="16"/>
        <v>44136</v>
      </c>
      <c r="K59" s="2522">
        <f t="shared" si="16"/>
        <v>44105</v>
      </c>
      <c r="L59" s="2522">
        <f t="shared" si="16"/>
        <v>44075</v>
      </c>
      <c r="M59" s="2522">
        <f t="shared" si="16"/>
        <v>44044</v>
      </c>
      <c r="N59" s="2522">
        <f t="shared" si="16"/>
        <v>44013</v>
      </c>
      <c r="O59" s="2522">
        <f t="shared" si="16"/>
        <v>43983</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471" t="s">
        <v>516</v>
      </c>
      <c r="D4" s="3472"/>
      <c r="E4" s="3511" t="s">
        <v>517</v>
      </c>
      <c r="F4" s="3512"/>
      <c r="G4" s="3471" t="s">
        <v>518</v>
      </c>
      <c r="H4" s="3472"/>
      <c r="I4" s="3471" t="s">
        <v>519</v>
      </c>
      <c r="J4" s="3472"/>
      <c r="K4" s="508" t="s">
        <v>520</v>
      </c>
      <c r="L4" s="2016"/>
      <c r="M4" s="2017"/>
      <c r="N4" s="2017"/>
      <c r="O4" s="2017"/>
      <c r="P4" s="3473" t="s">
        <v>521</v>
      </c>
      <c r="Q4" s="3474"/>
      <c r="R4" s="3479" t="s">
        <v>517</v>
      </c>
      <c r="S4" s="3480"/>
      <c r="T4" s="3479" t="s">
        <v>518</v>
      </c>
      <c r="U4" s="3480"/>
      <c r="V4" s="3466" t="s">
        <v>519</v>
      </c>
      <c r="W4" s="3466"/>
      <c r="X4" s="1502"/>
      <c r="Y4" s="3479" t="s">
        <v>521</v>
      </c>
      <c r="Z4" s="3480"/>
      <c r="AA4" s="3468" t="s">
        <v>517</v>
      </c>
      <c r="AB4" s="3469" t="s">
        <v>518</v>
      </c>
      <c r="AC4" s="3468" t="s">
        <v>519</v>
      </c>
    </row>
    <row r="5" spans="1:29" ht="15">
      <c r="A5" s="509"/>
      <c r="B5" s="510"/>
      <c r="C5" s="3487" t="s">
        <v>2897</v>
      </c>
      <c r="D5" s="3488"/>
      <c r="E5" s="3513" t="s">
        <v>2898</v>
      </c>
      <c r="F5" s="3514"/>
      <c r="G5" s="3487" t="s">
        <v>2899</v>
      </c>
      <c r="H5" s="3488"/>
      <c r="I5" s="3487" t="s">
        <v>2900</v>
      </c>
      <c r="J5" s="3488"/>
      <c r="K5" s="508"/>
      <c r="L5" s="2016"/>
      <c r="M5" s="2017"/>
      <c r="N5" s="2017"/>
      <c r="O5" s="2017"/>
      <c r="P5" s="3475"/>
      <c r="Q5" s="3476"/>
      <c r="R5" s="3481"/>
      <c r="S5" s="3482"/>
      <c r="T5" s="3481"/>
      <c r="U5" s="3482"/>
      <c r="V5" s="3466"/>
      <c r="W5" s="3466"/>
      <c r="X5" s="1502"/>
      <c r="Y5" s="3481"/>
      <c r="Z5" s="3482"/>
      <c r="AA5" s="3469"/>
      <c r="AB5" s="3469"/>
      <c r="AC5" s="3469"/>
    </row>
    <row r="6" spans="1:29" ht="15.75" thickBot="1">
      <c r="A6" s="511"/>
      <c r="B6" s="512"/>
      <c r="C6" s="3485" t="s">
        <v>2901</v>
      </c>
      <c r="D6" s="3486"/>
      <c r="E6" s="3509" t="s">
        <v>2901</v>
      </c>
      <c r="F6" s="3510"/>
      <c r="G6" s="3485" t="s">
        <v>2901</v>
      </c>
      <c r="H6" s="3486"/>
      <c r="I6" s="3485" t="s">
        <v>2901</v>
      </c>
      <c r="J6" s="3486"/>
      <c r="K6" s="508" t="s">
        <v>522</v>
      </c>
      <c r="L6" s="2016"/>
      <c r="M6" s="2017"/>
      <c r="N6" s="2017"/>
      <c r="O6" s="2017"/>
      <c r="P6" s="3477"/>
      <c r="Q6" s="3478"/>
      <c r="R6" s="3481"/>
      <c r="S6" s="3482"/>
      <c r="T6" s="3483"/>
      <c r="U6" s="3484"/>
      <c r="V6" s="3466"/>
      <c r="W6" s="3466"/>
      <c r="X6" s="1502"/>
      <c r="Y6" s="3483"/>
      <c r="Z6" s="3484"/>
      <c r="AA6" s="3470"/>
      <c r="AB6" s="3470"/>
      <c r="AC6" s="3470"/>
    </row>
    <row r="7" spans="1:29" s="1203" customFormat="1" ht="15.75" thickBot="1">
      <c r="A7" s="2630"/>
      <c r="B7" s="2637" t="s">
        <v>523</v>
      </c>
      <c r="C7" s="513">
        <f>'数据-取费表'!B2</f>
        <v>44369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96" t="s">
        <v>524</v>
      </c>
      <c r="Q7" s="3498"/>
      <c r="R7" s="1503" t="s">
        <v>8</v>
      </c>
      <c r="S7" s="1504">
        <f t="shared" ref="S7:S15" si="0">F7</f>
        <v>0</v>
      </c>
      <c r="T7" s="1503" t="s">
        <v>8</v>
      </c>
      <c r="U7" s="1504">
        <f t="shared" ref="U7:U15" si="1">H7</f>
        <v>0</v>
      </c>
      <c r="V7" s="1503" t="s">
        <v>8</v>
      </c>
      <c r="W7" s="1504">
        <f t="shared" ref="W7:W15"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65" t="s">
        <v>529</v>
      </c>
      <c r="Q9" s="1134" t="str">
        <f t="shared" ref="Q9:Q15" si="6">B9</f>
        <v>用途</v>
      </c>
      <c r="R9" s="1503" t="s">
        <v>8</v>
      </c>
      <c r="S9" s="1504">
        <f t="shared" si="0"/>
        <v>100</v>
      </c>
      <c r="T9" s="1503" t="s">
        <v>8</v>
      </c>
      <c r="U9" s="1504">
        <f t="shared" si="1"/>
        <v>100</v>
      </c>
      <c r="V9" s="1503" t="s">
        <v>8</v>
      </c>
      <c r="W9" s="1504">
        <f t="shared" si="2"/>
        <v>100</v>
      </c>
      <c r="X9" s="1505"/>
      <c r="Y9" s="3411"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65"/>
      <c r="Q11" s="1134" t="str">
        <f t="shared" si="6"/>
        <v>容积率</v>
      </c>
      <c r="R11" s="1503" t="s">
        <v>8</v>
      </c>
      <c r="S11" s="1504" t="e">
        <f t="shared" si="0"/>
        <v>#N/A</v>
      </c>
      <c r="T11" s="1503" t="s">
        <v>8</v>
      </c>
      <c r="U11" s="1504" t="e">
        <f t="shared" si="1"/>
        <v>#N/A</v>
      </c>
      <c r="V11" s="1503" t="s">
        <v>8</v>
      </c>
      <c r="W11" s="1504" t="e">
        <f t="shared" si="2"/>
        <v>#N/A</v>
      </c>
      <c r="X11" s="1505"/>
      <c r="Y11" s="3411"/>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65"/>
      <c r="Q12" s="1134">
        <f t="shared" si="6"/>
        <v>111</v>
      </c>
      <c r="R12" s="1503" t="s">
        <v>8</v>
      </c>
      <c r="S12" s="1504">
        <f t="shared" si="0"/>
        <v>100</v>
      </c>
      <c r="T12" s="1503" t="s">
        <v>8</v>
      </c>
      <c r="U12" s="1504">
        <f t="shared" si="1"/>
        <v>100</v>
      </c>
      <c r="V12" s="1503" t="s">
        <v>8</v>
      </c>
      <c r="W12" s="1504">
        <f t="shared" si="2"/>
        <v>100</v>
      </c>
      <c r="X12" s="1505"/>
      <c r="Y12" s="3411"/>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65"/>
      <c r="Q13" s="1134">
        <f t="shared" si="6"/>
        <v>111</v>
      </c>
      <c r="R13" s="1503" t="s">
        <v>8</v>
      </c>
      <c r="S13" s="1504">
        <f t="shared" si="0"/>
        <v>100</v>
      </c>
      <c r="T13" s="1503" t="s">
        <v>8</v>
      </c>
      <c r="U13" s="1504">
        <f t="shared" si="1"/>
        <v>100</v>
      </c>
      <c r="V13" s="1503" t="s">
        <v>8</v>
      </c>
      <c r="W13" s="1504">
        <f t="shared" si="2"/>
        <v>100</v>
      </c>
      <c r="X13" s="1505"/>
      <c r="Y13" s="3411"/>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65"/>
      <c r="Q14" s="1134">
        <f t="shared" si="6"/>
        <v>111</v>
      </c>
      <c r="R14" s="1503" t="s">
        <v>8</v>
      </c>
      <c r="S14" s="1504">
        <f t="shared" si="0"/>
        <v>100</v>
      </c>
      <c r="T14" s="1503" t="s">
        <v>8</v>
      </c>
      <c r="U14" s="1504">
        <f t="shared" si="1"/>
        <v>100</v>
      </c>
      <c r="V14" s="1503" t="s">
        <v>8</v>
      </c>
      <c r="W14" s="1504">
        <f t="shared" si="2"/>
        <v>100</v>
      </c>
      <c r="X14" s="1505"/>
      <c r="Y14" s="3411"/>
      <c r="Z14" s="1133">
        <f t="shared" si="7"/>
        <v>111</v>
      </c>
      <c r="AA14" s="1506">
        <f t="shared" si="3"/>
        <v>1</v>
      </c>
      <c r="AB14" s="1506">
        <f t="shared" si="4"/>
        <v>1</v>
      </c>
      <c r="AC14" s="1506">
        <f t="shared" si="5"/>
        <v>1</v>
      </c>
    </row>
    <row r="15" spans="1:29" ht="57">
      <c r="A15" s="2628"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9" t="s">
        <v>534</v>
      </c>
      <c r="Q15" s="1507" t="str">
        <f t="shared" si="6"/>
        <v>产业集聚程度</v>
      </c>
      <c r="R15" s="1508" t="s">
        <v>8</v>
      </c>
      <c r="S15" s="1509">
        <f t="shared" si="0"/>
        <v>100</v>
      </c>
      <c r="T15" s="1508" t="s">
        <v>8</v>
      </c>
      <c r="U15" s="1509">
        <f t="shared" si="1"/>
        <v>100</v>
      </c>
      <c r="V15" s="1508" t="s">
        <v>8</v>
      </c>
      <c r="W15" s="1509">
        <f t="shared" si="2"/>
        <v>100</v>
      </c>
      <c r="X15" s="1502"/>
      <c r="Y15" s="3499"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00"/>
      <c r="Q16" s="1507"/>
      <c r="R16" s="1508"/>
      <c r="S16" s="1509"/>
      <c r="T16" s="1508"/>
      <c r="U16" s="1509"/>
      <c r="V16" s="1508"/>
      <c r="W16" s="1509"/>
      <c r="X16" s="1502"/>
      <c r="Y16" s="3500"/>
      <c r="Z16" s="1510"/>
      <c r="AA16" s="1511">
        <v>1</v>
      </c>
      <c r="AB16" s="1511">
        <v>1</v>
      </c>
      <c r="AC16" s="1511">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00"/>
      <c r="Q17" s="1507" t="str">
        <f>B17</f>
        <v>交通便捷度</v>
      </c>
      <c r="R17" s="1508" t="s">
        <v>8</v>
      </c>
      <c r="S17" s="1509">
        <f>F17</f>
        <v>100</v>
      </c>
      <c r="T17" s="1508" t="s">
        <v>8</v>
      </c>
      <c r="U17" s="1509">
        <f>H17</f>
        <v>100</v>
      </c>
      <c r="V17" s="1508" t="s">
        <v>8</v>
      </c>
      <c r="W17" s="1509">
        <f>J17</f>
        <v>100</v>
      </c>
      <c r="X17" s="1502"/>
      <c r="Y17" s="3500"/>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00"/>
      <c r="Q18" s="1507"/>
      <c r="R18" s="1508"/>
      <c r="S18" s="1509"/>
      <c r="T18" s="1508"/>
      <c r="U18" s="1509"/>
      <c r="V18" s="1508"/>
      <c r="W18" s="1509"/>
      <c r="X18" s="1502"/>
      <c r="Y18" s="3500"/>
      <c r="Z18" s="1510"/>
      <c r="AA18" s="1511">
        <v>1</v>
      </c>
      <c r="AB18" s="1511">
        <v>1</v>
      </c>
      <c r="AC18" s="1511">
        <v>1</v>
      </c>
    </row>
    <row r="19" spans="1:29" ht="42.75">
      <c r="A19" s="526"/>
      <c r="B19" s="2448"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00"/>
      <c r="Q19" s="1507" t="str">
        <f>B19</f>
        <v>公共配套设施</v>
      </c>
      <c r="R19" s="1508" t="s">
        <v>8</v>
      </c>
      <c r="S19" s="1509">
        <f>F19</f>
        <v>100</v>
      </c>
      <c r="T19" s="1508" t="s">
        <v>8</v>
      </c>
      <c r="U19" s="1509">
        <f>H19</f>
        <v>100</v>
      </c>
      <c r="V19" s="1508" t="s">
        <v>8</v>
      </c>
      <c r="W19" s="1509">
        <f>J19</f>
        <v>100</v>
      </c>
      <c r="X19" s="1502"/>
      <c r="Y19" s="3500"/>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00"/>
      <c r="Q20" s="1507"/>
      <c r="R20" s="1508"/>
      <c r="S20" s="1509"/>
      <c r="T20" s="1508"/>
      <c r="U20" s="1509"/>
      <c r="V20" s="1508"/>
      <c r="W20" s="1509"/>
      <c r="X20" s="1502"/>
      <c r="Y20" s="3500"/>
      <c r="Z20" s="1510"/>
      <c r="AA20" s="1511">
        <v>1</v>
      </c>
      <c r="AB20" s="1511">
        <v>1</v>
      </c>
      <c r="AC20" s="1511">
        <v>1</v>
      </c>
    </row>
    <row r="21" spans="1:29" ht="28.5">
      <c r="A21" s="526"/>
      <c r="B21" s="2436"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00"/>
      <c r="Q21" s="2430" t="str">
        <f>B21</f>
        <v>基础设施水平</v>
      </c>
      <c r="R21" s="1508" t="s">
        <v>8</v>
      </c>
      <c r="S21" s="1509">
        <f>F21</f>
        <v>100</v>
      </c>
      <c r="T21" s="1508" t="s">
        <v>8</v>
      </c>
      <c r="U21" s="1509">
        <f>H21</f>
        <v>100</v>
      </c>
      <c r="V21" s="1508" t="s">
        <v>8</v>
      </c>
      <c r="W21" s="1509">
        <f>J21</f>
        <v>100</v>
      </c>
      <c r="X21" s="2432"/>
      <c r="Y21" s="3500"/>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00"/>
      <c r="Q22" s="2430"/>
      <c r="R22" s="1508"/>
      <c r="S22" s="1509"/>
      <c r="T22" s="1508"/>
      <c r="U22" s="1509"/>
      <c r="V22" s="1508"/>
      <c r="W22" s="1509"/>
      <c r="X22" s="2432"/>
      <c r="Y22" s="3500"/>
      <c r="Z22" s="2431"/>
      <c r="AA22" s="1511">
        <v>1</v>
      </c>
      <c r="AB22" s="1511">
        <v>1</v>
      </c>
      <c r="AC22" s="1511">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00"/>
      <c r="Q23" s="1507" t="str">
        <f>B23</f>
        <v>环境质量</v>
      </c>
      <c r="R23" s="1508" t="s">
        <v>8</v>
      </c>
      <c r="S23" s="1509">
        <f>F23</f>
        <v>100</v>
      </c>
      <c r="T23" s="1508" t="s">
        <v>8</v>
      </c>
      <c r="U23" s="1509">
        <f>H23</f>
        <v>100</v>
      </c>
      <c r="V23" s="1508" t="s">
        <v>8</v>
      </c>
      <c r="W23" s="1509">
        <f>J23</f>
        <v>100</v>
      </c>
      <c r="X23" s="1502"/>
      <c r="Y23" s="3500"/>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00"/>
      <c r="Q24" s="1507"/>
      <c r="R24" s="1508"/>
      <c r="S24" s="1509"/>
      <c r="T24" s="1508"/>
      <c r="U24" s="1509"/>
      <c r="V24" s="1508"/>
      <c r="W24" s="1509"/>
      <c r="X24" s="1502"/>
      <c r="Y24" s="3500"/>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00"/>
      <c r="Q25" s="1507">
        <f>B25</f>
        <v>111</v>
      </c>
      <c r="R25" s="1508" t="s">
        <v>8</v>
      </c>
      <c r="S25" s="1509">
        <f>F25</f>
        <v>100</v>
      </c>
      <c r="T25" s="1508" t="s">
        <v>8</v>
      </c>
      <c r="U25" s="1509">
        <f>H25</f>
        <v>100</v>
      </c>
      <c r="V25" s="1508" t="s">
        <v>8</v>
      </c>
      <c r="W25" s="1509">
        <f>J25</f>
        <v>100</v>
      </c>
      <c r="X25" s="1502"/>
      <c r="Y25" s="3500"/>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00"/>
      <c r="Q26" s="1507">
        <f t="shared" ref="Q26:Q40" si="11">B26</f>
        <v>111</v>
      </c>
      <c r="R26" s="1508" t="s">
        <v>8</v>
      </c>
      <c r="S26" s="1509">
        <f>F26</f>
        <v>100</v>
      </c>
      <c r="T26" s="1508" t="s">
        <v>8</v>
      </c>
      <c r="U26" s="1509">
        <f>H26</f>
        <v>100</v>
      </c>
      <c r="V26" s="1508" t="s">
        <v>8</v>
      </c>
      <c r="W26" s="1509">
        <f>J26</f>
        <v>100</v>
      </c>
      <c r="X26" s="1502"/>
      <c r="Y26" s="3500"/>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00"/>
      <c r="Q27" s="1134">
        <f t="shared" si="11"/>
        <v>111</v>
      </c>
      <c r="R27" s="1503" t="s">
        <v>8</v>
      </c>
      <c r="S27" s="1504">
        <f>F27</f>
        <v>100</v>
      </c>
      <c r="T27" s="1503" t="s">
        <v>8</v>
      </c>
      <c r="U27" s="1504">
        <f>H27</f>
        <v>100</v>
      </c>
      <c r="V27" s="1503" t="s">
        <v>8</v>
      </c>
      <c r="W27" s="1504">
        <f>J27</f>
        <v>100</v>
      </c>
      <c r="X27" s="1505"/>
      <c r="Y27" s="3500"/>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00"/>
      <c r="Q28" s="1507">
        <f t="shared" si="11"/>
        <v>111</v>
      </c>
      <c r="R28" s="1508" t="s">
        <v>8</v>
      </c>
      <c r="S28" s="1509">
        <f t="shared" ref="S28:S40" si="12">F28</f>
        <v>100</v>
      </c>
      <c r="T28" s="1508" t="s">
        <v>8</v>
      </c>
      <c r="U28" s="1509">
        <f t="shared" ref="U28:U40" si="13">H28</f>
        <v>100</v>
      </c>
      <c r="V28" s="1508" t="s">
        <v>8</v>
      </c>
      <c r="W28" s="1509">
        <f t="shared" ref="W28:W40" si="14">J28</f>
        <v>100</v>
      </c>
      <c r="X28" s="1502"/>
      <c r="Y28" s="3500"/>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01" t="s">
        <v>544</v>
      </c>
      <c r="Q29" s="1507" t="str">
        <f t="shared" si="11"/>
        <v>建筑类型</v>
      </c>
      <c r="R29" s="1508" t="s">
        <v>8</v>
      </c>
      <c r="S29" s="1509">
        <f t="shared" si="12"/>
        <v>100</v>
      </c>
      <c r="T29" s="1508" t="s">
        <v>8</v>
      </c>
      <c r="U29" s="1509">
        <f t="shared" si="13"/>
        <v>100</v>
      </c>
      <c r="V29" s="1508" t="s">
        <v>8</v>
      </c>
      <c r="W29" s="1509">
        <f t="shared" si="14"/>
        <v>100</v>
      </c>
      <c r="X29" s="1502"/>
      <c r="Y29" s="3502"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02"/>
      <c r="Q30" s="1536" t="str">
        <f t="shared" si="11"/>
        <v>项目建筑规模</v>
      </c>
      <c r="R30" s="1512" t="s">
        <v>8</v>
      </c>
      <c r="S30" s="1513" t="e">
        <f t="shared" si="12"/>
        <v>#N/A</v>
      </c>
      <c r="T30" s="1512" t="s">
        <v>8</v>
      </c>
      <c r="U30" s="1513" t="e">
        <f t="shared" si="13"/>
        <v>#N/A</v>
      </c>
      <c r="V30" s="1512" t="s">
        <v>8</v>
      </c>
      <c r="W30" s="1513" t="e">
        <f t="shared" si="14"/>
        <v>#N/A</v>
      </c>
      <c r="X30" s="1514"/>
      <c r="Y30" s="3502"/>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02"/>
      <c r="Q31" s="1507" t="str">
        <f t="shared" si="11"/>
        <v>建筑结构</v>
      </c>
      <c r="R31" s="1508" t="s">
        <v>8</v>
      </c>
      <c r="S31" s="1509">
        <f t="shared" si="12"/>
        <v>100</v>
      </c>
      <c r="T31" s="1508" t="s">
        <v>8</v>
      </c>
      <c r="U31" s="1509">
        <f t="shared" si="13"/>
        <v>100</v>
      </c>
      <c r="V31" s="1508" t="s">
        <v>8</v>
      </c>
      <c r="W31" s="1509">
        <f t="shared" si="14"/>
        <v>100</v>
      </c>
      <c r="X31" s="1502"/>
      <c r="Y31" s="3502"/>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02"/>
      <c r="Q32" s="1507" t="str">
        <f t="shared" si="11"/>
        <v>公共部分装修</v>
      </c>
      <c r="R32" s="1508" t="s">
        <v>8</v>
      </c>
      <c r="S32" s="1509">
        <f t="shared" si="12"/>
        <v>100</v>
      </c>
      <c r="T32" s="1508" t="s">
        <v>8</v>
      </c>
      <c r="U32" s="1509">
        <f t="shared" si="13"/>
        <v>100</v>
      </c>
      <c r="V32" s="1508" t="s">
        <v>8</v>
      </c>
      <c r="W32" s="1509">
        <f t="shared" si="14"/>
        <v>100</v>
      </c>
      <c r="X32" s="1502"/>
      <c r="Y32" s="3502"/>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02"/>
      <c r="Q33" s="1507" t="str">
        <f t="shared" si="11"/>
        <v>成新度</v>
      </c>
      <c r="R33" s="1508" t="s">
        <v>8</v>
      </c>
      <c r="S33" s="1509" t="e">
        <f t="shared" si="12"/>
        <v>#N/A</v>
      </c>
      <c r="T33" s="1508" t="s">
        <v>8</v>
      </c>
      <c r="U33" s="1509" t="e">
        <f t="shared" si="13"/>
        <v>#N/A</v>
      </c>
      <c r="V33" s="1508" t="s">
        <v>8</v>
      </c>
      <c r="W33" s="1509" t="e">
        <f t="shared" si="14"/>
        <v>#N/A</v>
      </c>
      <c r="X33" s="1502"/>
      <c r="Y33" s="3502"/>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02"/>
      <c r="Q34" s="1134" t="str">
        <f t="shared" si="11"/>
        <v>物业管理</v>
      </c>
      <c r="R34" s="1503" t="s">
        <v>8</v>
      </c>
      <c r="S34" s="1504">
        <f t="shared" si="12"/>
        <v>100</v>
      </c>
      <c r="T34" s="1503" t="s">
        <v>8</v>
      </c>
      <c r="U34" s="1504">
        <f t="shared" si="13"/>
        <v>100</v>
      </c>
      <c r="V34" s="1503" t="s">
        <v>8</v>
      </c>
      <c r="W34" s="1504">
        <f t="shared" si="14"/>
        <v>100</v>
      </c>
      <c r="X34" s="1505"/>
      <c r="Y34" s="3502"/>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02" t="s">
        <v>544</v>
      </c>
      <c r="Q35" s="1507" t="str">
        <f t="shared" si="11"/>
        <v>市政基础设施</v>
      </c>
      <c r="R35" s="1508" t="s">
        <v>8</v>
      </c>
      <c r="S35" s="1509">
        <f t="shared" si="12"/>
        <v>100</v>
      </c>
      <c r="T35" s="1508" t="s">
        <v>8</v>
      </c>
      <c r="U35" s="1509">
        <f t="shared" si="13"/>
        <v>100</v>
      </c>
      <c r="V35" s="1508" t="s">
        <v>8</v>
      </c>
      <c r="W35" s="1509">
        <f t="shared" si="14"/>
        <v>100</v>
      </c>
      <c r="X35" s="1502"/>
      <c r="Y35" s="3502"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02"/>
      <c r="Q36" s="1507" t="str">
        <f t="shared" si="11"/>
        <v>内部装修</v>
      </c>
      <c r="R36" s="1508" t="s">
        <v>8</v>
      </c>
      <c r="S36" s="1509">
        <f t="shared" si="12"/>
        <v>100</v>
      </c>
      <c r="T36" s="1508" t="s">
        <v>8</v>
      </c>
      <c r="U36" s="1509">
        <f t="shared" si="13"/>
        <v>100</v>
      </c>
      <c r="V36" s="1508" t="s">
        <v>8</v>
      </c>
      <c r="W36" s="1509">
        <f t="shared" si="14"/>
        <v>100</v>
      </c>
      <c r="X36" s="1502"/>
      <c r="Y36" s="3502"/>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02"/>
      <c r="Q37" s="1507" t="str">
        <f t="shared" si="11"/>
        <v>内部装修状况</v>
      </c>
      <c r="R37" s="1508" t="s">
        <v>8</v>
      </c>
      <c r="S37" s="1509">
        <f t="shared" si="12"/>
        <v>100</v>
      </c>
      <c r="T37" s="1508" t="s">
        <v>8</v>
      </c>
      <c r="U37" s="1509">
        <f t="shared" si="13"/>
        <v>100</v>
      </c>
      <c r="V37" s="1508" t="s">
        <v>8</v>
      </c>
      <c r="W37" s="1509">
        <f t="shared" si="14"/>
        <v>100</v>
      </c>
      <c r="X37" s="1502"/>
      <c r="Y37" s="3502"/>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02"/>
      <c r="Q38" s="1536">
        <f t="shared" si="11"/>
        <v>111</v>
      </c>
      <c r="R38" s="1512" t="s">
        <v>8</v>
      </c>
      <c r="S38" s="1513">
        <f t="shared" si="12"/>
        <v>100</v>
      </c>
      <c r="T38" s="1512" t="s">
        <v>8</v>
      </c>
      <c r="U38" s="1513">
        <f t="shared" si="13"/>
        <v>100</v>
      </c>
      <c r="V38" s="1512" t="s">
        <v>8</v>
      </c>
      <c r="W38" s="1513">
        <f t="shared" si="14"/>
        <v>100</v>
      </c>
      <c r="X38" s="1514"/>
      <c r="Y38" s="3502"/>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02"/>
      <c r="Q39" s="1507">
        <f t="shared" si="11"/>
        <v>111</v>
      </c>
      <c r="R39" s="1508" t="s">
        <v>8</v>
      </c>
      <c r="S39" s="1509">
        <f t="shared" si="12"/>
        <v>100</v>
      </c>
      <c r="T39" s="1508" t="s">
        <v>8</v>
      </c>
      <c r="U39" s="1509">
        <f t="shared" si="13"/>
        <v>100</v>
      </c>
      <c r="V39" s="1508" t="s">
        <v>8</v>
      </c>
      <c r="W39" s="1509">
        <f t="shared" si="14"/>
        <v>100</v>
      </c>
      <c r="X39" s="1502"/>
      <c r="Y39" s="3502"/>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84"/>
      <c r="Q40" s="1507">
        <f t="shared" si="11"/>
        <v>111</v>
      </c>
      <c r="R40" s="1508" t="s">
        <v>8</v>
      </c>
      <c r="S40" s="1509">
        <f t="shared" si="12"/>
        <v>100</v>
      </c>
      <c r="T40" s="1508" t="s">
        <v>8</v>
      </c>
      <c r="U40" s="1509">
        <f t="shared" si="13"/>
        <v>100</v>
      </c>
      <c r="V40" s="1508" t="s">
        <v>8</v>
      </c>
      <c r="W40" s="1509">
        <f t="shared" si="14"/>
        <v>100</v>
      </c>
      <c r="X40" s="1502"/>
      <c r="Y40" s="3584"/>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465" t="str">
        <f>A41</f>
        <v>成交单价（元/平方米）</v>
      </c>
      <c r="Q41" s="3465"/>
      <c r="R41" s="3583">
        <f>E41</f>
        <v>0</v>
      </c>
      <c r="S41" s="3583"/>
      <c r="T41" s="3583">
        <f>G41</f>
        <v>0</v>
      </c>
      <c r="U41" s="3583"/>
      <c r="V41" s="3583">
        <f>I41</f>
        <v>0</v>
      </c>
      <c r="W41" s="3583"/>
      <c r="X41" s="1497"/>
      <c r="Y41" s="1516"/>
      <c r="Z41" s="1497"/>
      <c r="AA41" s="1497"/>
      <c r="AB41" s="1497"/>
      <c r="AC41" s="1497"/>
    </row>
    <row r="42" spans="1:29" ht="15.75" thickBot="1">
      <c r="A42" s="609" t="s">
        <v>2740</v>
      </c>
      <c r="B42" s="877"/>
      <c r="C42" s="2477" t="e">
        <f>R43</f>
        <v>#DIV/0!</v>
      </c>
      <c r="D42" s="3014" t="s">
        <v>2971</v>
      </c>
      <c r="E42" s="2478" t="e">
        <f>R42</f>
        <v>#DIV/0!</v>
      </c>
      <c r="F42" s="3015"/>
      <c r="G42" s="2477" t="e">
        <f>T42</f>
        <v>#DIV/0!</v>
      </c>
      <c r="H42" s="3015"/>
      <c r="I42" s="2478" t="e">
        <f>V42</f>
        <v>#DIV/0!</v>
      </c>
      <c r="J42" s="3015"/>
      <c r="K42" s="3023">
        <f>F42+H42+J42</f>
        <v>0</v>
      </c>
      <c r="L42" s="2027"/>
      <c r="M42" s="2028"/>
      <c r="N42" s="2017"/>
      <c r="O42" s="2028"/>
      <c r="P42" s="3465" t="str">
        <f>A42</f>
        <v>比较价格（元/平方米）</v>
      </c>
      <c r="Q42" s="3465"/>
      <c r="R42" s="3583" t="e">
        <f>IF(F1="售价",ROUND(PRODUCT(R41,AA7:AA40),0),ROUND(PRODUCT(R41,AA7:AA40),1))</f>
        <v>#DIV/0!</v>
      </c>
      <c r="S42" s="3583"/>
      <c r="T42" s="3583" t="e">
        <f>IF(F1="售价",ROUND(PRODUCT(T41,AB7:AB40),0),ROUND(PRODUCT(T41,AB7:AB40),1))</f>
        <v>#DIV/0!</v>
      </c>
      <c r="U42" s="3583"/>
      <c r="V42" s="3583" t="e">
        <f>IF(F1="售价",ROUND(PRODUCT(V41,AC7:AC40),0),ROUND(PRODUCT(V41,AC7:AC40),1))</f>
        <v>#DIV/0!</v>
      </c>
      <c r="W42" s="3583"/>
      <c r="X42" s="1497"/>
      <c r="Y42" s="1497"/>
      <c r="Z42" s="1497"/>
      <c r="AA42" s="1497"/>
      <c r="AB42" s="1497"/>
      <c r="AC42" s="1497"/>
    </row>
    <row r="43" spans="1:29" ht="15.75" thickBot="1">
      <c r="A43" s="613" t="s">
        <v>2903</v>
      </c>
      <c r="B43" s="614"/>
      <c r="C43" s="2479" t="e">
        <f>R43</f>
        <v>#DIV/0!</v>
      </c>
      <c r="D43" s="2479"/>
      <c r="E43" s="2479"/>
      <c r="F43" s="2479"/>
      <c r="G43" s="2479"/>
      <c r="H43" s="2479"/>
      <c r="I43" s="2479"/>
      <c r="J43" s="2479"/>
      <c r="K43" s="1542"/>
      <c r="L43" s="2027"/>
      <c r="M43" s="2028"/>
      <c r="N43" s="2028"/>
      <c r="O43" s="2028"/>
      <c r="P43" s="3462" t="str">
        <f>A43</f>
        <v>估价对象XX用房的比较价格（楼面单价，元/平方米）</v>
      </c>
      <c r="Q43" s="3463"/>
      <c r="R43" s="3582" t="e">
        <f>IF(F1="售价",ROUND(IF(D42="简单平均",AVERAGE(R42:V42),R42*F42+T42*H42+V42*J42),0),ROUND(IF(D42="简单平均",AVERAGE(R42:V42),R42*F42+T42*H42+V42*J42),1))</f>
        <v>#DIV/0!</v>
      </c>
      <c r="S43" s="3582"/>
      <c r="T43" s="3582"/>
      <c r="U43" s="3582"/>
      <c r="V43" s="3582"/>
      <c r="W43" s="3582"/>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2021-6</v>
      </c>
      <c r="D52" s="2522">
        <f>EDATE(C52,-1)</f>
        <v>44317</v>
      </c>
      <c r="E52" s="2522">
        <f t="shared" ref="E52:O52" si="16">EDATE(D52,-1)</f>
        <v>44287</v>
      </c>
      <c r="F52" s="2522">
        <f t="shared" si="16"/>
        <v>44256</v>
      </c>
      <c r="G52" s="2522">
        <f t="shared" si="16"/>
        <v>44228</v>
      </c>
      <c r="H52" s="2522">
        <f t="shared" si="16"/>
        <v>44197</v>
      </c>
      <c r="I52" s="2522">
        <f t="shared" si="16"/>
        <v>44166</v>
      </c>
      <c r="J52" s="2522">
        <f t="shared" si="16"/>
        <v>44136</v>
      </c>
      <c r="K52" s="2522">
        <f t="shared" si="16"/>
        <v>44105</v>
      </c>
      <c r="L52" s="2522">
        <f t="shared" si="16"/>
        <v>44075</v>
      </c>
      <c r="M52" s="2522">
        <f t="shared" si="16"/>
        <v>44044</v>
      </c>
      <c r="N52" s="2522">
        <f t="shared" si="16"/>
        <v>44013</v>
      </c>
      <c r="O52" s="2522">
        <f t="shared" si="16"/>
        <v>43983</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1" t="s">
        <v>792</v>
      </c>
      <c r="D4" s="3472"/>
      <c r="E4" s="3471" t="s">
        <v>793</v>
      </c>
      <c r="F4" s="3472"/>
      <c r="G4" s="3471" t="s">
        <v>794</v>
      </c>
      <c r="H4" s="3472"/>
      <c r="I4" s="3471" t="s">
        <v>795</v>
      </c>
      <c r="J4" s="3472"/>
      <c r="K4" s="508" t="s">
        <v>796</v>
      </c>
      <c r="L4" s="2016"/>
      <c r="M4" s="2017"/>
      <c r="N4" s="2017"/>
      <c r="O4" s="2017"/>
      <c r="P4" s="3473" t="s">
        <v>797</v>
      </c>
      <c r="Q4" s="3474"/>
      <c r="R4" s="3479" t="s">
        <v>793</v>
      </c>
      <c r="S4" s="3480"/>
      <c r="T4" s="3479" t="s">
        <v>794</v>
      </c>
      <c r="U4" s="3480"/>
      <c r="V4" s="3466" t="s">
        <v>795</v>
      </c>
      <c r="W4" s="3466"/>
      <c r="X4" s="1502"/>
      <c r="Y4" s="3479" t="s">
        <v>797</v>
      </c>
      <c r="Z4" s="3480"/>
      <c r="AA4" s="3468" t="s">
        <v>793</v>
      </c>
      <c r="AB4" s="3469" t="s">
        <v>794</v>
      </c>
      <c r="AC4" s="3468" t="s">
        <v>795</v>
      </c>
    </row>
    <row r="5" spans="1:29" ht="15">
      <c r="A5" s="509"/>
      <c r="B5" s="510"/>
      <c r="C5" s="3487" t="s">
        <v>2897</v>
      </c>
      <c r="D5" s="3488"/>
      <c r="E5" s="3487" t="s">
        <v>2898</v>
      </c>
      <c r="F5" s="3488"/>
      <c r="G5" s="3487" t="s">
        <v>2899</v>
      </c>
      <c r="H5" s="3488"/>
      <c r="I5" s="3487" t="s">
        <v>2900</v>
      </c>
      <c r="J5" s="3488"/>
      <c r="K5" s="508"/>
      <c r="L5" s="2016"/>
      <c r="M5" s="2017"/>
      <c r="N5" s="2017"/>
      <c r="O5" s="2017"/>
      <c r="P5" s="3475"/>
      <c r="Q5" s="3476"/>
      <c r="R5" s="3481"/>
      <c r="S5" s="3482"/>
      <c r="T5" s="3481"/>
      <c r="U5" s="3482"/>
      <c r="V5" s="3466"/>
      <c r="W5" s="3466"/>
      <c r="X5" s="1502"/>
      <c r="Y5" s="3481"/>
      <c r="Z5" s="3482"/>
      <c r="AA5" s="3469"/>
      <c r="AB5" s="3469"/>
      <c r="AC5" s="3469"/>
    </row>
    <row r="6" spans="1:29" ht="15.75" thickBot="1">
      <c r="A6" s="511"/>
      <c r="B6" s="512"/>
      <c r="C6" s="3485" t="s">
        <v>2901</v>
      </c>
      <c r="D6" s="3486"/>
      <c r="E6" s="3489" t="s">
        <v>2901</v>
      </c>
      <c r="F6" s="3490"/>
      <c r="G6" s="3485" t="s">
        <v>2901</v>
      </c>
      <c r="H6" s="3486"/>
      <c r="I6" s="3485" t="s">
        <v>2901</v>
      </c>
      <c r="J6" s="3486"/>
      <c r="K6" s="508" t="s">
        <v>522</v>
      </c>
      <c r="L6" s="2016"/>
      <c r="M6" s="2017"/>
      <c r="N6" s="2017"/>
      <c r="O6" s="2017"/>
      <c r="P6" s="3477"/>
      <c r="Q6" s="3478"/>
      <c r="R6" s="3481"/>
      <c r="S6" s="3482"/>
      <c r="T6" s="3483"/>
      <c r="U6" s="3484"/>
      <c r="V6" s="3466"/>
      <c r="W6" s="3466"/>
      <c r="X6" s="1502"/>
      <c r="Y6" s="3483"/>
      <c r="Z6" s="3484"/>
      <c r="AA6" s="3470"/>
      <c r="AB6" s="3470"/>
      <c r="AC6" s="3470"/>
    </row>
    <row r="7" spans="1:29" s="1203" customFormat="1" ht="15.75" thickBot="1">
      <c r="A7" s="2630"/>
      <c r="B7" s="2637" t="s">
        <v>523</v>
      </c>
      <c r="C7" s="513">
        <f>'数据-取费表'!B2</f>
        <v>44369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96" t="s">
        <v>524</v>
      </c>
      <c r="Q7" s="3498"/>
      <c r="R7" s="1503" t="s">
        <v>8</v>
      </c>
      <c r="S7" s="1504">
        <f t="shared" ref="S7:S14" si="0">F7</f>
        <v>0</v>
      </c>
      <c r="T7" s="1503" t="s">
        <v>8</v>
      </c>
      <c r="U7" s="1504">
        <f t="shared" ref="U7:U14" si="1">H7</f>
        <v>0</v>
      </c>
      <c r="V7" s="1503" t="s">
        <v>8</v>
      </c>
      <c r="W7" s="1504">
        <f t="shared" ref="W7:W14"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65" t="s">
        <v>529</v>
      </c>
      <c r="Q9" s="1134" t="str">
        <f t="shared" ref="Q9:Q14" si="6">B9</f>
        <v>用途</v>
      </c>
      <c r="R9" s="1503" t="s">
        <v>8</v>
      </c>
      <c r="S9" s="1504">
        <f t="shared" si="0"/>
        <v>100</v>
      </c>
      <c r="T9" s="1503" t="s">
        <v>8</v>
      </c>
      <c r="U9" s="1504">
        <f t="shared" si="1"/>
        <v>100</v>
      </c>
      <c r="V9" s="1503" t="s">
        <v>8</v>
      </c>
      <c r="W9" s="1504">
        <f t="shared" si="2"/>
        <v>100</v>
      </c>
      <c r="X9" s="1505"/>
      <c r="Y9" s="3411"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65"/>
      <c r="Q11" s="1134">
        <f t="shared" si="6"/>
        <v>111</v>
      </c>
      <c r="R11" s="1503" t="s">
        <v>8</v>
      </c>
      <c r="S11" s="1504">
        <f t="shared" si="0"/>
        <v>100</v>
      </c>
      <c r="T11" s="1503" t="s">
        <v>8</v>
      </c>
      <c r="U11" s="1504">
        <f t="shared" si="1"/>
        <v>100</v>
      </c>
      <c r="V11" s="1503" t="s">
        <v>8</v>
      </c>
      <c r="W11" s="1504">
        <f t="shared" si="2"/>
        <v>100</v>
      </c>
      <c r="X11" s="1505"/>
      <c r="Y11" s="3411"/>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65"/>
      <c r="Q12" s="1134">
        <f t="shared" si="6"/>
        <v>111</v>
      </c>
      <c r="R12" s="1503" t="s">
        <v>8</v>
      </c>
      <c r="S12" s="1504">
        <f t="shared" si="0"/>
        <v>100</v>
      </c>
      <c r="T12" s="1503" t="s">
        <v>8</v>
      </c>
      <c r="U12" s="1504">
        <f t="shared" si="1"/>
        <v>100</v>
      </c>
      <c r="V12" s="1503" t="s">
        <v>8</v>
      </c>
      <c r="W12" s="1504">
        <f t="shared" si="2"/>
        <v>100</v>
      </c>
      <c r="X12" s="1505"/>
      <c r="Y12" s="3411"/>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65"/>
      <c r="Q13" s="1134">
        <f t="shared" si="6"/>
        <v>111</v>
      </c>
      <c r="R13" s="1503" t="s">
        <v>8</v>
      </c>
      <c r="S13" s="1504">
        <f t="shared" si="0"/>
        <v>100</v>
      </c>
      <c r="T13" s="1503" t="s">
        <v>8</v>
      </c>
      <c r="U13" s="1504">
        <f t="shared" si="1"/>
        <v>100</v>
      </c>
      <c r="V13" s="1503" t="s">
        <v>8</v>
      </c>
      <c r="W13" s="1504">
        <f t="shared" si="2"/>
        <v>100</v>
      </c>
      <c r="X13" s="1505"/>
      <c r="Y13" s="3411"/>
      <c r="Z13" s="1133">
        <f t="shared" si="7"/>
        <v>111</v>
      </c>
      <c r="AA13" s="1506">
        <f t="shared" si="3"/>
        <v>1</v>
      </c>
      <c r="AB13" s="1506">
        <f t="shared" si="4"/>
        <v>1</v>
      </c>
      <c r="AC13" s="1506">
        <f t="shared" si="5"/>
        <v>1</v>
      </c>
    </row>
    <row r="14" spans="1:29" ht="85.5">
      <c r="A14" s="2628" t="s">
        <v>2734</v>
      </c>
      <c r="B14" s="541" t="s">
        <v>537</v>
      </c>
      <c r="C14" s="910"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9" t="s">
        <v>534</v>
      </c>
      <c r="Q14" s="1507" t="str">
        <f t="shared" si="6"/>
        <v>交通便捷度</v>
      </c>
      <c r="R14" s="1508" t="s">
        <v>8</v>
      </c>
      <c r="S14" s="1509">
        <f t="shared" si="0"/>
        <v>100</v>
      </c>
      <c r="T14" s="1508" t="s">
        <v>8</v>
      </c>
      <c r="U14" s="1509">
        <f t="shared" si="1"/>
        <v>100</v>
      </c>
      <c r="V14" s="1508" t="s">
        <v>8</v>
      </c>
      <c r="W14" s="1509">
        <f t="shared" si="2"/>
        <v>100</v>
      </c>
      <c r="X14" s="1502"/>
      <c r="Y14" s="3499"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00"/>
      <c r="Q15" s="1507"/>
      <c r="R15" s="1508"/>
      <c r="S15" s="1509"/>
      <c r="T15" s="1508"/>
      <c r="U15" s="1509"/>
      <c r="V15" s="1508"/>
      <c r="W15" s="1509"/>
      <c r="X15" s="1502"/>
      <c r="Y15" s="3500"/>
      <c r="Z15" s="1510"/>
      <c r="AA15" s="1511">
        <v>1</v>
      </c>
      <c r="AB15" s="1511">
        <v>1</v>
      </c>
      <c r="AC15" s="1511">
        <v>1</v>
      </c>
    </row>
    <row r="16" spans="1:29" ht="42.75">
      <c r="A16" s="509"/>
      <c r="B16" s="2448"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00"/>
      <c r="Q16" s="1507" t="str">
        <f>B16</f>
        <v>公共配套设施</v>
      </c>
      <c r="R16" s="1508" t="s">
        <v>8</v>
      </c>
      <c r="S16" s="1509">
        <f>F16</f>
        <v>100</v>
      </c>
      <c r="T16" s="1508" t="s">
        <v>8</v>
      </c>
      <c r="U16" s="1509">
        <f>H16</f>
        <v>100</v>
      </c>
      <c r="V16" s="1508" t="s">
        <v>8</v>
      </c>
      <c r="W16" s="1509">
        <f>J16</f>
        <v>100</v>
      </c>
      <c r="X16" s="1502"/>
      <c r="Y16" s="3500"/>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00"/>
      <c r="Q17" s="1507"/>
      <c r="R17" s="1508"/>
      <c r="S17" s="1509"/>
      <c r="T17" s="1508"/>
      <c r="U17" s="1509"/>
      <c r="V17" s="1508"/>
      <c r="W17" s="1509"/>
      <c r="X17" s="1502"/>
      <c r="Y17" s="3500"/>
      <c r="Z17" s="1510"/>
      <c r="AA17" s="1511">
        <v>1</v>
      </c>
      <c r="AB17" s="1511">
        <v>1</v>
      </c>
      <c r="AC17" s="1511">
        <v>1</v>
      </c>
    </row>
    <row r="18" spans="1:29" ht="28.5">
      <c r="A18" s="509"/>
      <c r="B18" s="2436"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00"/>
      <c r="Q18" s="2430" t="str">
        <f>B18</f>
        <v>基础设施水平</v>
      </c>
      <c r="R18" s="1508" t="s">
        <v>8</v>
      </c>
      <c r="S18" s="1509">
        <f>F18</f>
        <v>100</v>
      </c>
      <c r="T18" s="1508" t="s">
        <v>8</v>
      </c>
      <c r="U18" s="1509">
        <f>H18</f>
        <v>100</v>
      </c>
      <c r="V18" s="1508" t="s">
        <v>8</v>
      </c>
      <c r="W18" s="1509">
        <f>J18</f>
        <v>100</v>
      </c>
      <c r="X18" s="2432"/>
      <c r="Y18" s="3500"/>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00"/>
      <c r="Q19" s="2430"/>
      <c r="R19" s="1508"/>
      <c r="S19" s="1509"/>
      <c r="T19" s="1508"/>
      <c r="U19" s="1509"/>
      <c r="V19" s="1508"/>
      <c r="W19" s="1509"/>
      <c r="X19" s="2432"/>
      <c r="Y19" s="3500"/>
      <c r="Z19" s="2431"/>
      <c r="AA19" s="1511">
        <v>1</v>
      </c>
      <c r="AB19" s="1511">
        <v>1</v>
      </c>
      <c r="AC19" s="1511">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00"/>
      <c r="Q20" s="1507" t="str">
        <f>B20</f>
        <v>自然及人文环境</v>
      </c>
      <c r="R20" s="1508" t="s">
        <v>8</v>
      </c>
      <c r="S20" s="1509">
        <f>F20</f>
        <v>100</v>
      </c>
      <c r="T20" s="1508" t="s">
        <v>8</v>
      </c>
      <c r="U20" s="1509">
        <f>H20</f>
        <v>100</v>
      </c>
      <c r="V20" s="1508" t="s">
        <v>8</v>
      </c>
      <c r="W20" s="1509">
        <f>J20</f>
        <v>100</v>
      </c>
      <c r="X20" s="1502"/>
      <c r="Y20" s="3500"/>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00"/>
      <c r="Q21" s="1507"/>
      <c r="R21" s="1508"/>
      <c r="S21" s="1509"/>
      <c r="T21" s="1508"/>
      <c r="U21" s="1509"/>
      <c r="V21" s="1508"/>
      <c r="W21" s="1509"/>
      <c r="X21" s="1502"/>
      <c r="Y21" s="3500"/>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00"/>
      <c r="Q22" s="1507" t="str">
        <f>B22</f>
        <v>楼层</v>
      </c>
      <c r="R22" s="1508" t="s">
        <v>8</v>
      </c>
      <c r="S22" s="1509">
        <f>F22</f>
        <v>100</v>
      </c>
      <c r="T22" s="1508" t="s">
        <v>8</v>
      </c>
      <c r="U22" s="1509">
        <f>H22</f>
        <v>100</v>
      </c>
      <c r="V22" s="1508" t="s">
        <v>8</v>
      </c>
      <c r="W22" s="1509">
        <f>J22</f>
        <v>100</v>
      </c>
      <c r="X22" s="1502"/>
      <c r="Y22" s="3500"/>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00"/>
      <c r="Q23" s="1507">
        <f>B23</f>
        <v>111</v>
      </c>
      <c r="R23" s="1508" t="s">
        <v>8</v>
      </c>
      <c r="S23" s="1509">
        <f>F23</f>
        <v>100</v>
      </c>
      <c r="T23" s="1508" t="s">
        <v>8</v>
      </c>
      <c r="U23" s="1509">
        <f>H23</f>
        <v>100</v>
      </c>
      <c r="V23" s="1508" t="s">
        <v>8</v>
      </c>
      <c r="W23" s="1509">
        <f>J23</f>
        <v>100</v>
      </c>
      <c r="X23" s="1502"/>
      <c r="Y23" s="3500"/>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00"/>
      <c r="Q24" s="1507">
        <f t="shared" ref="Q24:Q36" si="11">B24</f>
        <v>111</v>
      </c>
      <c r="R24" s="1508" t="s">
        <v>8</v>
      </c>
      <c r="S24" s="1509">
        <f>F24</f>
        <v>100</v>
      </c>
      <c r="T24" s="1508" t="s">
        <v>8</v>
      </c>
      <c r="U24" s="1509">
        <f>H24</f>
        <v>100</v>
      </c>
      <c r="V24" s="1508" t="s">
        <v>8</v>
      </c>
      <c r="W24" s="1509">
        <f>J24</f>
        <v>100</v>
      </c>
      <c r="X24" s="1502"/>
      <c r="Y24" s="3500"/>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00"/>
      <c r="Q25" s="1134">
        <f t="shared" si="11"/>
        <v>111</v>
      </c>
      <c r="R25" s="1503" t="s">
        <v>8</v>
      </c>
      <c r="S25" s="1504">
        <f>F25</f>
        <v>100</v>
      </c>
      <c r="T25" s="1503" t="s">
        <v>8</v>
      </c>
      <c r="U25" s="1504">
        <f>H25</f>
        <v>100</v>
      </c>
      <c r="V25" s="1503" t="s">
        <v>8</v>
      </c>
      <c r="W25" s="1504">
        <f>J25</f>
        <v>100</v>
      </c>
      <c r="X25" s="1505"/>
      <c r="Y25" s="3500"/>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01"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02"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02"/>
      <c r="Q27" s="1536" t="str">
        <f t="shared" si="11"/>
        <v>项目停车位配比</v>
      </c>
      <c r="R27" s="1512" t="s">
        <v>8</v>
      </c>
      <c r="S27" s="1513">
        <f t="shared" si="12"/>
        <v>100</v>
      </c>
      <c r="T27" s="1512" t="s">
        <v>8</v>
      </c>
      <c r="U27" s="1513">
        <f t="shared" si="13"/>
        <v>100</v>
      </c>
      <c r="V27" s="1512" t="s">
        <v>8</v>
      </c>
      <c r="W27" s="1513">
        <f t="shared" si="14"/>
        <v>100</v>
      </c>
      <c r="X27" s="1514"/>
      <c r="Y27" s="3502"/>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02"/>
      <c r="Q28" s="1507" t="str">
        <f t="shared" si="11"/>
        <v>公共部分装修</v>
      </c>
      <c r="R28" s="1508" t="s">
        <v>8</v>
      </c>
      <c r="S28" s="1509">
        <f t="shared" si="12"/>
        <v>100</v>
      </c>
      <c r="T28" s="1508" t="s">
        <v>8</v>
      </c>
      <c r="U28" s="1509">
        <f t="shared" si="13"/>
        <v>100</v>
      </c>
      <c r="V28" s="1508" t="s">
        <v>8</v>
      </c>
      <c r="W28" s="1509">
        <f t="shared" si="14"/>
        <v>100</v>
      </c>
      <c r="X28" s="1502"/>
      <c r="Y28" s="3502"/>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02"/>
      <c r="Q29" s="1507" t="str">
        <f t="shared" si="11"/>
        <v>成新率</v>
      </c>
      <c r="R29" s="1508" t="s">
        <v>8</v>
      </c>
      <c r="S29" s="1509" t="e">
        <f t="shared" si="12"/>
        <v>#N/A</v>
      </c>
      <c r="T29" s="1508" t="s">
        <v>8</v>
      </c>
      <c r="U29" s="1509" t="e">
        <f t="shared" si="13"/>
        <v>#N/A</v>
      </c>
      <c r="V29" s="1508" t="s">
        <v>8</v>
      </c>
      <c r="W29" s="1509" t="e">
        <f t="shared" si="14"/>
        <v>#N/A</v>
      </c>
      <c r="X29" s="1502"/>
      <c r="Y29" s="3502"/>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02"/>
      <c r="Q30" s="1507" t="str">
        <f t="shared" si="11"/>
        <v>物业等级</v>
      </c>
      <c r="R30" s="1508" t="s">
        <v>8</v>
      </c>
      <c r="S30" s="1509">
        <f t="shared" si="12"/>
        <v>100</v>
      </c>
      <c r="T30" s="1508" t="s">
        <v>8</v>
      </c>
      <c r="U30" s="1509">
        <f t="shared" si="13"/>
        <v>100</v>
      </c>
      <c r="V30" s="1508" t="s">
        <v>8</v>
      </c>
      <c r="W30" s="1509">
        <f t="shared" si="14"/>
        <v>100</v>
      </c>
      <c r="X30" s="1502"/>
      <c r="Y30" s="3502"/>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02"/>
      <c r="Q31" s="1134" t="str">
        <f t="shared" si="11"/>
        <v>停车位面积</v>
      </c>
      <c r="R31" s="1503" t="s">
        <v>8</v>
      </c>
      <c r="S31" s="1504" t="e">
        <f t="shared" si="12"/>
        <v>#N/A</v>
      </c>
      <c r="T31" s="1503" t="s">
        <v>8</v>
      </c>
      <c r="U31" s="1504" t="e">
        <f t="shared" si="13"/>
        <v>#N/A</v>
      </c>
      <c r="V31" s="1503" t="s">
        <v>8</v>
      </c>
      <c r="W31" s="1504" t="e">
        <f t="shared" si="14"/>
        <v>#N/A</v>
      </c>
      <c r="X31" s="1505"/>
      <c r="Y31" s="3502"/>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02" t="s">
        <v>544</v>
      </c>
      <c r="Q32" s="1507" t="str">
        <f t="shared" si="11"/>
        <v>车位类型</v>
      </c>
      <c r="R32" s="1508" t="s">
        <v>8</v>
      </c>
      <c r="S32" s="1509">
        <f t="shared" si="12"/>
        <v>100</v>
      </c>
      <c r="T32" s="1508" t="s">
        <v>8</v>
      </c>
      <c r="U32" s="1509">
        <f t="shared" si="13"/>
        <v>100</v>
      </c>
      <c r="V32" s="1508" t="s">
        <v>8</v>
      </c>
      <c r="W32" s="1509">
        <f t="shared" si="14"/>
        <v>100</v>
      </c>
      <c r="X32" s="1502"/>
      <c r="Y32" s="3502"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02"/>
      <c r="Q33" s="1507" t="str">
        <f t="shared" si="11"/>
        <v>是否直接入户</v>
      </c>
      <c r="R33" s="1508" t="s">
        <v>8</v>
      </c>
      <c r="S33" s="1509">
        <f t="shared" si="12"/>
        <v>100</v>
      </c>
      <c r="T33" s="1508" t="s">
        <v>8</v>
      </c>
      <c r="U33" s="1509">
        <f t="shared" si="13"/>
        <v>100</v>
      </c>
      <c r="V33" s="1508" t="s">
        <v>8</v>
      </c>
      <c r="W33" s="1509">
        <f t="shared" si="14"/>
        <v>100</v>
      </c>
      <c r="X33" s="1502"/>
      <c r="Y33" s="3502"/>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02"/>
      <c r="Q34" s="1507">
        <f t="shared" si="11"/>
        <v>111</v>
      </c>
      <c r="R34" s="1508" t="s">
        <v>8</v>
      </c>
      <c r="S34" s="1509">
        <f t="shared" si="12"/>
        <v>100</v>
      </c>
      <c r="T34" s="1508" t="s">
        <v>8</v>
      </c>
      <c r="U34" s="1509">
        <f t="shared" si="13"/>
        <v>100</v>
      </c>
      <c r="V34" s="1508" t="s">
        <v>8</v>
      </c>
      <c r="W34" s="1509">
        <f t="shared" si="14"/>
        <v>100</v>
      </c>
      <c r="X34" s="1502"/>
      <c r="Y34" s="3502"/>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02"/>
      <c r="Q35" s="1536">
        <f t="shared" si="11"/>
        <v>111</v>
      </c>
      <c r="R35" s="1512" t="s">
        <v>8</v>
      </c>
      <c r="S35" s="1513">
        <f t="shared" si="12"/>
        <v>100</v>
      </c>
      <c r="T35" s="1512" t="s">
        <v>8</v>
      </c>
      <c r="U35" s="1513">
        <f t="shared" si="13"/>
        <v>100</v>
      </c>
      <c r="V35" s="1512" t="s">
        <v>8</v>
      </c>
      <c r="W35" s="1513">
        <f t="shared" si="14"/>
        <v>100</v>
      </c>
      <c r="X35" s="1514"/>
      <c r="Y35" s="3502"/>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02"/>
      <c r="Q36" s="1507">
        <f t="shared" si="11"/>
        <v>111</v>
      </c>
      <c r="R36" s="1508" t="s">
        <v>8</v>
      </c>
      <c r="S36" s="1509">
        <f t="shared" si="12"/>
        <v>100</v>
      </c>
      <c r="T36" s="1508" t="s">
        <v>8</v>
      </c>
      <c r="U36" s="1509">
        <f t="shared" si="13"/>
        <v>100</v>
      </c>
      <c r="V36" s="1508" t="s">
        <v>8</v>
      </c>
      <c r="W36" s="1509">
        <f t="shared" si="14"/>
        <v>100</v>
      </c>
      <c r="X36" s="1502"/>
      <c r="Y36" s="3502"/>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465" t="str">
        <f>A37</f>
        <v>成交单价</v>
      </c>
      <c r="Q37" s="3465"/>
      <c r="R37" s="3583">
        <f>E37</f>
        <v>0</v>
      </c>
      <c r="S37" s="3583"/>
      <c r="T37" s="3583">
        <f>G37</f>
        <v>0</v>
      </c>
      <c r="U37" s="3583"/>
      <c r="V37" s="3583">
        <f>I37</f>
        <v>0</v>
      </c>
      <c r="W37" s="3583"/>
      <c r="X37" s="1497"/>
      <c r="Y37" s="1516"/>
      <c r="Z37" s="1497"/>
      <c r="AA37" s="1497"/>
      <c r="AB37" s="1497"/>
      <c r="AC37" s="1497"/>
    </row>
    <row r="38" spans="1:29" ht="15.75" thickBot="1">
      <c r="A38" s="609" t="s">
        <v>2740</v>
      </c>
      <c r="B38" s="877"/>
      <c r="C38" s="2477" t="e">
        <f>R39</f>
        <v>#DIV/0!</v>
      </c>
      <c r="D38" s="3014" t="s">
        <v>2971</v>
      </c>
      <c r="E38" s="2478" t="e">
        <f>R38</f>
        <v>#DIV/0!</v>
      </c>
      <c r="F38" s="3015"/>
      <c r="G38" s="2477" t="e">
        <f>T38</f>
        <v>#DIV/0!</v>
      </c>
      <c r="H38" s="3015"/>
      <c r="I38" s="2478" t="e">
        <f>V38</f>
        <v>#DIV/0!</v>
      </c>
      <c r="J38" s="3015"/>
      <c r="K38" s="3023">
        <f>F38+H38+J38</f>
        <v>0</v>
      </c>
      <c r="L38" s="2027"/>
      <c r="M38" s="2028"/>
      <c r="N38" s="2028"/>
      <c r="O38" s="2028"/>
      <c r="P38" s="3465" t="str">
        <f>A38</f>
        <v>比较价格（元/平方米）</v>
      </c>
      <c r="Q38" s="3465"/>
      <c r="R38" s="3583" t="e">
        <f>IF(F1="售价",ROUND(PRODUCT(R37,AA7:AA36),0),ROUND(PRODUCT(R37,AA7:AA36),1))</f>
        <v>#DIV/0!</v>
      </c>
      <c r="S38" s="3583"/>
      <c r="T38" s="3583" t="e">
        <f>IF(F1="售价",ROUND(PRODUCT(T37,AB7:AB36),0),ROUND(PRODUCT(T37,AB7:AB36),1))</f>
        <v>#DIV/0!</v>
      </c>
      <c r="U38" s="3583"/>
      <c r="V38" s="3583" t="e">
        <f>IF(F1="售价",ROUND(PRODUCT(V37,AC7:AC36),0),ROUND(PRODUCT(V37,AC7:AC36),1))</f>
        <v>#DIV/0!</v>
      </c>
      <c r="W38" s="3583"/>
      <c r="X38" s="1497"/>
      <c r="Y38" s="1497"/>
      <c r="Z38" s="1497"/>
      <c r="AA38" s="1497"/>
      <c r="AB38" s="1497"/>
      <c r="AC38" s="1497"/>
    </row>
    <row r="39" spans="1:29" ht="15.75" thickBot="1">
      <c r="A39" s="613" t="s">
        <v>2903</v>
      </c>
      <c r="B39" s="614"/>
      <c r="C39" s="2479" t="e">
        <f>R39</f>
        <v>#DIV/0!</v>
      </c>
      <c r="D39" s="2479"/>
      <c r="E39" s="2479"/>
      <c r="F39" s="2479"/>
      <c r="G39" s="2479"/>
      <c r="H39" s="2479"/>
      <c r="I39" s="2479"/>
      <c r="J39" s="2479"/>
      <c r="K39" s="1542"/>
      <c r="L39" s="2027"/>
      <c r="M39" s="2028"/>
      <c r="N39" s="2028"/>
      <c r="O39" s="2028"/>
      <c r="P39" s="3462" t="str">
        <f>A39</f>
        <v>估价对象XX用房的比较价格（楼面单价，元/平方米）</v>
      </c>
      <c r="Q39" s="3463"/>
      <c r="R39" s="3582" t="e">
        <f>IF(F1="售价",ROUND(IF(D38="简单平均",AVERAGE(R38:W38),R38*F38+T38*H38+V38*J38),0),ROUND(IF(D38="简单平均",AVERAGE(R38:V38),R38*F38+T38*H38+V38*J38),1))</f>
        <v>#DIV/0!</v>
      </c>
      <c r="S39" s="3582"/>
      <c r="T39" s="3582"/>
      <c r="U39" s="3582"/>
      <c r="V39" s="3582"/>
      <c r="W39" s="3582"/>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2021-6</v>
      </c>
      <c r="D48" s="2522">
        <f>EDATE(C48,-1)</f>
        <v>44317</v>
      </c>
      <c r="E48" s="2522">
        <f t="shared" ref="E48:O48" si="16">EDATE(D48,-1)</f>
        <v>44287</v>
      </c>
      <c r="F48" s="2522">
        <f t="shared" si="16"/>
        <v>44256</v>
      </c>
      <c r="G48" s="2522">
        <f t="shared" si="16"/>
        <v>44228</v>
      </c>
      <c r="H48" s="2522">
        <f t="shared" si="16"/>
        <v>44197</v>
      </c>
      <c r="I48" s="2522">
        <f t="shared" si="16"/>
        <v>44166</v>
      </c>
      <c r="J48" s="2522">
        <f t="shared" si="16"/>
        <v>44136</v>
      </c>
      <c r="K48" s="2522">
        <f t="shared" si="16"/>
        <v>44105</v>
      </c>
      <c r="L48" s="2522">
        <f t="shared" si="16"/>
        <v>44075</v>
      </c>
      <c r="M48" s="2522">
        <f t="shared" si="16"/>
        <v>44044</v>
      </c>
      <c r="N48" s="2522">
        <f t="shared" si="16"/>
        <v>44013</v>
      </c>
      <c r="O48" s="2522">
        <f t="shared" si="16"/>
        <v>43983</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134204平方米。根据《建设工程规划许可证》[]、《出让合同》[]，估价对象规划建筑面积为335510平方米。</v>
      </c>
    </row>
    <row r="7" spans="1:4" ht="93.75">
      <c r="A7" s="259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2021年6月22日（评估专业人员勘察现场之日）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根据《国有土地使用证》[]，估价对象（分摊）出让国有建设用地使用权面积为134204平方米。根据《建设工程规划许可证》[]、《出让合同》[]，估价对象规划建筑面积为335510平方米。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6月22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471" t="s">
        <v>792</v>
      </c>
      <c r="D4" s="3472"/>
      <c r="E4" s="3511" t="s">
        <v>793</v>
      </c>
      <c r="F4" s="3512"/>
      <c r="G4" s="3471" t="s">
        <v>794</v>
      </c>
      <c r="H4" s="3472"/>
      <c r="I4" s="3471" t="s">
        <v>795</v>
      </c>
      <c r="J4" s="3472"/>
      <c r="K4" s="508" t="s">
        <v>796</v>
      </c>
      <c r="L4" s="2016"/>
      <c r="M4" s="2017"/>
      <c r="N4" s="2017"/>
      <c r="O4" s="2017"/>
      <c r="P4" s="3473" t="s">
        <v>797</v>
      </c>
      <c r="Q4" s="3474"/>
      <c r="R4" s="3479" t="s">
        <v>793</v>
      </c>
      <c r="S4" s="3480"/>
      <c r="T4" s="3479" t="s">
        <v>794</v>
      </c>
      <c r="U4" s="3480"/>
      <c r="V4" s="3466" t="s">
        <v>795</v>
      </c>
      <c r="W4" s="3466"/>
      <c r="X4" s="1502"/>
      <c r="Y4" s="3479" t="s">
        <v>797</v>
      </c>
      <c r="Z4" s="3480"/>
      <c r="AA4" s="3468" t="s">
        <v>793</v>
      </c>
      <c r="AB4" s="3469" t="s">
        <v>794</v>
      </c>
      <c r="AC4" s="3468" t="s">
        <v>795</v>
      </c>
    </row>
    <row r="5" spans="1:29" ht="15">
      <c r="A5" s="509"/>
      <c r="B5" s="510"/>
      <c r="C5" s="3487" t="s">
        <v>2897</v>
      </c>
      <c r="D5" s="3488"/>
      <c r="E5" s="3513" t="s">
        <v>2898</v>
      </c>
      <c r="F5" s="3514"/>
      <c r="G5" s="3487" t="s">
        <v>2899</v>
      </c>
      <c r="H5" s="3488"/>
      <c r="I5" s="3487" t="s">
        <v>2900</v>
      </c>
      <c r="J5" s="3488"/>
      <c r="K5" s="508"/>
      <c r="L5" s="2016"/>
      <c r="M5" s="2017"/>
      <c r="N5" s="2017"/>
      <c r="O5" s="2017"/>
      <c r="P5" s="3475"/>
      <c r="Q5" s="3476"/>
      <c r="R5" s="3481"/>
      <c r="S5" s="3482"/>
      <c r="T5" s="3481"/>
      <c r="U5" s="3482"/>
      <c r="V5" s="3466"/>
      <c r="W5" s="3466"/>
      <c r="X5" s="1502"/>
      <c r="Y5" s="3481"/>
      <c r="Z5" s="3482"/>
      <c r="AA5" s="3469"/>
      <c r="AB5" s="3469"/>
      <c r="AC5" s="3469"/>
    </row>
    <row r="6" spans="1:29" ht="15.75" thickBot="1">
      <c r="A6" s="511"/>
      <c r="B6" s="512"/>
      <c r="C6" s="3485" t="s">
        <v>2901</v>
      </c>
      <c r="D6" s="3486"/>
      <c r="E6" s="3509" t="s">
        <v>2901</v>
      </c>
      <c r="F6" s="3510"/>
      <c r="G6" s="3485" t="s">
        <v>2901</v>
      </c>
      <c r="H6" s="3486"/>
      <c r="I6" s="3485" t="s">
        <v>2901</v>
      </c>
      <c r="J6" s="3486"/>
      <c r="K6" s="508" t="s">
        <v>522</v>
      </c>
      <c r="L6" s="2016"/>
      <c r="M6" s="2017"/>
      <c r="N6" s="2017"/>
      <c r="O6" s="2017"/>
      <c r="P6" s="3477"/>
      <c r="Q6" s="3478"/>
      <c r="R6" s="3481"/>
      <c r="S6" s="3482"/>
      <c r="T6" s="3483"/>
      <c r="U6" s="3484"/>
      <c r="V6" s="3466"/>
      <c r="W6" s="3466"/>
      <c r="X6" s="1502"/>
      <c r="Y6" s="3483"/>
      <c r="Z6" s="3484"/>
      <c r="AA6" s="3470"/>
      <c r="AB6" s="3470"/>
      <c r="AC6" s="3470"/>
    </row>
    <row r="7" spans="1:29" s="1203" customFormat="1" ht="15.75" thickBot="1">
      <c r="A7" s="2630"/>
      <c r="B7" s="2637" t="s">
        <v>523</v>
      </c>
      <c r="C7" s="513">
        <f>'数据-取费表'!B2</f>
        <v>44369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96" t="s">
        <v>524</v>
      </c>
      <c r="Q7" s="3498"/>
      <c r="R7" s="1503" t="s">
        <v>8</v>
      </c>
      <c r="S7" s="1504">
        <f t="shared" ref="S7:S14" si="0">F7</f>
        <v>0</v>
      </c>
      <c r="T7" s="1503" t="s">
        <v>8</v>
      </c>
      <c r="U7" s="1504">
        <f t="shared" ref="U7:U14" si="1">H7</f>
        <v>0</v>
      </c>
      <c r="V7" s="1503" t="s">
        <v>8</v>
      </c>
      <c r="W7" s="1504">
        <f t="shared" ref="W7:W14" si="2">J7</f>
        <v>0</v>
      </c>
      <c r="X7" s="1505"/>
      <c r="Y7" s="3496" t="s">
        <v>524</v>
      </c>
      <c r="Z7" s="3497"/>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96" t="s">
        <v>527</v>
      </c>
      <c r="Q8" s="3497"/>
      <c r="R8" s="1503" t="s">
        <v>8</v>
      </c>
      <c r="S8" s="1504">
        <f t="shared" si="0"/>
        <v>0</v>
      </c>
      <c r="T8" s="1503" t="s">
        <v>8</v>
      </c>
      <c r="U8" s="1504">
        <f t="shared" si="1"/>
        <v>0</v>
      </c>
      <c r="V8" s="1503" t="s">
        <v>8</v>
      </c>
      <c r="W8" s="1504">
        <f t="shared" si="2"/>
        <v>0</v>
      </c>
      <c r="X8" s="1505"/>
      <c r="Y8" s="3496" t="s">
        <v>527</v>
      </c>
      <c r="Z8" s="3497"/>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65" t="s">
        <v>529</v>
      </c>
      <c r="Q9" s="1134" t="str">
        <f t="shared" ref="Q9:Q14" si="6">B9</f>
        <v>用途</v>
      </c>
      <c r="R9" s="1503" t="s">
        <v>8</v>
      </c>
      <c r="S9" s="1504">
        <f t="shared" si="0"/>
        <v>100</v>
      </c>
      <c r="T9" s="1503" t="s">
        <v>8</v>
      </c>
      <c r="U9" s="1504">
        <f t="shared" si="1"/>
        <v>100</v>
      </c>
      <c r="V9" s="1503" t="s">
        <v>8</v>
      </c>
      <c r="W9" s="1504">
        <f t="shared" si="2"/>
        <v>100</v>
      </c>
      <c r="X9" s="1505"/>
      <c r="Y9" s="3411"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65"/>
      <c r="Q10" s="1134" t="str">
        <f t="shared" si="6"/>
        <v>土地使用年限（年）</v>
      </c>
      <c r="R10" s="1503" t="s">
        <v>8</v>
      </c>
      <c r="S10" s="1504">
        <f t="shared" si="0"/>
        <v>100</v>
      </c>
      <c r="T10" s="1503" t="s">
        <v>8</v>
      </c>
      <c r="U10" s="1504">
        <f t="shared" si="1"/>
        <v>100</v>
      </c>
      <c r="V10" s="1503" t="s">
        <v>8</v>
      </c>
      <c r="W10" s="1504">
        <f t="shared" si="2"/>
        <v>100</v>
      </c>
      <c r="X10" s="1505"/>
      <c r="Y10" s="3411"/>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65"/>
      <c r="Q11" s="1134">
        <f t="shared" si="6"/>
        <v>111</v>
      </c>
      <c r="R11" s="1503" t="s">
        <v>8</v>
      </c>
      <c r="S11" s="1504">
        <f t="shared" si="0"/>
        <v>100</v>
      </c>
      <c r="T11" s="1503" t="s">
        <v>8</v>
      </c>
      <c r="U11" s="1504">
        <f t="shared" si="1"/>
        <v>100</v>
      </c>
      <c r="V11" s="1503" t="s">
        <v>8</v>
      </c>
      <c r="W11" s="1504">
        <f t="shared" si="2"/>
        <v>100</v>
      </c>
      <c r="X11" s="1505"/>
      <c r="Y11" s="3411"/>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65"/>
      <c r="Q12" s="1134">
        <f t="shared" si="6"/>
        <v>111</v>
      </c>
      <c r="R12" s="1503" t="s">
        <v>8</v>
      </c>
      <c r="S12" s="1504">
        <f t="shared" si="0"/>
        <v>100</v>
      </c>
      <c r="T12" s="1503" t="s">
        <v>8</v>
      </c>
      <c r="U12" s="1504">
        <f t="shared" si="1"/>
        <v>100</v>
      </c>
      <c r="V12" s="1503" t="s">
        <v>8</v>
      </c>
      <c r="W12" s="1504">
        <f t="shared" si="2"/>
        <v>100</v>
      </c>
      <c r="X12" s="1505"/>
      <c r="Y12" s="3411"/>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65"/>
      <c r="Q13" s="1134">
        <f t="shared" si="6"/>
        <v>111</v>
      </c>
      <c r="R13" s="1503" t="s">
        <v>8</v>
      </c>
      <c r="S13" s="1504">
        <f t="shared" si="0"/>
        <v>100</v>
      </c>
      <c r="T13" s="1503" t="s">
        <v>8</v>
      </c>
      <c r="U13" s="1504">
        <f t="shared" si="1"/>
        <v>100</v>
      </c>
      <c r="V13" s="1503" t="s">
        <v>8</v>
      </c>
      <c r="W13" s="1504">
        <f t="shared" si="2"/>
        <v>100</v>
      </c>
      <c r="X13" s="1505"/>
      <c r="Y13" s="3411"/>
      <c r="Z13" s="1133">
        <f t="shared" si="7"/>
        <v>111</v>
      </c>
      <c r="AA13" s="1506">
        <f t="shared" si="3"/>
        <v>1</v>
      </c>
      <c r="AB13" s="1506">
        <f t="shared" si="4"/>
        <v>1</v>
      </c>
      <c r="AC13" s="1506">
        <f t="shared" si="5"/>
        <v>1</v>
      </c>
    </row>
    <row r="14" spans="1:29" ht="85.5">
      <c r="A14" s="2628" t="s">
        <v>2734</v>
      </c>
      <c r="B14" s="164" t="s">
        <v>537</v>
      </c>
      <c r="C14" s="910"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9" t="s">
        <v>534</v>
      </c>
      <c r="Q14" s="1507" t="str">
        <f t="shared" si="6"/>
        <v>交通便捷度</v>
      </c>
      <c r="R14" s="1508" t="s">
        <v>8</v>
      </c>
      <c r="S14" s="1509">
        <f t="shared" si="0"/>
        <v>100</v>
      </c>
      <c r="T14" s="1508" t="s">
        <v>8</v>
      </c>
      <c r="U14" s="1509">
        <f t="shared" si="1"/>
        <v>100</v>
      </c>
      <c r="V14" s="1508" t="s">
        <v>8</v>
      </c>
      <c r="W14" s="1509">
        <f t="shared" si="2"/>
        <v>100</v>
      </c>
      <c r="X14" s="1502"/>
      <c r="Y14" s="3499"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00"/>
      <c r="Q15" s="1507"/>
      <c r="R15" s="1508"/>
      <c r="S15" s="1509"/>
      <c r="T15" s="1508"/>
      <c r="U15" s="1509"/>
      <c r="V15" s="1508"/>
      <c r="W15" s="1509"/>
      <c r="X15" s="1502"/>
      <c r="Y15" s="3500"/>
      <c r="Z15" s="1510"/>
      <c r="AA15" s="1511">
        <v>1</v>
      </c>
      <c r="AB15" s="1511">
        <v>1</v>
      </c>
      <c r="AC15" s="1511">
        <v>1</v>
      </c>
    </row>
    <row r="16" spans="1:29" ht="42.75">
      <c r="A16" s="526"/>
      <c r="B16" s="2448"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00"/>
      <c r="Q16" s="1507" t="str">
        <f>B16</f>
        <v>公共配套设施</v>
      </c>
      <c r="R16" s="1508" t="s">
        <v>8</v>
      </c>
      <c r="S16" s="1509">
        <f>F16</f>
        <v>100</v>
      </c>
      <c r="T16" s="1508" t="s">
        <v>8</v>
      </c>
      <c r="U16" s="1509">
        <f>H16</f>
        <v>100</v>
      </c>
      <c r="V16" s="1508" t="s">
        <v>8</v>
      </c>
      <c r="W16" s="1509">
        <f>J16</f>
        <v>100</v>
      </c>
      <c r="X16" s="1502"/>
      <c r="Y16" s="3500"/>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00"/>
      <c r="Q17" s="1507"/>
      <c r="R17" s="1508"/>
      <c r="S17" s="1509"/>
      <c r="T17" s="1508"/>
      <c r="U17" s="1509"/>
      <c r="V17" s="1508"/>
      <c r="W17" s="1509"/>
      <c r="X17" s="1502"/>
      <c r="Y17" s="3500"/>
      <c r="Z17" s="1510"/>
      <c r="AA17" s="1511">
        <v>1</v>
      </c>
      <c r="AB17" s="1511">
        <v>1</v>
      </c>
      <c r="AC17" s="1511">
        <v>1</v>
      </c>
    </row>
    <row r="18" spans="1:29" ht="28.5">
      <c r="A18" s="526"/>
      <c r="B18" s="2436"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00"/>
      <c r="Q18" s="2430" t="str">
        <f>B18</f>
        <v>基础设施水平</v>
      </c>
      <c r="R18" s="1508" t="s">
        <v>8</v>
      </c>
      <c r="S18" s="1509">
        <f>F18</f>
        <v>100</v>
      </c>
      <c r="T18" s="1508" t="s">
        <v>8</v>
      </c>
      <c r="U18" s="1509">
        <f>H18</f>
        <v>100</v>
      </c>
      <c r="V18" s="1508" t="s">
        <v>8</v>
      </c>
      <c r="W18" s="1509">
        <f>J18</f>
        <v>100</v>
      </c>
      <c r="X18" s="2432"/>
      <c r="Y18" s="3500"/>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00"/>
      <c r="Q19" s="2430"/>
      <c r="R19" s="1508"/>
      <c r="S19" s="1509"/>
      <c r="T19" s="1508"/>
      <c r="U19" s="1509"/>
      <c r="V19" s="1508"/>
      <c r="W19" s="1509"/>
      <c r="X19" s="2432"/>
      <c r="Y19" s="3500"/>
      <c r="Z19" s="2431"/>
      <c r="AA19" s="1511">
        <v>1</v>
      </c>
      <c r="AB19" s="1511">
        <v>1</v>
      </c>
      <c r="AC19" s="1511">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00"/>
      <c r="Q20" s="1507" t="str">
        <f>B20</f>
        <v>自然及人文环境</v>
      </c>
      <c r="R20" s="1508" t="s">
        <v>8</v>
      </c>
      <c r="S20" s="1509">
        <f>F20</f>
        <v>100</v>
      </c>
      <c r="T20" s="1508" t="s">
        <v>8</v>
      </c>
      <c r="U20" s="1509">
        <f>H20</f>
        <v>100</v>
      </c>
      <c r="V20" s="1508" t="s">
        <v>8</v>
      </c>
      <c r="W20" s="1509">
        <f>J20</f>
        <v>100</v>
      </c>
      <c r="X20" s="1502"/>
      <c r="Y20" s="3500"/>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00"/>
      <c r="Q21" s="1507"/>
      <c r="R21" s="1508"/>
      <c r="S21" s="1509"/>
      <c r="T21" s="1508"/>
      <c r="U21" s="1509"/>
      <c r="V21" s="1508"/>
      <c r="W21" s="1509"/>
      <c r="X21" s="1502"/>
      <c r="Y21" s="3500"/>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00"/>
      <c r="Q22" s="1507" t="str">
        <f>B22</f>
        <v>楼层</v>
      </c>
      <c r="R22" s="1508" t="s">
        <v>8</v>
      </c>
      <c r="S22" s="1509">
        <f>F22</f>
        <v>100</v>
      </c>
      <c r="T22" s="1508" t="s">
        <v>8</v>
      </c>
      <c r="U22" s="1509">
        <f>H22</f>
        <v>100</v>
      </c>
      <c r="V22" s="1508" t="s">
        <v>8</v>
      </c>
      <c r="W22" s="1509">
        <f>J22</f>
        <v>100</v>
      </c>
      <c r="X22" s="1502"/>
      <c r="Y22" s="3500"/>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00"/>
      <c r="Q23" s="1507">
        <f>B23</f>
        <v>111</v>
      </c>
      <c r="R23" s="1508" t="s">
        <v>8</v>
      </c>
      <c r="S23" s="1509">
        <f>F23</f>
        <v>100</v>
      </c>
      <c r="T23" s="1508" t="s">
        <v>8</v>
      </c>
      <c r="U23" s="1509">
        <f>H23</f>
        <v>100</v>
      </c>
      <c r="V23" s="1508" t="s">
        <v>8</v>
      </c>
      <c r="W23" s="1509">
        <f>J23</f>
        <v>100</v>
      </c>
      <c r="X23" s="1502"/>
      <c r="Y23" s="3500"/>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00"/>
      <c r="Q24" s="1507">
        <f t="shared" ref="Q24:Q34" si="11">B24</f>
        <v>111</v>
      </c>
      <c r="R24" s="1508" t="s">
        <v>8</v>
      </c>
      <c r="S24" s="1509">
        <f>F24</f>
        <v>100</v>
      </c>
      <c r="T24" s="1508" t="s">
        <v>8</v>
      </c>
      <c r="U24" s="1509">
        <f>H24</f>
        <v>100</v>
      </c>
      <c r="V24" s="1508" t="s">
        <v>8</v>
      </c>
      <c r="W24" s="1509">
        <f>J24</f>
        <v>100</v>
      </c>
      <c r="X24" s="1502"/>
      <c r="Y24" s="3500"/>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00"/>
      <c r="Q25" s="1134">
        <f t="shared" si="11"/>
        <v>111</v>
      </c>
      <c r="R25" s="1503" t="s">
        <v>8</v>
      </c>
      <c r="S25" s="1504">
        <f>F25</f>
        <v>100</v>
      </c>
      <c r="T25" s="1503" t="s">
        <v>8</v>
      </c>
      <c r="U25" s="1504">
        <f>H25</f>
        <v>100</v>
      </c>
      <c r="V25" s="1503" t="s">
        <v>8</v>
      </c>
      <c r="W25" s="1504">
        <f>J25</f>
        <v>100</v>
      </c>
      <c r="X25" s="1505"/>
      <c r="Y25" s="3500"/>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01"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02"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02"/>
      <c r="Q27" s="1536" t="str">
        <f t="shared" si="11"/>
        <v>成新率</v>
      </c>
      <c r="R27" s="1512" t="s">
        <v>8</v>
      </c>
      <c r="S27" s="1513" t="e">
        <f t="shared" si="12"/>
        <v>#N/A</v>
      </c>
      <c r="T27" s="1512" t="s">
        <v>8</v>
      </c>
      <c r="U27" s="1513" t="e">
        <f t="shared" si="13"/>
        <v>#N/A</v>
      </c>
      <c r="V27" s="1512" t="s">
        <v>8</v>
      </c>
      <c r="W27" s="1513" t="e">
        <f t="shared" si="14"/>
        <v>#N/A</v>
      </c>
      <c r="X27" s="1514"/>
      <c r="Y27" s="3502"/>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02"/>
      <c r="Q28" s="1507" t="str">
        <f t="shared" si="11"/>
        <v>物业等级</v>
      </c>
      <c r="R28" s="1508" t="s">
        <v>8</v>
      </c>
      <c r="S28" s="1509">
        <f t="shared" si="12"/>
        <v>100</v>
      </c>
      <c r="T28" s="1508" t="s">
        <v>8</v>
      </c>
      <c r="U28" s="1509">
        <f t="shared" si="13"/>
        <v>100</v>
      </c>
      <c r="V28" s="1508" t="s">
        <v>8</v>
      </c>
      <c r="W28" s="1509">
        <f t="shared" si="14"/>
        <v>100</v>
      </c>
      <c r="X28" s="1502"/>
      <c r="Y28" s="3502"/>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02"/>
      <c r="Q29" s="1507" t="str">
        <f t="shared" si="11"/>
        <v>有无电梯</v>
      </c>
      <c r="R29" s="1508" t="s">
        <v>8</v>
      </c>
      <c r="S29" s="1509">
        <f t="shared" si="12"/>
        <v>100</v>
      </c>
      <c r="T29" s="1508" t="s">
        <v>8</v>
      </c>
      <c r="U29" s="1509">
        <f t="shared" si="13"/>
        <v>100</v>
      </c>
      <c r="V29" s="1508" t="s">
        <v>8</v>
      </c>
      <c r="W29" s="1509">
        <f t="shared" si="14"/>
        <v>100</v>
      </c>
      <c r="X29" s="1502"/>
      <c r="Y29" s="3502"/>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02"/>
      <c r="Q30" s="1507" t="str">
        <f t="shared" si="11"/>
        <v>建筑面积</v>
      </c>
      <c r="R30" s="1508" t="s">
        <v>8</v>
      </c>
      <c r="S30" s="1509" t="e">
        <f t="shared" si="12"/>
        <v>#N/A</v>
      </c>
      <c r="T30" s="1508" t="s">
        <v>8</v>
      </c>
      <c r="U30" s="1509" t="e">
        <f t="shared" si="13"/>
        <v>#N/A</v>
      </c>
      <c r="V30" s="1508" t="s">
        <v>8</v>
      </c>
      <c r="W30" s="1509" t="e">
        <f t="shared" si="14"/>
        <v>#N/A</v>
      </c>
      <c r="X30" s="1502"/>
      <c r="Y30" s="3502"/>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02"/>
      <c r="Q31" s="1134" t="str">
        <f t="shared" si="11"/>
        <v>是否封闭</v>
      </c>
      <c r="R31" s="1503" t="s">
        <v>8</v>
      </c>
      <c r="S31" s="1504">
        <f t="shared" si="12"/>
        <v>100</v>
      </c>
      <c r="T31" s="1503" t="s">
        <v>8</v>
      </c>
      <c r="U31" s="1504">
        <f t="shared" si="13"/>
        <v>100</v>
      </c>
      <c r="V31" s="1503" t="s">
        <v>8</v>
      </c>
      <c r="W31" s="1504">
        <f t="shared" si="14"/>
        <v>100</v>
      </c>
      <c r="X31" s="1505"/>
      <c r="Y31" s="3502"/>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02" t="s">
        <v>544</v>
      </c>
      <c r="Q32" s="1507">
        <f t="shared" si="11"/>
        <v>111</v>
      </c>
      <c r="R32" s="1508" t="s">
        <v>8</v>
      </c>
      <c r="S32" s="1509">
        <f t="shared" si="12"/>
        <v>100</v>
      </c>
      <c r="T32" s="1508" t="s">
        <v>8</v>
      </c>
      <c r="U32" s="1509">
        <f t="shared" si="13"/>
        <v>100</v>
      </c>
      <c r="V32" s="1508" t="s">
        <v>8</v>
      </c>
      <c r="W32" s="1509">
        <f t="shared" si="14"/>
        <v>100</v>
      </c>
      <c r="X32" s="1502"/>
      <c r="Y32" s="3502"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02"/>
      <c r="Q33" s="1507">
        <f t="shared" si="11"/>
        <v>111</v>
      </c>
      <c r="R33" s="1508" t="s">
        <v>8</v>
      </c>
      <c r="S33" s="1509">
        <f t="shared" si="12"/>
        <v>100</v>
      </c>
      <c r="T33" s="1508" t="s">
        <v>8</v>
      </c>
      <c r="U33" s="1509">
        <f t="shared" si="13"/>
        <v>100</v>
      </c>
      <c r="V33" s="1508" t="s">
        <v>8</v>
      </c>
      <c r="W33" s="1509">
        <f t="shared" si="14"/>
        <v>100</v>
      </c>
      <c r="X33" s="1502"/>
      <c r="Y33" s="3502"/>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02"/>
      <c r="Q34" s="1507">
        <f t="shared" si="11"/>
        <v>111</v>
      </c>
      <c r="R34" s="1508" t="s">
        <v>8</v>
      </c>
      <c r="S34" s="1509">
        <f t="shared" si="12"/>
        <v>100</v>
      </c>
      <c r="T34" s="1508" t="s">
        <v>8</v>
      </c>
      <c r="U34" s="1509">
        <f t="shared" si="13"/>
        <v>100</v>
      </c>
      <c r="V34" s="1508" t="s">
        <v>8</v>
      </c>
      <c r="W34" s="1509">
        <f t="shared" si="14"/>
        <v>100</v>
      </c>
      <c r="X34" s="1502"/>
      <c r="Y34" s="3502"/>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465" t="str">
        <f>A35</f>
        <v>成交单价（元/平方米）</v>
      </c>
      <c r="Q35" s="3465"/>
      <c r="R35" s="3583">
        <f>E35</f>
        <v>0</v>
      </c>
      <c r="S35" s="3583"/>
      <c r="T35" s="3583">
        <f>G35</f>
        <v>0</v>
      </c>
      <c r="U35" s="3583"/>
      <c r="V35" s="3583">
        <f>I35</f>
        <v>0</v>
      </c>
      <c r="W35" s="3583"/>
      <c r="X35" s="1497"/>
      <c r="Y35" s="1516"/>
      <c r="Z35" s="1497"/>
      <c r="AA35" s="1497"/>
      <c r="AB35" s="1497"/>
      <c r="AC35" s="1497"/>
    </row>
    <row r="36" spans="1:29" ht="15.75" thickBot="1">
      <c r="A36" s="609" t="s">
        <v>2740</v>
      </c>
      <c r="B36" s="877"/>
      <c r="C36" s="2477" t="e">
        <f>R37</f>
        <v>#DIV/0!</v>
      </c>
      <c r="D36" s="3014" t="s">
        <v>2972</v>
      </c>
      <c r="E36" s="2478" t="e">
        <f>R36</f>
        <v>#DIV/0!</v>
      </c>
      <c r="F36" s="3015"/>
      <c r="G36" s="2477" t="e">
        <f>T36</f>
        <v>#DIV/0!</v>
      </c>
      <c r="H36" s="3015"/>
      <c r="I36" s="2478" t="e">
        <f>V36</f>
        <v>#DIV/0!</v>
      </c>
      <c r="J36" s="3015"/>
      <c r="K36" s="3023">
        <f>F36+H36+J36</f>
        <v>0</v>
      </c>
      <c r="L36" s="2027"/>
      <c r="M36" s="2028"/>
      <c r="N36" s="2017"/>
      <c r="O36" s="2028"/>
      <c r="P36" s="3465" t="str">
        <f>A36</f>
        <v>比较价格（元/平方米）</v>
      </c>
      <c r="Q36" s="3465"/>
      <c r="R36" s="3583" t="e">
        <f>IF(F1="售价",ROUND(PRODUCT(R35,AA7:AA34),0),ROUND(PRODUCT(R35,AA7:AA34),1))</f>
        <v>#DIV/0!</v>
      </c>
      <c r="S36" s="3583"/>
      <c r="T36" s="3583" t="e">
        <f>IF(F1="售价",ROUND(PRODUCT(T35,AB7:AB34),0),ROUND(PRODUCT(T35,AB7:AB34),1))</f>
        <v>#DIV/0!</v>
      </c>
      <c r="U36" s="3583"/>
      <c r="V36" s="3583" t="e">
        <f>IF(F1="售价",ROUND(PRODUCT(V35,AC7:AC34),0),ROUND(PRODUCT(V35,AC7:AC34),1))</f>
        <v>#DIV/0!</v>
      </c>
      <c r="W36" s="3583"/>
      <c r="X36" s="1497"/>
      <c r="Y36" s="1497"/>
      <c r="Z36" s="1497"/>
      <c r="AA36" s="1497"/>
      <c r="AB36" s="1497"/>
      <c r="AC36" s="1497"/>
    </row>
    <row r="37" spans="1:29" ht="15.75" thickBot="1">
      <c r="A37" s="613" t="s">
        <v>2903</v>
      </c>
      <c r="B37" s="614"/>
      <c r="C37" s="2479" t="e">
        <f>R37</f>
        <v>#DIV/0!</v>
      </c>
      <c r="D37" s="2479"/>
      <c r="E37" s="2479"/>
      <c r="F37" s="2479"/>
      <c r="G37" s="2479"/>
      <c r="H37" s="2479"/>
      <c r="I37" s="2479"/>
      <c r="J37" s="2479"/>
      <c r="K37" s="1542"/>
      <c r="L37" s="2027"/>
      <c r="M37" s="2028"/>
      <c r="N37" s="2028"/>
      <c r="O37" s="2028"/>
      <c r="P37" s="3462" t="str">
        <f>A37</f>
        <v>估价对象XX用房的比较价格（楼面单价，元/平方米）</v>
      </c>
      <c r="Q37" s="3463"/>
      <c r="R37" s="3582" t="e">
        <f>IF(F1="售价",ROUND(IF(D36="简单平均",AVERAGE(R36:W36),R36*F36+T36*H36+V36*J36),0),ROUND(IF(D36="简单平均",AVERAGE(R36:V36),R36*F36+T36*H36+V36*J36),1))</f>
        <v>#DIV/0!</v>
      </c>
      <c r="S37" s="3582"/>
      <c r="T37" s="3582"/>
      <c r="U37" s="3582"/>
      <c r="V37" s="3582"/>
      <c r="W37" s="3582"/>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2021-6</v>
      </c>
      <c r="D46" s="2522">
        <f>EDATE(C46,-1)</f>
        <v>44317</v>
      </c>
      <c r="E46" s="2522">
        <f t="shared" ref="E46:O46" si="16">EDATE(D46,-1)</f>
        <v>44287</v>
      </c>
      <c r="F46" s="2522">
        <f t="shared" si="16"/>
        <v>44256</v>
      </c>
      <c r="G46" s="2522">
        <f t="shared" si="16"/>
        <v>44228</v>
      </c>
      <c r="H46" s="2522">
        <f t="shared" si="16"/>
        <v>44197</v>
      </c>
      <c r="I46" s="2522">
        <f t="shared" si="16"/>
        <v>44166</v>
      </c>
      <c r="J46" s="2522">
        <f t="shared" si="16"/>
        <v>44136</v>
      </c>
      <c r="K46" s="2522">
        <f t="shared" si="16"/>
        <v>44105</v>
      </c>
      <c r="L46" s="2522">
        <f t="shared" si="16"/>
        <v>44075</v>
      </c>
      <c r="M46" s="2522">
        <f t="shared" si="16"/>
        <v>44044</v>
      </c>
      <c r="N46" s="2522">
        <f t="shared" si="16"/>
        <v>44013</v>
      </c>
      <c r="O46" s="2522">
        <f t="shared" si="16"/>
        <v>43983</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592" t="s">
        <v>2292</v>
      </c>
      <c r="D1" s="3593"/>
      <c r="E1" s="3593"/>
      <c r="F1" s="3593"/>
      <c r="G1" s="3593"/>
      <c r="H1" s="3593"/>
      <c r="I1" s="3593"/>
      <c r="J1" s="3593"/>
      <c r="K1" s="3593"/>
      <c r="L1" s="3593"/>
      <c r="M1" s="3593"/>
      <c r="N1" s="3593"/>
      <c r="O1" s="3593"/>
      <c r="P1" s="3593"/>
      <c r="Q1" s="3593"/>
      <c r="R1" s="3593"/>
      <c r="S1" s="3594"/>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2896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2895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2894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2907</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2893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2892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589" t="s">
        <v>20</v>
      </c>
      <c r="D22" s="3590"/>
      <c r="E22" s="3590"/>
      <c r="F22" s="3590"/>
      <c r="G22" s="3590"/>
      <c r="H22" s="3590"/>
      <c r="I22" s="3590"/>
      <c r="J22" s="3590"/>
      <c r="K22" s="3590"/>
      <c r="L22" s="3590"/>
      <c r="M22" s="3590"/>
      <c r="N22" s="3590"/>
      <c r="O22" s="3590"/>
      <c r="P22" s="3590"/>
      <c r="Q22" s="3591"/>
      <c r="R22" s="484" t="e">
        <f>ROUND(S22*10000/B22,0)</f>
        <v>#DIV/0!</v>
      </c>
      <c r="S22" s="53">
        <f>SUM(S24:S10000)</f>
        <v>0</v>
      </c>
    </row>
    <row r="23" spans="1:45" s="1543" customFormat="1" ht="24">
      <c r="A23" s="17" t="s">
        <v>824</v>
      </c>
      <c r="B23" s="2861" t="s">
        <v>2915</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44369</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2</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3002</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0" t="s">
        <v>2027</v>
      </c>
      <c r="B1" s="3290"/>
      <c r="C1" s="3290"/>
      <c r="D1" s="3290"/>
      <c r="E1" s="3290"/>
      <c r="F1" s="3290"/>
      <c r="G1" s="3290"/>
      <c r="H1" s="3290"/>
      <c r="I1" s="3290"/>
      <c r="J1" s="3290"/>
      <c r="K1" s="3290"/>
      <c r="L1" s="3290"/>
      <c r="M1" s="3290"/>
      <c r="N1" s="3290"/>
      <c r="O1" s="3290"/>
      <c r="P1" s="3290"/>
      <c r="Q1" s="3290"/>
      <c r="R1" s="3290"/>
    </row>
    <row r="2" spans="1:18">
      <c r="A2" s="1723" t="s">
        <v>2029</v>
      </c>
      <c r="B2" s="1723"/>
      <c r="C2" s="1723"/>
      <c r="D2" s="1723"/>
      <c r="E2" s="1723"/>
      <c r="F2" s="1723"/>
      <c r="G2" s="1723"/>
      <c r="H2" s="1723"/>
      <c r="I2" s="1724"/>
      <c r="J2" s="1724"/>
      <c r="K2" s="1725" t="str">
        <f>"估价期日："&amp;TEXT(项目基本情况!D3,"yyyy年m月d日;;")</f>
        <v>估价期日：2021年6月22日</v>
      </c>
      <c r="L2" s="1723"/>
      <c r="M2" s="1723"/>
      <c r="N2" s="1723"/>
      <c r="O2" s="1723"/>
      <c r="P2" s="1723"/>
      <c r="Q2" s="1723"/>
      <c r="R2" s="1725" t="str">
        <f>"估价期日的国有建设用地使用权性质："&amp;项目基本情况!B16</f>
        <v>估价期日的国有建设用地使用权性质：出让</v>
      </c>
    </row>
    <row r="3" spans="1:18" ht="23.25" customHeight="1">
      <c r="A3" s="3291" t="s">
        <v>2018</v>
      </c>
      <c r="B3" s="3291" t="s">
        <v>2711</v>
      </c>
      <c r="C3" s="3292" t="s">
        <v>2019</v>
      </c>
      <c r="D3" s="3291" t="s">
        <v>2715</v>
      </c>
      <c r="E3" s="3294" t="s">
        <v>2020</v>
      </c>
      <c r="F3" s="3294"/>
      <c r="G3" s="3294"/>
      <c r="H3" s="3294" t="s">
        <v>2021</v>
      </c>
      <c r="I3" s="3294"/>
      <c r="J3" s="3294"/>
      <c r="K3" s="3292" t="s">
        <v>2022</v>
      </c>
      <c r="L3" s="3292" t="s">
        <v>2023</v>
      </c>
      <c r="M3" s="3291" t="s">
        <v>2712</v>
      </c>
      <c r="N3" s="3293" t="str">
        <f>"（分摊）"&amp;项目基本情况!B16&amp;"国有建设用地使用权面积/㎡"</f>
        <v>（分摊）出让国有建设用地使用权面积/㎡</v>
      </c>
      <c r="O3" s="3291" t="s">
        <v>2052</v>
      </c>
      <c r="P3" s="3292" t="s">
        <v>2032</v>
      </c>
      <c r="Q3" s="3292" t="s">
        <v>2053</v>
      </c>
      <c r="R3" s="3292" t="s">
        <v>2024</v>
      </c>
    </row>
    <row r="4" spans="1:18" ht="36.75" customHeight="1">
      <c r="A4" s="3291"/>
      <c r="B4" s="3291"/>
      <c r="C4" s="3292"/>
      <c r="D4" s="3291"/>
      <c r="E4" s="2492" t="s">
        <v>2031</v>
      </c>
      <c r="F4" s="2492" t="s">
        <v>2724</v>
      </c>
      <c r="G4" s="2492" t="s">
        <v>2025</v>
      </c>
      <c r="H4" s="2492" t="s">
        <v>2026</v>
      </c>
      <c r="I4" s="2492" t="s">
        <v>2725</v>
      </c>
      <c r="J4" s="2492" t="s">
        <v>2025</v>
      </c>
      <c r="K4" s="3292"/>
      <c r="L4" s="3292"/>
      <c r="M4" s="3291"/>
      <c r="N4" s="3293"/>
      <c r="O4" s="3291"/>
      <c r="P4" s="3292"/>
      <c r="Q4" s="3292"/>
      <c r="R4" s="3292"/>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134204</v>
      </c>
      <c r="O5" s="1726">
        <f>项目基本情况!C21</f>
        <v>335510</v>
      </c>
      <c r="P5" s="1726">
        <f ca="1">结果表!E42</f>
        <v>926</v>
      </c>
      <c r="Q5" s="1726">
        <f ca="1">结果表!D42</f>
        <v>370</v>
      </c>
      <c r="R5" s="1727">
        <f ca="1">结果表!C42</f>
        <v>12422</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8">
        <f ca="1">结果表!O39</f>
        <v>12422</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8" t="str">
        <f>结果表!O40</f>
        <v>——</v>
      </c>
    </row>
    <row r="8" spans="1:18">
      <c r="A8" s="3295" t="str">
        <f>IF(项目基本情况!B9="市场价格","——",项目基本情况!E9)</f>
        <v>抵押净值</v>
      </c>
      <c r="B8" s="3296"/>
      <c r="C8" s="3296"/>
      <c r="D8" s="3296"/>
      <c r="E8" s="3296"/>
      <c r="F8" s="3296"/>
      <c r="G8" s="3296"/>
      <c r="H8" s="3296"/>
      <c r="I8" s="3296"/>
      <c r="J8" s="3296"/>
      <c r="K8" s="3296"/>
      <c r="L8" s="3296"/>
      <c r="M8" s="3296"/>
      <c r="N8" s="3296"/>
      <c r="O8" s="3296"/>
      <c r="P8" s="3296"/>
      <c r="Q8" s="3297"/>
      <c r="R8" s="1728">
        <f ca="1">结果表!O41</f>
        <v>10510</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299" t="s">
        <v>2054</v>
      </c>
      <c r="B1" s="3299"/>
      <c r="C1" s="3299"/>
      <c r="D1" s="3299"/>
    </row>
    <row r="2" spans="1:4" ht="47.25" customHeight="1">
      <c r="A2" s="3300" t="str">
        <f>"1.权利限制："&amp;项目基本情况!L24&amp;"未设定租赁等其他他项权利。"</f>
        <v>1.权利限制：根据估价对象《不动产权证书》原件、《国有土地使用权》复印件，截至估价期日，估价对象抵押权未见登记。未设定租赁等其他他项权利。</v>
      </c>
      <c r="B2" s="3300"/>
      <c r="C2" s="3300"/>
      <c r="D2" s="3300"/>
    </row>
    <row r="3" spans="1:4" ht="48" customHeight="1">
      <c r="A3" s="329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99"/>
      <c r="C3" s="3299"/>
      <c r="D3" s="3299"/>
    </row>
    <row r="4" spans="1:4" ht="36.75" customHeight="1">
      <c r="A4" s="3299" t="str">
        <f>"3.估价规划限制条件：详见"&amp;项目基本情况!E21&amp;"。"</f>
        <v>3.估价规划限制条件：详见《建设工程规划许可证》[]、《出让合同》[]。</v>
      </c>
      <c r="B4" s="3299"/>
      <c r="C4" s="3299"/>
      <c r="D4" s="3299"/>
    </row>
    <row r="5" spans="1:4">
      <c r="A5" s="3298" t="s">
        <v>2055</v>
      </c>
      <c r="B5" s="3298"/>
      <c r="C5" s="3298"/>
      <c r="D5" s="3298"/>
    </row>
    <row r="6" spans="1:4">
      <c r="A6" s="3299" t="s">
        <v>2033</v>
      </c>
      <c r="B6" s="3299"/>
      <c r="C6" s="3299"/>
      <c r="D6" s="3299"/>
    </row>
    <row r="7" spans="1:4" ht="33" customHeight="1">
      <c r="A7" s="3299" t="s">
        <v>2555</v>
      </c>
      <c r="B7" s="3299"/>
      <c r="C7" s="3299"/>
      <c r="D7" s="3299"/>
    </row>
    <row r="8" spans="1:4" ht="32.25" customHeight="1">
      <c r="A8" s="329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99"/>
      <c r="C8" s="3299"/>
      <c r="D8" s="3299"/>
    </row>
    <row r="9" spans="1:4" ht="33.75" customHeight="1">
      <c r="A9" s="329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99"/>
      <c r="C9" s="3299"/>
      <c r="D9" s="3299"/>
    </row>
    <row r="10" spans="1:4">
      <c r="A10" s="3299" t="str">
        <f>IF(项目基本情况!B8="抵押","4.估价师所知悉的法定优先受偿款情况为：","——")</f>
        <v>4.估价师所知悉的法定优先受偿款情况为：</v>
      </c>
      <c r="B10" s="3299"/>
      <c r="C10" s="3299"/>
      <c r="D10" s="3299"/>
    </row>
    <row r="11" spans="1:4" ht="37.5" customHeight="1">
      <c r="A11" s="330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1"/>
      <c r="C11" s="3301"/>
      <c r="D11" s="3301"/>
    </row>
    <row r="12" spans="1:4" ht="168" customHeight="1">
      <c r="A12" s="3298" t="s">
        <v>2057</v>
      </c>
      <c r="B12" s="3298"/>
      <c r="C12" s="3298"/>
      <c r="D12" s="3298"/>
    </row>
    <row r="13" spans="1:4">
      <c r="A13" s="3302" t="s">
        <v>2726</v>
      </c>
      <c r="B13" s="3302"/>
      <c r="C13" s="3302"/>
      <c r="D13" s="3302"/>
    </row>
    <row r="14" spans="1:4">
      <c r="A14" s="3301" t="str">
        <f>IF(项目基本情况!B8="抵押","综上，"&amp;结果表!K47,"——")</f>
        <v>综上，本次评估不存在估价师知悉的法定优先受偿款</v>
      </c>
      <c r="B14" s="3301"/>
      <c r="C14" s="3301"/>
      <c r="D14" s="3301"/>
    </row>
    <row r="15" spans="1:4" ht="58.5" customHeight="1">
      <c r="A15" s="329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99"/>
      <c r="C15" s="3299"/>
      <c r="D15" s="3299"/>
    </row>
    <row r="16" spans="1:4" ht="70.5" customHeight="1">
      <c r="A16" s="329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99"/>
      <c r="C16" s="3299"/>
      <c r="D16" s="3299"/>
    </row>
    <row r="17" spans="1:4">
      <c r="A17" s="3299" t="s">
        <v>2682</v>
      </c>
      <c r="B17" s="3299"/>
      <c r="C17" s="3299"/>
      <c r="D17" s="3299"/>
    </row>
    <row r="18" spans="1:4">
      <c r="A18" s="3299" t="s">
        <v>2674</v>
      </c>
      <c r="B18" s="3299"/>
      <c r="C18" s="3299"/>
      <c r="D18" s="3299"/>
    </row>
    <row r="19" spans="1:4">
      <c r="A19" s="2586" t="s">
        <v>2675</v>
      </c>
      <c r="B19" s="2586" t="s">
        <v>2676</v>
      </c>
      <c r="C19" s="2586" t="s">
        <v>2677</v>
      </c>
      <c r="D19" s="2586" t="s">
        <v>2678</v>
      </c>
    </row>
    <row r="20" spans="1:4">
      <c r="A20" s="2586" t="str">
        <f>项目基本情况!B4</f>
        <v>土地估价师</v>
      </c>
      <c r="B20" s="2586">
        <f>项目基本情况!C4</f>
        <v>0</v>
      </c>
      <c r="C20" s="2588"/>
      <c r="D20" s="1716" t="s">
        <v>2683</v>
      </c>
    </row>
    <row r="21" spans="1:4">
      <c r="A21" s="2586" t="str">
        <f>项目基本情况!D4</f>
        <v>土地估价师</v>
      </c>
      <c r="B21" s="2586">
        <f>项目基本情况!E4</f>
        <v>0</v>
      </c>
      <c r="C21" s="2588"/>
      <c r="D21" s="1716" t="s">
        <v>2684</v>
      </c>
    </row>
    <row r="23" spans="1:4">
      <c r="A23" s="3299" t="s">
        <v>2679</v>
      </c>
      <c r="B23" s="3299"/>
      <c r="C23" s="3299"/>
      <c r="D23" s="3299"/>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0" t="s">
        <v>53</v>
      </c>
      <c r="B15" s="3311" t="s">
        <v>838</v>
      </c>
      <c r="C15" s="3307"/>
    </row>
    <row r="16" spans="1:7" ht="14.25">
      <c r="A16" s="3310"/>
      <c r="B16" s="3308" t="s">
        <v>54</v>
      </c>
      <c r="C16" s="1155" t="s">
        <v>53</v>
      </c>
    </row>
    <row r="17" spans="1:3" ht="14.25">
      <c r="A17" s="3310"/>
      <c r="B17" s="3308"/>
      <c r="C17" s="1155" t="s">
        <v>55</v>
      </c>
    </row>
    <row r="18" spans="1:3" ht="14.25">
      <c r="A18" s="3310"/>
      <c r="B18" s="3308"/>
      <c r="C18" s="1155" t="s">
        <v>56</v>
      </c>
    </row>
    <row r="19" spans="1:3" ht="14.25">
      <c r="A19" s="3310"/>
      <c r="B19" s="3306" t="s">
        <v>57</v>
      </c>
      <c r="C19" s="3307"/>
    </row>
    <row r="20" spans="1:3" ht="14.25">
      <c r="A20" s="1156" t="s">
        <v>58</v>
      </c>
      <c r="B20" s="1157"/>
      <c r="C20" s="1158"/>
    </row>
    <row r="21" spans="1:3" ht="14.25">
      <c r="A21" s="3309" t="s">
        <v>59</v>
      </c>
      <c r="B21" s="3306" t="s">
        <v>60</v>
      </c>
      <c r="C21" s="3307"/>
    </row>
    <row r="22" spans="1:3" ht="14.25">
      <c r="A22" s="3309"/>
      <c r="B22" s="3306" t="s">
        <v>61</v>
      </c>
      <c r="C22" s="3307"/>
    </row>
    <row r="23" spans="1:3" ht="14.25">
      <c r="A23" s="3309"/>
      <c r="B23" s="3306" t="s">
        <v>62</v>
      </c>
      <c r="C23" s="3307"/>
    </row>
    <row r="24" spans="1:3" ht="14.25">
      <c r="A24" s="3309"/>
      <c r="B24" s="3312" t="s">
        <v>63</v>
      </c>
      <c r="C24" s="1159" t="s">
        <v>829</v>
      </c>
    </row>
    <row r="25" spans="1:3" ht="14.25">
      <c r="A25" s="3309"/>
      <c r="B25" s="3313"/>
      <c r="C25" s="1159" t="s">
        <v>830</v>
      </c>
    </row>
    <row r="26" spans="1:3" ht="14.25">
      <c r="A26" s="3309"/>
      <c r="B26" s="3313"/>
      <c r="C26" s="1159" t="s">
        <v>831</v>
      </c>
    </row>
    <row r="27" spans="1:3" ht="14.25">
      <c r="A27" s="3309"/>
      <c r="B27" s="3313"/>
      <c r="C27" s="1159" t="s">
        <v>832</v>
      </c>
    </row>
    <row r="28" spans="1:3" ht="14.25">
      <c r="A28" s="3309"/>
      <c r="B28" s="3313"/>
      <c r="C28" s="1159" t="s">
        <v>833</v>
      </c>
    </row>
    <row r="29" spans="1:3" ht="14.25">
      <c r="A29" s="3309"/>
      <c r="B29" s="3313"/>
      <c r="C29" s="1159" t="s">
        <v>834</v>
      </c>
    </row>
    <row r="30" spans="1:3" ht="14.25">
      <c r="A30" s="3309"/>
      <c r="B30" s="3313"/>
      <c r="C30" s="1159" t="s">
        <v>835</v>
      </c>
    </row>
    <row r="31" spans="1:3" ht="14.25">
      <c r="A31" s="3309"/>
      <c r="B31" s="3313"/>
      <c r="C31" s="1159" t="s">
        <v>836</v>
      </c>
    </row>
    <row r="32" spans="1:3" ht="14.25">
      <c r="A32" s="3309"/>
      <c r="B32" s="3313"/>
      <c r="C32" s="1159" t="s">
        <v>1637</v>
      </c>
    </row>
    <row r="33" spans="1:3" ht="14.25">
      <c r="A33" s="3309"/>
      <c r="B33" s="3303" t="s">
        <v>1643</v>
      </c>
      <c r="C33" s="1159" t="s">
        <v>1638</v>
      </c>
    </row>
    <row r="34" spans="1:3" ht="14.25">
      <c r="A34" s="3309"/>
      <c r="B34" s="3304"/>
      <c r="C34" s="1164" t="s">
        <v>1639</v>
      </c>
    </row>
    <row r="35" spans="1:3" ht="14.25">
      <c r="A35" s="3309"/>
      <c r="B35" s="3304"/>
      <c r="C35" s="1165" t="s">
        <v>1640</v>
      </c>
    </row>
    <row r="36" spans="1:3" ht="14.25">
      <c r="A36" s="3309"/>
      <c r="B36" s="3304"/>
      <c r="C36" s="1165" t="s">
        <v>1641</v>
      </c>
    </row>
    <row r="37" spans="1:3" ht="14.25">
      <c r="A37" s="3309"/>
      <c r="B37" s="3305"/>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44370</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2945</v>
      </c>
      <c r="B12" s="3030">
        <f ca="1">IF(C12&lt;B2,"已过期",1120040230)</f>
        <v>1120040230</v>
      </c>
      <c r="C12" s="3033">
        <v>44864</v>
      </c>
      <c r="D12" s="3041" t="s">
        <v>2946</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t="str">
        <f ca="1">IF(C14&lt;B2,"已过期",1120020033)</f>
        <v>已过期</v>
      </c>
      <c r="C14" s="3033">
        <v>44339</v>
      </c>
      <c r="D14" s="3041" t="s">
        <v>1914</v>
      </c>
      <c r="E14" s="3030">
        <f ca="1">IF(F14&lt;B2,"已过期",2000110137)</f>
        <v>2000110137</v>
      </c>
      <c r="F14" s="3032">
        <v>46387</v>
      </c>
      <c r="G14" s="3025"/>
    </row>
    <row r="15" spans="1:7" ht="20.25" customHeight="1">
      <c r="A15" s="3030" t="s">
        <v>2960</v>
      </c>
      <c r="B15" s="3030" t="str">
        <f ca="1">IF(C14&lt;B2,"已过期",1119980106)</f>
        <v>已过期</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17" t="s">
        <v>1915</v>
      </c>
      <c r="B17" s="3318"/>
      <c r="C17" s="3318"/>
      <c r="D17" s="3318"/>
      <c r="E17" s="3318"/>
      <c r="F17" s="3318"/>
      <c r="G17" s="3034"/>
    </row>
    <row r="18" spans="1:7" ht="20.25" customHeight="1">
      <c r="A18" s="3314" t="s">
        <v>1916</v>
      </c>
      <c r="B18" s="3314"/>
      <c r="C18" s="3315"/>
      <c r="D18" s="3316" t="s">
        <v>1917</v>
      </c>
      <c r="E18" s="3314"/>
      <c r="F18" s="3314"/>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2959</v>
      </c>
      <c r="F21" s="3038">
        <v>44012</v>
      </c>
      <c r="G21" s="3026"/>
    </row>
    <row r="22" spans="1:7" ht="20.25" customHeight="1">
      <c r="A22" s="3025"/>
      <c r="B22" s="3025"/>
      <c r="C22" s="3039"/>
      <c r="D22" s="3047"/>
      <c r="E22" s="3048"/>
      <c r="F22" s="3040" t="s">
        <v>2973</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2921</v>
      </c>
      <c r="C18" s="1493"/>
    </row>
    <row r="19" spans="1:3">
      <c r="A19" s="8" t="s">
        <v>120</v>
      </c>
      <c r="B19" s="2792" t="s">
        <v>2928</v>
      </c>
      <c r="C19" s="1493"/>
    </row>
    <row r="20" spans="1:3">
      <c r="A20" s="8" t="s">
        <v>121</v>
      </c>
      <c r="B20" s="2792" t="s">
        <v>2974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19"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22日，在规划利用条件下、设定土地开发程度为红线外“七通”、宗地内场地，设定用途为，剩余土地使用年限为的出让国有建设用地使用权价格。</v>
      </c>
      <c r="D53" s="1686"/>
      <c r="E53" s="1686"/>
    </row>
    <row r="54" spans="1:5">
      <c r="A54" s="3319"/>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19"/>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19"/>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19"/>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不动产收益法</vt:lpstr>
      <vt:lpstr>比较法-工业</vt:lpstr>
      <vt:lpstr>基准地价</vt:lpstr>
      <vt:lpstr>修正</vt:lpstr>
      <vt:lpstr>区片价</vt:lpstr>
      <vt:lpstr>容积率修正</vt:lpstr>
      <vt:lpstr>因素修正幅度</vt:lpstr>
      <vt:lpstr>剩余法-现房</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2021-06-23T05:40:41Z</dcterms:modified>
</cp:coreProperties>
</file>