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4" activeTab="17"/>
  </bookViews>
  <sheets>
    <sheet name="收益法 (元)" sheetId="68" state="hidden" r:id="rId1"/>
    <sheet name="致函链接" sheetId="63"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表" sheetId="9" r:id="rId18"/>
    <sheet name="比较法-住宅、综合（4000+）" sheetId="39" state="hidden" r:id="rId19"/>
    <sheet name="比较法-住宅、综合（6000+）" sheetId="73" r:id="rId20"/>
    <sheet name="土地案例" sheetId="70" r:id="rId21"/>
    <sheet name="Sheet2" sheetId="71"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r:id="rId34"/>
    <sheet name="不动产收益法（商业）" sheetId="15" r:id="rId35"/>
    <sheet name="酒店收入计算" sheetId="57" state="hidden" r:id="rId36"/>
    <sheet name="成本逼近法" sheetId="11" state="hidden" r:id="rId37"/>
    <sheet name="Sheet3" sheetId="72" r:id="rId38"/>
    <sheet name="不动产收益法（地下车库）" sheetId="69"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Sheet4" sheetId="74" r:id="rId47"/>
  </sheets>
  <externalReferences>
    <externalReference r:id="rId48"/>
  </externalReferences>
  <definedNames>
    <definedName name="_xlnm._FilterDatabase" localSheetId="24" hidden="1">'比较法-工业'!$A$1:$L$45</definedName>
    <definedName name="_xlnm._FilterDatabase" localSheetId="18" hidden="1">'比较法-住宅、综合（4000+）'!$A$1:$L$50</definedName>
    <definedName name="_xlnm._FilterDatabase" localSheetId="19" hidden="1">'比较法-住宅、综合（6000+）'!$A$1:$L$50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19">'比较法-住宅、综合（6000+）'!$A$75:$M$75</definedName>
    <definedName name="套工交易情况" localSheetId="0">'[1]土地比较法-住宅、综合'!$A$73:$M$73</definedName>
    <definedName name="套工交易情况">'比较法-住宅、综合（4000+）'!$A$75:$M$75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19">'比较法-住宅、综合（6000+）'!$B$108:$M$108</definedName>
    <definedName name="套综道路等级" localSheetId="0">'[1]土地比较法-住宅、综合'!$B$106:$M$106</definedName>
    <definedName name="套综道路等级">'比较法-住宅、综合（4000+）'!$B$108:$M$108</definedName>
    <definedName name="套综工程地质条件" localSheetId="19">'比较法-住宅、综合（6000+）'!$B$127:$M$127</definedName>
    <definedName name="套综工程地质条件" localSheetId="0">'[1]土地比较法-住宅、综合'!$B$125:$M$125</definedName>
    <definedName name="套综工程地质条件">'比较法-住宅、综合（4000+）'!$B$127:$M$127</definedName>
    <definedName name="套综交易情况" localSheetId="19">'比较法-住宅、综合（6000+）'!$A$75:$M$75</definedName>
    <definedName name="套综交易情况" localSheetId="0">'[1]土地比较法-住宅、综合'!$A$73:$M$73</definedName>
    <definedName name="套综交易情况">'比较法-住宅、综合（4000+）'!$A$75:$M$75</definedName>
    <definedName name="套综临街宽度及深度" localSheetId="19">'比较法-住宅、综合（6000+）'!$B$123:$M$123</definedName>
    <definedName name="套综临街宽度及深度" localSheetId="0">'[1]土地比较法-住宅、综合'!$B$121:$M$121</definedName>
    <definedName name="套综临街宽度及深度">'比较法-住宅、综合（4000+）'!$B$123:$M$123</definedName>
    <definedName name="套综土地级别" localSheetId="19">'比较法-住宅、综合（6000+）'!$B$110:$M$110</definedName>
    <definedName name="套综土地级别" localSheetId="0">'[1]土地比较法-住宅、综合'!$B$108:$M$108</definedName>
    <definedName name="套综土地级别">'比较法-住宅、综合（4000+）'!$B$110:$M$110</definedName>
    <definedName name="套综用途" localSheetId="19">'比较法-住宅、综合（6000+）'!$B$77:$M$77</definedName>
    <definedName name="套综用途" localSheetId="0">'[1]土地比较法-住宅、综合'!$B$75:$M$75</definedName>
    <definedName name="套综用途">'比较法-住宅、综合（4000+）'!$B$77:$M$77</definedName>
    <definedName name="套综宗地内开发程度" localSheetId="19">'比较法-住宅、综合（6000+）'!$B$125:$M$125</definedName>
    <definedName name="套综宗地内开发程度" localSheetId="0">'[1]土地比较法-住宅、综合'!$B$123:$M$123</definedName>
    <definedName name="套综宗地内开发程度">'比较法-住宅、综合（4000+）'!$B$125:$M$125</definedName>
    <definedName name="套综宗地形状" localSheetId="19">'比较法-住宅、综合（6000+）'!$B$121:$M$121</definedName>
    <definedName name="套综宗地形状" localSheetId="0">'[1]土地比较法-住宅、综合'!$B$119:$M$119</definedName>
    <definedName name="套综宗地形状">'比较法-住宅、综合（4000+）'!$B$121:$M$121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13" i="73" l="1"/>
  <c r="G35" i="9"/>
  <c r="D27" i="9"/>
  <c r="E15" i="74"/>
  <c r="E19" i="74"/>
  <c r="I47" i="21"/>
  <c r="E47" i="21"/>
  <c r="G47" i="21"/>
  <c r="E6" i="74" l="1"/>
  <c r="E11" i="74" l="1"/>
  <c r="E10" i="74" s="1"/>
  <c r="E4" i="74" s="1"/>
  <c r="E5" i="74"/>
  <c r="C47" i="73" l="1"/>
  <c r="I40" i="73"/>
  <c r="I51" i="73" s="1"/>
  <c r="I52" i="73" s="1"/>
  <c r="G40" i="73"/>
  <c r="E40" i="73"/>
  <c r="E51" i="73" s="1"/>
  <c r="E52" i="73" s="1"/>
  <c r="F77" i="73"/>
  <c r="E77" i="73"/>
  <c r="D77" i="73"/>
  <c r="I9" i="73"/>
  <c r="G9" i="73"/>
  <c r="E9" i="73"/>
  <c r="I7" i="73"/>
  <c r="G7" i="73"/>
  <c r="E7" i="73"/>
  <c r="B133" i="73" l="1"/>
  <c r="H47" i="73" s="1"/>
  <c r="AB47" i="73" s="1"/>
  <c r="B131" i="73"/>
  <c r="B129" i="73"/>
  <c r="H45" i="73" s="1"/>
  <c r="AB45" i="73" s="1"/>
  <c r="D128" i="73"/>
  <c r="E128" i="73" s="1"/>
  <c r="F128" i="73" s="1"/>
  <c r="G128" i="73" s="1"/>
  <c r="H128" i="73" s="1"/>
  <c r="I128" i="73" s="1"/>
  <c r="J128" i="73" s="1"/>
  <c r="K128" i="73" s="1"/>
  <c r="L128" i="73" s="1"/>
  <c r="M128" i="73" s="1"/>
  <c r="D126" i="73"/>
  <c r="E126" i="73" s="1"/>
  <c r="F126" i="73" s="1"/>
  <c r="G126" i="73" s="1"/>
  <c r="H126" i="73" s="1"/>
  <c r="I126" i="73" s="1"/>
  <c r="J126" i="73" s="1"/>
  <c r="K126" i="73" s="1"/>
  <c r="L126" i="73" s="1"/>
  <c r="M126" i="73" s="1"/>
  <c r="D124" i="73"/>
  <c r="E124" i="73" s="1"/>
  <c r="F124" i="73" s="1"/>
  <c r="G124" i="73" s="1"/>
  <c r="H124" i="73" s="1"/>
  <c r="I124" i="73" s="1"/>
  <c r="J124" i="73" s="1"/>
  <c r="K124" i="73" s="1"/>
  <c r="L124" i="73" s="1"/>
  <c r="M124" i="73" s="1"/>
  <c r="D122" i="73"/>
  <c r="E122" i="73" s="1"/>
  <c r="F122" i="73" s="1"/>
  <c r="G122" i="73" s="1"/>
  <c r="H122" i="73" s="1"/>
  <c r="I122" i="73" s="1"/>
  <c r="J122" i="73" s="1"/>
  <c r="K122" i="73" s="1"/>
  <c r="L122" i="73" s="1"/>
  <c r="M122" i="73" s="1"/>
  <c r="M118" i="73"/>
  <c r="L118" i="73"/>
  <c r="K118" i="73"/>
  <c r="J118" i="73"/>
  <c r="I118" i="73"/>
  <c r="H118" i="73"/>
  <c r="G118" i="73"/>
  <c r="F118" i="73"/>
  <c r="E118" i="73"/>
  <c r="D118" i="73"/>
  <c r="C118" i="73"/>
  <c r="B116" i="73"/>
  <c r="B114" i="73"/>
  <c r="B112" i="73"/>
  <c r="D111" i="73"/>
  <c r="E111" i="73" s="1"/>
  <c r="F111" i="73" s="1"/>
  <c r="G111" i="73" s="1"/>
  <c r="H111" i="73" s="1"/>
  <c r="I111" i="73" s="1"/>
  <c r="J111" i="73" s="1"/>
  <c r="K111" i="73" s="1"/>
  <c r="L111" i="73" s="1"/>
  <c r="M111" i="73" s="1"/>
  <c r="D109" i="73"/>
  <c r="E109" i="73" s="1"/>
  <c r="F109" i="73" s="1"/>
  <c r="G109" i="73" s="1"/>
  <c r="H109" i="73" s="1"/>
  <c r="I109" i="73" s="1"/>
  <c r="J109" i="73" s="1"/>
  <c r="K109" i="73" s="1"/>
  <c r="L109" i="73" s="1"/>
  <c r="M109" i="73" s="1"/>
  <c r="D107" i="73"/>
  <c r="E107" i="73" s="1"/>
  <c r="F107" i="73" s="1"/>
  <c r="G107" i="73" s="1"/>
  <c r="H107" i="73" s="1"/>
  <c r="I107" i="73" s="1"/>
  <c r="J107" i="73" s="1"/>
  <c r="K107" i="73" s="1"/>
  <c r="L107" i="73" s="1"/>
  <c r="M107" i="73" s="1"/>
  <c r="B106" i="73"/>
  <c r="D105" i="73"/>
  <c r="E105" i="73" s="1"/>
  <c r="F105" i="73" s="1"/>
  <c r="G105" i="73" s="1"/>
  <c r="D103" i="73"/>
  <c r="E103" i="73" s="1"/>
  <c r="F103" i="73" s="1"/>
  <c r="G103" i="73" s="1"/>
  <c r="D101" i="73"/>
  <c r="E101" i="73" s="1"/>
  <c r="F101" i="73" s="1"/>
  <c r="G101" i="73" s="1"/>
  <c r="D99" i="73"/>
  <c r="E99" i="73" s="1"/>
  <c r="F99" i="73" s="1"/>
  <c r="G99" i="73" s="1"/>
  <c r="D97" i="73"/>
  <c r="E97" i="73" s="1"/>
  <c r="F97" i="73" s="1"/>
  <c r="G97" i="73" s="1"/>
  <c r="D95" i="73"/>
  <c r="E95" i="73" s="1"/>
  <c r="F95" i="73" s="1"/>
  <c r="G95" i="73" s="1"/>
  <c r="D93" i="73"/>
  <c r="E93" i="73" s="1"/>
  <c r="F93" i="73" s="1"/>
  <c r="G93" i="73" s="1"/>
  <c r="D91" i="73"/>
  <c r="E91" i="73" s="1"/>
  <c r="F91" i="73" s="1"/>
  <c r="G91" i="73" s="1"/>
  <c r="B88" i="73"/>
  <c r="B86" i="73"/>
  <c r="B84" i="73"/>
  <c r="D83" i="73"/>
  <c r="E83" i="73" s="1"/>
  <c r="F83" i="73" s="1"/>
  <c r="G83" i="73" s="1"/>
  <c r="H83" i="73" s="1"/>
  <c r="I83" i="73" s="1"/>
  <c r="J83" i="73" s="1"/>
  <c r="K83" i="73" s="1"/>
  <c r="L83" i="73" s="1"/>
  <c r="M83" i="73" s="1"/>
  <c r="M81" i="73"/>
  <c r="L81" i="73"/>
  <c r="K81" i="73"/>
  <c r="J81" i="73"/>
  <c r="I81" i="73"/>
  <c r="H81" i="73"/>
  <c r="G81" i="73"/>
  <c r="F81" i="73"/>
  <c r="E81" i="73"/>
  <c r="D81" i="73"/>
  <c r="C81" i="73"/>
  <c r="D73" i="73"/>
  <c r="E73" i="73" s="1"/>
  <c r="F73" i="73" s="1"/>
  <c r="G73" i="73" s="1"/>
  <c r="H73" i="73" s="1"/>
  <c r="I73" i="73" s="1"/>
  <c r="J73" i="73" s="1"/>
  <c r="K73" i="73" s="1"/>
  <c r="L73" i="73" s="1"/>
  <c r="M73" i="73" s="1"/>
  <c r="N73" i="73" s="1"/>
  <c r="H67" i="73"/>
  <c r="I67" i="73" s="1"/>
  <c r="C67" i="73" s="1"/>
  <c r="H66" i="73"/>
  <c r="I66" i="73" s="1"/>
  <c r="C66" i="73" s="1"/>
  <c r="H65" i="73"/>
  <c r="I65" i="73" s="1"/>
  <c r="C65" i="73" s="1"/>
  <c r="H64" i="73"/>
  <c r="I64" i="73" s="1"/>
  <c r="C64" i="73" s="1"/>
  <c r="H63" i="73"/>
  <c r="I63" i="73" s="1"/>
  <c r="C63" i="73" s="1"/>
  <c r="H62" i="73"/>
  <c r="I62" i="73" s="1"/>
  <c r="C62" i="73" s="1"/>
  <c r="H61" i="73"/>
  <c r="I61" i="73" s="1"/>
  <c r="C61" i="73" s="1"/>
  <c r="H60" i="73"/>
  <c r="I60" i="73" s="1"/>
  <c r="C60" i="73" s="1"/>
  <c r="H59" i="73"/>
  <c r="I59" i="73" s="1"/>
  <c r="C59" i="73" s="1"/>
  <c r="I55" i="73"/>
  <c r="J55" i="73" s="1"/>
  <c r="G55" i="73"/>
  <c r="H55" i="73" s="1"/>
  <c r="E55" i="73"/>
  <c r="F55" i="73" s="1"/>
  <c r="P50" i="73"/>
  <c r="P49" i="73"/>
  <c r="V48" i="73"/>
  <c r="T48" i="73"/>
  <c r="R48" i="73"/>
  <c r="P48" i="73"/>
  <c r="Q47" i="73"/>
  <c r="Z47" i="73" s="1"/>
  <c r="J47" i="73"/>
  <c r="AC47" i="73" s="1"/>
  <c r="Q46" i="73"/>
  <c r="Z46" i="73" s="1"/>
  <c r="J46" i="73"/>
  <c r="AC46" i="73" s="1"/>
  <c r="H46" i="73"/>
  <c r="AB46" i="73" s="1"/>
  <c r="F46" i="73"/>
  <c r="AA46" i="73" s="1"/>
  <c r="Q45" i="73"/>
  <c r="Z45" i="73" s="1"/>
  <c r="J45" i="73"/>
  <c r="AC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C40" i="73"/>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4" i="73"/>
  <c r="Z34" i="73" s="1"/>
  <c r="J34" i="73"/>
  <c r="AC34" i="73" s="1"/>
  <c r="H34" i="73"/>
  <c r="AB34" i="73" s="1"/>
  <c r="F34" i="73"/>
  <c r="AA34" i="73" s="1"/>
  <c r="Q33" i="73"/>
  <c r="Z33" i="73" s="1"/>
  <c r="J33" i="73"/>
  <c r="AC33" i="73" s="1"/>
  <c r="H33" i="73"/>
  <c r="AB33" i="73" s="1"/>
  <c r="F33" i="73"/>
  <c r="Q31" i="73"/>
  <c r="Z31" i="73" s="1"/>
  <c r="J31" i="73"/>
  <c r="AC31" i="73" s="1"/>
  <c r="H31" i="73"/>
  <c r="AB31" i="73" s="1"/>
  <c r="F31" i="73"/>
  <c r="AA31" i="73" s="1"/>
  <c r="Q29" i="73"/>
  <c r="Z29" i="73" s="1"/>
  <c r="J29" i="73"/>
  <c r="AC29" i="73" s="1"/>
  <c r="H29" i="73"/>
  <c r="AB29" i="73" s="1"/>
  <c r="F29" i="73"/>
  <c r="AA29" i="73" s="1"/>
  <c r="Z27" i="73"/>
  <c r="Q27" i="73"/>
  <c r="J27" i="73"/>
  <c r="H27" i="73"/>
  <c r="AB27" i="73" s="1"/>
  <c r="F27" i="73"/>
  <c r="AA27" i="73" s="1"/>
  <c r="Q25" i="73"/>
  <c r="Z25" i="73" s="1"/>
  <c r="J25" i="73"/>
  <c r="AC25" i="73" s="1"/>
  <c r="H25" i="73"/>
  <c r="AB25" i="73" s="1"/>
  <c r="F25" i="73"/>
  <c r="AA25" i="73" s="1"/>
  <c r="C25" i="73"/>
  <c r="Q23" i="73"/>
  <c r="Z23" i="73" s="1"/>
  <c r="J23" i="73"/>
  <c r="AC23" i="73" s="1"/>
  <c r="H23" i="73"/>
  <c r="AB23" i="73" s="1"/>
  <c r="F23" i="73"/>
  <c r="AA23" i="73" s="1"/>
  <c r="Q21" i="73"/>
  <c r="Z21" i="73" s="1"/>
  <c r="J21" i="73"/>
  <c r="AC21" i="73" s="1"/>
  <c r="H21" i="73"/>
  <c r="AB21" i="73" s="1"/>
  <c r="F21" i="73"/>
  <c r="AA21" i="73" s="1"/>
  <c r="Q19" i="73"/>
  <c r="Z19" i="73" s="1"/>
  <c r="J19" i="73"/>
  <c r="AC19" i="73" s="1"/>
  <c r="H19" i="73"/>
  <c r="AB19" i="73" s="1"/>
  <c r="F19" i="73"/>
  <c r="AA19" i="73" s="1"/>
  <c r="Q17" i="73"/>
  <c r="Z17" i="73" s="1"/>
  <c r="J17" i="73"/>
  <c r="AC17" i="73" s="1"/>
  <c r="F17" i="73"/>
  <c r="AA17" i="73" s="1"/>
  <c r="Q16" i="73"/>
  <c r="Z16" i="73" s="1"/>
  <c r="J16" i="73"/>
  <c r="AC16" i="73" s="1"/>
  <c r="H16" i="73"/>
  <c r="AB16" i="73" s="1"/>
  <c r="F16" i="73"/>
  <c r="AA16" i="73" s="1"/>
  <c r="Q15" i="73"/>
  <c r="Z15" i="73" s="1"/>
  <c r="J15" i="73"/>
  <c r="AC15" i="73" s="1"/>
  <c r="H15" i="73"/>
  <c r="AB15" i="73" s="1"/>
  <c r="F15" i="73"/>
  <c r="AA15" i="73" s="1"/>
  <c r="Q14" i="73"/>
  <c r="Z14" i="73" s="1"/>
  <c r="J14" i="73"/>
  <c r="AC14" i="73" s="1"/>
  <c r="H14" i="73"/>
  <c r="AB14" i="73" s="1"/>
  <c r="F14" i="73"/>
  <c r="AA14" i="73" s="1"/>
  <c r="Q13" i="73"/>
  <c r="Z13" i="73" s="1"/>
  <c r="Q12" i="73"/>
  <c r="Z12" i="73" s="1"/>
  <c r="Q11" i="73"/>
  <c r="Z11" i="73" s="1"/>
  <c r="J11" i="73"/>
  <c r="AC11" i="73" s="1"/>
  <c r="H11" i="73"/>
  <c r="AB11" i="73" s="1"/>
  <c r="F11" i="73"/>
  <c r="AA11" i="73" s="1"/>
  <c r="J10" i="73"/>
  <c r="AC10" i="73" s="1"/>
  <c r="H10" i="73"/>
  <c r="U10" i="73" s="1"/>
  <c r="F10" i="73"/>
  <c r="AA10" i="73" s="1"/>
  <c r="H17" i="73" l="1"/>
  <c r="AB17" i="73" s="1"/>
  <c r="S10" i="73"/>
  <c r="W10" i="73"/>
  <c r="F45" i="73"/>
  <c r="AA45" i="73" s="1"/>
  <c r="F47" i="73"/>
  <c r="AA47" i="73" s="1"/>
  <c r="J40" i="73"/>
  <c r="W40" i="73" s="1"/>
  <c r="AB10" i="73"/>
  <c r="S17" i="73"/>
  <c r="W17" i="73"/>
  <c r="S19" i="73"/>
  <c r="W19" i="73"/>
  <c r="U11" i="73"/>
  <c r="U14" i="73"/>
  <c r="S15" i="73"/>
  <c r="W15" i="73"/>
  <c r="U16" i="73"/>
  <c r="U19" i="73"/>
  <c r="U21" i="73"/>
  <c r="U23" i="73"/>
  <c r="U25" i="73"/>
  <c r="U27" i="73"/>
  <c r="U29" i="73"/>
  <c r="U31" i="73"/>
  <c r="S11" i="73"/>
  <c r="W11" i="73"/>
  <c r="S14" i="73"/>
  <c r="W14" i="73"/>
  <c r="U15" i="73"/>
  <c r="S16" i="73"/>
  <c r="W16" i="73"/>
  <c r="S21" i="73"/>
  <c r="W21" i="73"/>
  <c r="S23" i="73"/>
  <c r="W23" i="73"/>
  <c r="S25" i="73"/>
  <c r="W25" i="73"/>
  <c r="AC27" i="73"/>
  <c r="W27" i="73"/>
  <c r="S27" i="73"/>
  <c r="AA33" i="73"/>
  <c r="S33" i="73"/>
  <c r="S29" i="73"/>
  <c r="W29" i="73"/>
  <c r="S31" i="73"/>
  <c r="W31" i="73"/>
  <c r="U33" i="73"/>
  <c r="S34" i="73"/>
  <c r="W34" i="73"/>
  <c r="U36" i="73"/>
  <c r="S37" i="73"/>
  <c r="W37" i="73"/>
  <c r="U38" i="73"/>
  <c r="S39" i="73"/>
  <c r="W39" i="73"/>
  <c r="S41" i="73"/>
  <c r="W41" i="73"/>
  <c r="U42" i="73"/>
  <c r="S43" i="73"/>
  <c r="W43" i="73"/>
  <c r="U44" i="73"/>
  <c r="W45" i="73"/>
  <c r="U46" i="73"/>
  <c r="W47" i="73"/>
  <c r="W33" i="73"/>
  <c r="U34" i="73"/>
  <c r="S36" i="73"/>
  <c r="W36" i="73"/>
  <c r="U37" i="73"/>
  <c r="S38" i="73"/>
  <c r="W38" i="73"/>
  <c r="U39" i="73"/>
  <c r="F40" i="73"/>
  <c r="H40" i="73"/>
  <c r="U41" i="73"/>
  <c r="S42" i="73"/>
  <c r="W42" i="73"/>
  <c r="U43" i="73"/>
  <c r="S44" i="73"/>
  <c r="W44" i="73"/>
  <c r="U45" i="73"/>
  <c r="S46" i="73"/>
  <c r="W46" i="73"/>
  <c r="U47" i="73"/>
  <c r="U17" i="73" l="1"/>
  <c r="S45" i="73"/>
  <c r="S47" i="73"/>
  <c r="AC40" i="73"/>
  <c r="AA40" i="73"/>
  <c r="S40" i="73"/>
  <c r="AB40" i="73"/>
  <c r="U40" i="73"/>
  <c r="E9" i="6"/>
  <c r="G21" i="6"/>
  <c r="C11" i="4"/>
  <c r="B5" i="4"/>
  <c r="G6" i="21"/>
  <c r="G33" i="21"/>
  <c r="G11" i="21"/>
  <c r="G5" i="21"/>
  <c r="I7" i="21" l="1"/>
  <c r="G7" i="21"/>
  <c r="E77" i="39"/>
  <c r="D77" i="39"/>
  <c r="E40" i="39"/>
  <c r="E9" i="39"/>
  <c r="E7" i="39"/>
  <c r="C40" i="39"/>
  <c r="I40" i="39"/>
  <c r="G40" i="39"/>
  <c r="I9" i="39"/>
  <c r="G9" i="39"/>
  <c r="I7" i="39"/>
  <c r="G7" i="39"/>
  <c r="D73" i="39"/>
  <c r="E73" i="39" s="1"/>
  <c r="F73" i="39" s="1"/>
  <c r="G73" i="39" s="1"/>
  <c r="H73" i="39" s="1"/>
  <c r="I73" i="39" s="1"/>
  <c r="J73" i="39" s="1"/>
  <c r="K73" i="39" s="1"/>
  <c r="L73" i="39" s="1"/>
  <c r="M73" i="39" s="1"/>
  <c r="N73" i="39" s="1"/>
  <c r="Q73" i="69" l="1"/>
  <c r="Q60" i="69"/>
  <c r="D60" i="69"/>
  <c r="Q59" i="69"/>
  <c r="K59" i="69"/>
  <c r="P75" i="69" s="1"/>
  <c r="F58" i="69"/>
  <c r="Q52" i="69"/>
  <c r="J50" i="69"/>
  <c r="M47" i="69"/>
  <c r="F33" i="69"/>
  <c r="F60" i="69" s="1"/>
  <c r="F31" i="69"/>
  <c r="F23" i="69"/>
  <c r="D24" i="69" s="1"/>
  <c r="D23" i="69"/>
  <c r="D22" i="69"/>
  <c r="F21" i="69"/>
  <c r="F20" i="69"/>
  <c r="M19" i="69"/>
  <c r="F18" i="69"/>
  <c r="M17" i="69"/>
  <c r="F17" i="69"/>
  <c r="F15" i="69"/>
  <c r="F20" i="6"/>
  <c r="F19" i="6"/>
  <c r="Q72" i="68"/>
  <c r="Q59" i="68"/>
  <c r="K59" i="68"/>
  <c r="P74" i="68" s="1"/>
  <c r="J51" i="69" l="1"/>
  <c r="P62" i="69"/>
  <c r="P61" i="68"/>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J15" i="68"/>
  <c r="F36" i="68"/>
  <c r="F9" i="68"/>
  <c r="M26" i="68"/>
  <c r="F40" i="68"/>
  <c r="F16" i="68"/>
  <c r="M28" i="68"/>
  <c r="F38" i="68"/>
  <c r="M23" i="68"/>
  <c r="C76" i="68"/>
  <c r="F6" i="68"/>
  <c r="M24" i="68"/>
  <c r="F37" i="68"/>
  <c r="M9" i="68"/>
  <c r="F13" i="68"/>
  <c r="F26" i="68"/>
  <c r="M22" i="68"/>
  <c r="F42" i="68"/>
  <c r="F8" i="68"/>
  <c r="M8"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E14" i="67"/>
  <c r="B9" i="67"/>
  <c r="B8" i="67"/>
  <c r="E10" i="67"/>
  <c r="B12" i="67"/>
  <c r="F10" i="67"/>
  <c r="B11" i="67"/>
  <c r="F11" i="67"/>
  <c r="F13" i="67"/>
  <c r="F12" i="67"/>
  <c r="F9" i="67"/>
  <c r="F14" i="67"/>
  <c r="E12" i="67"/>
  <c r="E9" i="67"/>
  <c r="E11" i="67"/>
  <c r="E13" i="67"/>
  <c r="B10" i="67"/>
  <c r="E8" i="67"/>
  <c r="F8" i="67"/>
  <c r="B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4" i="65"/>
  <c r="N3" i="65"/>
  <c r="N5" i="65"/>
  <c r="N6" i="65"/>
  <c r="J7" i="65"/>
  <c r="C4" i="65" l="1"/>
  <c r="B39" i="1" s="1"/>
  <c r="I5" i="65"/>
  <c r="I4" i="65"/>
  <c r="J6" i="65"/>
  <c r="I3" i="65"/>
  <c r="I6" i="65"/>
  <c r="J4" i="65"/>
  <c r="J5" i="65"/>
  <c r="J3" i="65"/>
  <c r="I7" i="65"/>
  <c r="F11" i="69" l="1"/>
  <c r="M11" i="69"/>
  <c r="J10" i="69" s="1"/>
  <c r="E20" i="46"/>
  <c r="J1" i="65"/>
  <c r="M5" i="54"/>
  <c r="A23" i="51"/>
  <c r="E3" i="65"/>
  <c r="C52" i="69"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Q12" i="59"/>
  <c r="AB12" i="59" s="1"/>
  <c r="P12" i="59"/>
  <c r="O12" i="59"/>
  <c r="Y12" i="59" s="1"/>
  <c r="Z12" i="59" s="1"/>
  <c r="N12" i="59"/>
  <c r="X12" i="59" s="1"/>
  <c r="Q11" i="59"/>
  <c r="AB11" i="59" s="1"/>
  <c r="P11" i="59"/>
  <c r="AA11" i="59" s="1"/>
  <c r="O11" i="59"/>
  <c r="Y11" i="59" s="1"/>
  <c r="Z11" i="59" s="1"/>
  <c r="N11" i="59"/>
  <c r="X11" i="59" s="1"/>
  <c r="Q10" i="59"/>
  <c r="P10" i="59"/>
  <c r="AA10" i="59" s="1"/>
  <c r="O10" i="59"/>
  <c r="N10" i="59"/>
  <c r="D10" i="59"/>
  <c r="AA12" i="59" l="1"/>
  <c r="X13" i="59"/>
  <c r="AB16" i="59"/>
  <c r="Y17" i="59"/>
  <c r="Z17" i="59" s="1"/>
  <c r="B11" i="59"/>
  <c r="X10" i="59"/>
  <c r="AA13" i="59"/>
  <c r="C15" i="59"/>
  <c r="Y14" i="59"/>
  <c r="Z14" i="59" s="1"/>
  <c r="F15" i="59"/>
  <c r="AB14" i="59"/>
  <c r="AB17" i="59"/>
  <c r="B19" i="59"/>
  <c r="B20" i="59" s="1"/>
  <c r="B21" i="59" s="1"/>
  <c r="S21" i="59" s="1"/>
  <c r="X18" i="59"/>
  <c r="E19" i="59"/>
  <c r="E20" i="59" s="1"/>
  <c r="E21" i="59" s="1"/>
  <c r="U21" i="59" s="1"/>
  <c r="AA18" i="59"/>
  <c r="B9" i="59"/>
  <c r="X5" i="59"/>
  <c r="E9" i="59"/>
  <c r="AA5"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l="1"/>
  <c r="C31" i="73"/>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7" i="73"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6" i="44"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2" i="36"/>
  <c r="U26" i="36"/>
  <c r="AC31" i="36"/>
  <c r="J33" i="36"/>
  <c r="W33" i="36" s="1"/>
  <c r="AC27" i="35"/>
  <c r="U31" i="35"/>
  <c r="W36" i="35"/>
  <c r="S31" i="35"/>
  <c r="W31" i="35"/>
  <c r="U34" i="35"/>
  <c r="F36" i="34"/>
  <c r="S36" i="34" s="1"/>
  <c r="S34" i="34"/>
  <c r="W39" i="34"/>
  <c r="H39" i="33"/>
  <c r="AB39" i="33" s="1"/>
  <c r="F26" i="33"/>
  <c r="AA26" i="33" s="1"/>
  <c r="U9" i="33"/>
  <c r="U33" i="33"/>
  <c r="W38" i="33"/>
  <c r="S40" i="33"/>
  <c r="S33" i="33"/>
  <c r="W33" i="33"/>
  <c r="U38" i="33"/>
  <c r="S8" i="21"/>
  <c r="H39" i="37"/>
  <c r="AB39" i="37" s="1"/>
  <c r="AB27" i="35"/>
  <c r="S10" i="40"/>
  <c r="W10" i="40"/>
  <c r="S11" i="40"/>
  <c r="U11" i="40"/>
  <c r="S36" i="40"/>
  <c r="U36" i="40"/>
  <c r="S36" i="39"/>
  <c r="AA38" i="21"/>
  <c r="C29" i="39"/>
  <c r="C23" i="39"/>
  <c r="U36" i="39"/>
  <c r="S42" i="39"/>
  <c r="H32" i="33"/>
  <c r="AB32" i="33" s="1"/>
  <c r="F86" i="40"/>
  <c r="G86" i="40"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40" i="33"/>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S46" i="21"/>
  <c r="AC30" i="21"/>
  <c r="W30" i="21"/>
  <c r="AB30" i="21"/>
  <c r="S28" i="21"/>
  <c r="AA28" i="21"/>
  <c r="AB14" i="21"/>
  <c r="W14" i="21"/>
  <c r="AC14" i="21"/>
  <c r="W31" i="34"/>
  <c r="U36" i="37"/>
  <c r="AC13" i="36"/>
  <c r="AB45" i="33"/>
  <c r="AB27" i="33"/>
  <c r="AC28" i="33"/>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S27" i="37"/>
  <c r="U39" i="37"/>
  <c r="AC8" i="37"/>
  <c r="S25" i="37"/>
  <c r="AC36" i="34"/>
  <c r="AB8" i="34"/>
  <c r="AC37" i="33"/>
  <c r="AA13" i="33"/>
  <c r="AC45" i="33"/>
  <c r="AA36" i="21"/>
  <c r="S39" i="33"/>
  <c r="F43" i="33"/>
  <c r="AA43" i="33" s="1"/>
  <c r="AA23" i="37"/>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AZ376" i="3" s="1"/>
  <c r="BA377" i="3"/>
  <c r="AZ377" i="3" s="1"/>
  <c r="BL377" i="3"/>
  <c r="G378" i="3"/>
  <c r="BA379" i="3"/>
  <c r="BA114" i="3"/>
  <c r="AZ114" i="3" s="1"/>
  <c r="BL115" i="3"/>
  <c r="G116" i="3"/>
  <c r="BA118" i="3"/>
  <c r="BL119" i="3"/>
  <c r="AZ119" i="3" s="1"/>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43" i="3"/>
  <c r="AZ51"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0" i="3"/>
  <c r="AZ78" i="3"/>
  <c r="AZ185"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AZ331" i="3" s="1"/>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BA381" i="3"/>
  <c r="AZ381" i="3" s="1"/>
  <c r="BL381" i="3"/>
  <c r="G382" i="3"/>
  <c r="G385" i="3"/>
  <c r="AZ154" i="3"/>
  <c r="AZ170" i="3"/>
  <c r="AZ179" i="3"/>
  <c r="AZ183" i="3"/>
  <c r="AZ191" i="3"/>
  <c r="AZ199" i="3"/>
  <c r="AZ203"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AZ353" i="3" s="1"/>
  <c r="G354" i="3"/>
  <c r="BA356" i="3"/>
  <c r="AZ356" i="3" s="1"/>
  <c r="BL357" i="3"/>
  <c r="AZ357" i="3" s="1"/>
  <c r="G358" i="3"/>
  <c r="BA362" i="3"/>
  <c r="AZ362" i="3" s="1"/>
  <c r="BL363" i="3"/>
  <c r="G364" i="3"/>
  <c r="BA366" i="3"/>
  <c r="BL367" i="3"/>
  <c r="AZ367" i="3" s="1"/>
  <c r="AZ205" i="3"/>
  <c r="AZ209" i="3"/>
  <c r="AZ221" i="3"/>
  <c r="AZ225" i="3"/>
  <c r="AZ237" i="3"/>
  <c r="AZ241" i="3"/>
  <c r="AZ321" i="3"/>
  <c r="AZ341" i="3"/>
  <c r="AZ363" i="3"/>
  <c r="G368" i="3"/>
  <c r="BA370" i="3"/>
  <c r="AZ370" i="3" s="1"/>
  <c r="BL371" i="3"/>
  <c r="G372" i="3"/>
  <c r="BA374" i="3"/>
  <c r="AZ374" i="3" s="1"/>
  <c r="BL375" i="3"/>
  <c r="G376" i="3"/>
  <c r="BA378" i="3"/>
  <c r="BL379" i="3"/>
  <c r="AZ379" i="3" s="1"/>
  <c r="G380" i="3"/>
  <c r="BA382" i="3"/>
  <c r="AZ382" i="3" s="1"/>
  <c r="BL383" i="3"/>
  <c r="G384" i="3"/>
  <c r="AZ253" i="3"/>
  <c r="AZ257" i="3"/>
  <c r="AZ383" i="3"/>
  <c r="AZ274" i="3"/>
  <c r="AZ278" i="3"/>
  <c r="AZ290" i="3"/>
  <c r="AZ295" i="3"/>
  <c r="AZ303" i="3"/>
  <c r="AZ313" i="3"/>
  <c r="AZ319" i="3"/>
  <c r="AZ335" i="3"/>
  <c r="AZ347" i="3"/>
  <c r="AZ351" i="3"/>
  <c r="AZ361" i="3"/>
  <c r="AZ369" i="3"/>
  <c r="AZ394" i="3"/>
  <c r="AZ410" i="3"/>
  <c r="AZ418" i="3"/>
  <c r="AZ426" i="3"/>
  <c r="AZ430" i="3"/>
  <c r="AZ450" i="3"/>
  <c r="AZ455" i="3"/>
  <c r="AZ467" i="3"/>
  <c r="AZ471"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W9" i="21"/>
  <c r="J32" i="21"/>
  <c r="AC32" i="21" s="1"/>
  <c r="F17" i="21"/>
  <c r="S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J17" i="39"/>
  <c r="W17" i="39" s="1"/>
  <c r="F21" i="39"/>
  <c r="S21" i="39" s="1"/>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B5"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407" i="3"/>
  <c r="AZ423" i="3"/>
  <c r="AZ439" i="3"/>
  <c r="AZ454" i="3"/>
  <c r="B41" i="1"/>
  <c r="J42" i="40"/>
  <c r="AC42" i="40" s="1"/>
  <c r="J40" i="40"/>
  <c r="AC40" i="40" s="1"/>
  <c r="J34" i="40"/>
  <c r="AC34" i="40" s="1"/>
  <c r="H16" i="40"/>
  <c r="AB16" i="40" s="1"/>
  <c r="H14" i="40"/>
  <c r="U14" i="40" s="1"/>
  <c r="F32" i="40"/>
  <c r="AA32" i="40" s="1"/>
  <c r="AZ428" i="3"/>
  <c r="AZ449" i="3"/>
  <c r="AZ452" i="3"/>
  <c r="M1" i="46"/>
  <c r="M6" i="46"/>
  <c r="M10" i="46"/>
  <c r="N2" i="46"/>
  <c r="N5" i="46"/>
  <c r="F58" i="46" s="1"/>
  <c r="F47" i="46"/>
  <c r="H49" i="46" s="1"/>
  <c r="N7" i="46"/>
  <c r="AZ456" i="3"/>
  <c r="AZ458" i="3"/>
  <c r="AZ469" i="3"/>
  <c r="AZ474" i="3"/>
  <c r="AZ207" i="3"/>
  <c r="AZ212" i="3"/>
  <c r="AZ223" i="3"/>
  <c r="AZ228" i="3"/>
  <c r="AZ239" i="3"/>
  <c r="AZ244" i="3"/>
  <c r="AZ255" i="3"/>
  <c r="AZ260" i="3"/>
  <c r="AZ273" i="3"/>
  <c r="AZ276" i="3"/>
  <c r="AZ289" i="3"/>
  <c r="AZ292" i="3"/>
  <c r="AZ124" i="3"/>
  <c r="AZ140" i="3"/>
  <c r="AZ152" i="3"/>
  <c r="M7" i="46"/>
  <c r="M11" i="46"/>
  <c r="N3" i="46"/>
  <c r="N6" i="46"/>
  <c r="N10" i="46"/>
  <c r="AZ164" i="3"/>
  <c r="AZ177" i="3"/>
  <c r="AZ24" i="3"/>
  <c r="AZ40" i="3"/>
  <c r="AZ56" i="3"/>
  <c r="AZ63" i="3"/>
  <c r="AZ71" i="3"/>
  <c r="AZ91" i="3"/>
  <c r="AZ107"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W14" i="39"/>
  <c r="U23" i="35"/>
  <c r="AB23" i="35"/>
  <c r="H20" i="35"/>
  <c r="U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F25" i="40"/>
  <c r="AA25" i="40" s="1"/>
  <c r="J11" i="33"/>
  <c r="W11" i="33" s="1"/>
  <c r="H33" i="37"/>
  <c r="AB33" i="37" s="1"/>
  <c r="W15" i="34"/>
  <c r="AC15" i="34"/>
  <c r="AB20" i="35"/>
  <c r="W23" i="40"/>
  <c r="D73" i="9"/>
  <c r="N73" i="9" s="1"/>
  <c r="AP11" i="1"/>
  <c r="J51" i="15"/>
  <c r="B11" i="1"/>
  <c r="E11" i="1" s="1"/>
  <c r="K11" i="1"/>
  <c r="M11" i="1" s="1"/>
  <c r="B9" i="1"/>
  <c r="E9" i="1" s="1"/>
  <c r="K9" i="1"/>
  <c r="M9" i="1" s="1"/>
  <c r="B7" i="1"/>
  <c r="E7" i="1" s="1"/>
  <c r="K7" i="1"/>
  <c r="M7" i="1" s="1"/>
  <c r="O7" i="1" s="1"/>
  <c r="P7" i="1" s="1"/>
  <c r="C20" i="43"/>
  <c r="E2" i="65"/>
  <c r="L47" i="68"/>
  <c r="H17" i="21" l="1"/>
  <c r="AB17" i="21" s="1"/>
  <c r="H42" i="21"/>
  <c r="AB42" i="21" s="1"/>
  <c r="AZ490" i="3"/>
  <c r="AZ507" i="3"/>
  <c r="AZ517" i="3"/>
  <c r="AZ539" i="3"/>
  <c r="H29" i="39"/>
  <c r="U29" i="39" s="1"/>
  <c r="AZ378" i="3"/>
  <c r="AZ352" i="3"/>
  <c r="AZ344" i="3"/>
  <c r="AZ314" i="3"/>
  <c r="AZ304" i="3"/>
  <c r="AZ360" i="3"/>
  <c r="AZ492" i="3"/>
  <c r="AZ544" i="3"/>
  <c r="BA570" i="3"/>
  <c r="AZ570" i="3" s="1"/>
  <c r="BI5" i="3"/>
  <c r="BG5" i="3"/>
  <c r="B69" i="46"/>
  <c r="C17" i="73"/>
  <c r="B58" i="46"/>
  <c r="C21" i="73"/>
  <c r="B76" i="46"/>
  <c r="C27" i="73"/>
  <c r="B65" i="63"/>
  <c r="A14" i="55"/>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AZ429" i="3" s="1"/>
  <c r="BL431" i="3"/>
  <c r="AZ431" i="3" s="1"/>
  <c r="BA432" i="3"/>
  <c r="AZ432" i="3" s="1"/>
  <c r="BA433" i="3"/>
  <c r="AZ433" i="3" s="1"/>
  <c r="BA434" i="3"/>
  <c r="AZ434" i="3" s="1"/>
  <c r="BA436" i="3"/>
  <c r="AZ436" i="3" s="1"/>
  <c r="BL438" i="3"/>
  <c r="AZ438"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BA317" i="3"/>
  <c r="AZ317" i="3" s="1"/>
  <c r="BL318" i="3"/>
  <c r="G320" i="3"/>
  <c r="G331" i="3"/>
  <c r="BA333" i="3"/>
  <c r="AZ333" i="3" s="1"/>
  <c r="BL334" i="3"/>
  <c r="G336" i="3"/>
  <c r="G347" i="3"/>
  <c r="BA349" i="3"/>
  <c r="AZ349" i="3" s="1"/>
  <c r="BL350" i="3"/>
  <c r="G352" i="3"/>
  <c r="BL360" i="3"/>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AZ502" i="3"/>
  <c r="AZ550" i="3"/>
  <c r="AZ562" i="3"/>
  <c r="AZ569" i="3"/>
  <c r="AB31" i="33"/>
  <c r="S46" i="33"/>
  <c r="AC40" i="21"/>
  <c r="W8" i="21"/>
  <c r="BF5" i="3"/>
  <c r="B47" i="46"/>
  <c r="C19" i="73"/>
  <c r="B70" i="46"/>
  <c r="C23" i="73"/>
  <c r="B73" i="46"/>
  <c r="C29" i="73"/>
  <c r="H9" i="34"/>
  <c r="H12" i="36"/>
  <c r="U12" i="36" s="1"/>
  <c r="J23" i="36"/>
  <c r="G568" i="3"/>
  <c r="G553" i="3"/>
  <c r="G548" i="3"/>
  <c r="G541" i="3"/>
  <c r="G533" i="3"/>
  <c r="G527" i="3"/>
  <c r="G519" i="3"/>
  <c r="G509" i="3"/>
  <c r="G503" i="3"/>
  <c r="G495" i="3"/>
  <c r="G486" i="3"/>
  <c r="J52" i="40"/>
  <c r="AZ393" i="3"/>
  <c r="AZ406" i="3"/>
  <c r="AZ409" i="3"/>
  <c r="AZ412" i="3"/>
  <c r="AZ419" i="3"/>
  <c r="AZ425"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L146" i="3"/>
  <c r="AZ146" i="3" s="1"/>
  <c r="G149" i="3"/>
  <c r="BL149" i="3"/>
  <c r="BA151" i="3"/>
  <c r="AZ151" i="3" s="1"/>
  <c r="G154" i="3"/>
  <c r="G157" i="3"/>
  <c r="G160" i="3"/>
  <c r="BL160" i="3"/>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BA57" i="3"/>
  <c r="AZ57" i="3" s="1"/>
  <c r="BL59" i="3"/>
  <c r="AZ59" i="3" s="1"/>
  <c r="BA60" i="3"/>
  <c r="AZ60" i="3" s="1"/>
  <c r="G63" i="3"/>
  <c r="G64" i="3"/>
  <c r="BL64" i="3"/>
  <c r="AZ64" i="3" s="1"/>
  <c r="BA65" i="3"/>
  <c r="AZ65" i="3" s="1"/>
  <c r="BA66" i="3"/>
  <c r="AZ66" i="3" s="1"/>
  <c r="G70" i="3"/>
  <c r="G71" i="3"/>
  <c r="G72" i="3"/>
  <c r="BL72" i="3"/>
  <c r="BA73" i="3"/>
  <c r="AZ73" i="3" s="1"/>
  <c r="BA74" i="3"/>
  <c r="AZ74" i="3" s="1"/>
  <c r="G77" i="3"/>
  <c r="BL77" i="3"/>
  <c r="AZ77" i="3" s="1"/>
  <c r="BL79" i="3"/>
  <c r="AZ79" i="3" s="1"/>
  <c r="BA80" i="3"/>
  <c r="AZ80" i="3" s="1"/>
  <c r="BL82" i="3"/>
  <c r="AZ82" i="3" s="1"/>
  <c r="BA83" i="3"/>
  <c r="AZ83" i="3" s="1"/>
  <c r="BA84" i="3"/>
  <c r="AZ84" i="3" s="1"/>
  <c r="BL86" i="3"/>
  <c r="AZ86" i="3" s="1"/>
  <c r="BA87" i="3"/>
  <c r="AZ87" i="3" s="1"/>
  <c r="G90" i="3"/>
  <c r="G91" i="3"/>
  <c r="G92" i="3"/>
  <c r="BL92" i="3"/>
  <c r="BA93" i="3"/>
  <c r="AZ93" i="3" s="1"/>
  <c r="BA94" i="3"/>
  <c r="AZ94" i="3" s="1"/>
  <c r="G97" i="3"/>
  <c r="BL97" i="3"/>
  <c r="BL99" i="3"/>
  <c r="AZ99" i="3" s="1"/>
  <c r="BA100" i="3"/>
  <c r="AZ100" i="3" s="1"/>
  <c r="BL102" i="3"/>
  <c r="AZ102" i="3" s="1"/>
  <c r="BA103" i="3"/>
  <c r="AZ103" i="3" s="1"/>
  <c r="G106" i="3"/>
  <c r="G107" i="3"/>
  <c r="G108" i="3"/>
  <c r="BL108" i="3"/>
  <c r="BA109" i="3"/>
  <c r="AZ109" i="3" s="1"/>
  <c r="BA110" i="3"/>
  <c r="AZ110" i="3" s="1"/>
  <c r="BL112" i="3"/>
  <c r="AZ112" i="3" s="1"/>
  <c r="K12" i="1"/>
  <c r="M12" i="1" s="1"/>
  <c r="C42" i="1"/>
  <c r="C9" i="73"/>
  <c r="C70" i="73" s="1"/>
  <c r="AZ72" i="3"/>
  <c r="AZ92" i="3"/>
  <c r="AZ97" i="3"/>
  <c r="AZ108" i="3"/>
  <c r="E26" i="57"/>
  <c r="I10" i="57"/>
  <c r="AA32" i="21"/>
  <c r="AB44" i="21"/>
  <c r="S45" i="21"/>
  <c r="U46" i="21"/>
  <c r="C18" i="9"/>
  <c r="U19" i="21"/>
  <c r="U17" i="21"/>
  <c r="G1" i="69"/>
  <c r="F34" i="15"/>
  <c r="F61" i="15" s="1"/>
  <c r="M20" i="69"/>
  <c r="F34" i="69"/>
  <c r="F61" i="69" s="1"/>
  <c r="S40" i="39"/>
  <c r="A2" i="55"/>
  <c r="B55" i="63" s="1"/>
  <c r="A11" i="55"/>
  <c r="B62" i="63" s="1"/>
  <c r="BL13" i="3"/>
  <c r="G13" i="3"/>
  <c r="M8" i="1"/>
  <c r="O8" i="1" s="1"/>
  <c r="P8" i="1" s="1"/>
  <c r="H113" i="21"/>
  <c r="J37" i="21"/>
  <c r="W37" i="21" s="1"/>
  <c r="H37" i="21"/>
  <c r="U37" i="21" s="1"/>
  <c r="F37" i="21"/>
  <c r="S37" i="21" s="1"/>
  <c r="AC35" i="21"/>
  <c r="U43" i="21"/>
  <c r="U42" i="21"/>
  <c r="W42" i="21"/>
  <c r="AA40" i="21"/>
  <c r="U40" i="21"/>
  <c r="AB36" i="21"/>
  <c r="U39" i="21"/>
  <c r="U28" i="21"/>
  <c r="AB31" i="21"/>
  <c r="S10" i="21"/>
  <c r="U9" i="21"/>
  <c r="H17" i="39"/>
  <c r="U17" i="39" s="1"/>
  <c r="AA19" i="39"/>
  <c r="G10" i="1"/>
  <c r="F8" i="1"/>
  <c r="G8" i="1" s="1"/>
  <c r="G12" i="1"/>
  <c r="U27" i="39"/>
  <c r="U19" i="39"/>
  <c r="AB29" i="39"/>
  <c r="W27" i="39"/>
  <c r="S23" i="39"/>
  <c r="S17" i="39"/>
  <c r="U34" i="39"/>
  <c r="AC33" i="39"/>
  <c r="W15" i="39"/>
  <c r="AC43" i="39"/>
  <c r="AB25" i="39"/>
  <c r="F32" i="69"/>
  <c r="F28" i="69"/>
  <c r="C28" i="69" s="1"/>
  <c r="M18" i="69"/>
  <c r="AB16" i="39"/>
  <c r="AC5" i="3"/>
  <c r="L59" i="68"/>
  <c r="N59" i="68"/>
  <c r="M59" i="68"/>
  <c r="S17" i="34"/>
  <c r="AC36" i="33"/>
  <c r="AZ323" i="3"/>
  <c r="AA12" i="21"/>
  <c r="S12" i="21"/>
  <c r="AC9" i="34"/>
  <c r="W9" i="34"/>
  <c r="AA31" i="33"/>
  <c r="S31" i="33"/>
  <c r="AC23" i="35"/>
  <c r="W23" i="35"/>
  <c r="AZ396" i="3"/>
  <c r="AZ520" i="3"/>
  <c r="S9" i="21"/>
  <c r="AA9" i="21"/>
  <c r="AC24" i="35"/>
  <c r="W24" i="35"/>
  <c r="W24" i="36"/>
  <c r="AC24" i="36"/>
  <c r="AC39" i="37"/>
  <c r="W39" i="37"/>
  <c r="AZ389" i="3"/>
  <c r="AZ404" i="3"/>
  <c r="AZ416" i="3"/>
  <c r="AZ421" i="3"/>
  <c r="AZ435" i="3"/>
  <c r="U12" i="37"/>
  <c r="AC23" i="37"/>
  <c r="AC41" i="34"/>
  <c r="AA27" i="33"/>
  <c r="AB13" i="21"/>
  <c r="U30" i="33"/>
  <c r="AB13" i="35"/>
  <c r="AA38" i="37"/>
  <c r="AC34" i="36"/>
  <c r="H5" i="3"/>
  <c r="F9" i="34"/>
  <c r="AA9" i="34" s="1"/>
  <c r="J9" i="35"/>
  <c r="W9" i="35" s="1"/>
  <c r="F34" i="35"/>
  <c r="H24" i="36"/>
  <c r="J25" i="37"/>
  <c r="C92" i="9"/>
  <c r="A30" i="51"/>
  <c r="A30" i="64"/>
  <c r="AZ437" i="3"/>
  <c r="AZ443" i="3"/>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9" i="3"/>
  <c r="AZ160" i="3"/>
  <c r="AZ163" i="3"/>
  <c r="AZ176" i="3"/>
  <c r="AZ182" i="3"/>
  <c r="AZ190" i="3"/>
  <c r="AZ198" i="3"/>
  <c r="AZ204" i="3"/>
  <c r="AZ26" i="3"/>
  <c r="AZ29" i="3"/>
  <c r="AZ36" i="3"/>
  <c r="AZ42" i="3"/>
  <c r="AZ45" i="3"/>
  <c r="AZ52" i="3"/>
  <c r="AZ58" i="3"/>
  <c r="AZ61" i="3"/>
  <c r="AZ67" i="3"/>
  <c r="G22" i="3"/>
  <c r="AZ68" i="3"/>
  <c r="AZ75" i="3"/>
  <c r="AZ81" i="3"/>
  <c r="AZ85" i="3"/>
  <c r="AZ88" i="3"/>
  <c r="AZ95" i="3"/>
  <c r="AZ101" i="3"/>
  <c r="AZ104" i="3"/>
  <c r="AZ111" i="3"/>
  <c r="AZ22"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E58" i="73"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B73" i="73" s="1"/>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2" i="69"/>
  <c r="F8" i="69"/>
  <c r="F40" i="69"/>
  <c r="F28" i="44"/>
  <c r="M24" i="69"/>
  <c r="M30" i="44"/>
  <c r="F15" i="44"/>
  <c r="F9" i="44"/>
  <c r="M28" i="44"/>
  <c r="M27" i="69"/>
  <c r="F39" i="44"/>
  <c r="L48" i="68"/>
  <c r="J36" i="69"/>
  <c r="F7" i="69"/>
  <c r="M29" i="68"/>
  <c r="M31" i="44"/>
  <c r="F38" i="69"/>
  <c r="L48" i="69"/>
  <c r="F6" i="69"/>
  <c r="F36" i="69"/>
  <c r="M26" i="44"/>
  <c r="L47" i="69"/>
  <c r="F7" i="68"/>
  <c r="F37" i="69"/>
  <c r="F43" i="68"/>
  <c r="M28" i="69"/>
  <c r="F43" i="44"/>
  <c r="F45" i="44"/>
  <c r="M9" i="69"/>
  <c r="M29" i="15"/>
  <c r="F6" i="15"/>
  <c r="M8" i="69"/>
  <c r="F31" i="68"/>
  <c r="M29" i="69"/>
  <c r="F42" i="15"/>
  <c r="J17" i="44"/>
  <c r="M9" i="15"/>
  <c r="L48" i="44"/>
  <c r="F8" i="15"/>
  <c r="M25" i="44"/>
  <c r="F13" i="69"/>
  <c r="M24" i="15"/>
  <c r="J15" i="69"/>
  <c r="F8" i="44"/>
  <c r="F37" i="15"/>
  <c r="M6" i="69"/>
  <c r="L49" i="44"/>
  <c r="F11" i="44"/>
  <c r="F40" i="44"/>
  <c r="J36" i="15"/>
  <c r="F26" i="15"/>
  <c r="F38" i="44"/>
  <c r="M10" i="44"/>
  <c r="M22" i="69"/>
  <c r="F9" i="69"/>
  <c r="F43" i="69"/>
  <c r="F10" i="44"/>
  <c r="F16" i="69"/>
  <c r="F26" i="69"/>
  <c r="M23" i="69"/>
  <c r="M24" i="44"/>
  <c r="M26" i="69"/>
  <c r="F36" i="15"/>
  <c r="L48" i="15"/>
  <c r="F18" i="44"/>
  <c r="M8" i="44"/>
  <c r="L47" i="15"/>
  <c r="F7" i="15"/>
  <c r="M11" i="44"/>
  <c r="F40" i="15"/>
  <c r="AB17" i="39" l="1"/>
  <c r="C72" i="73"/>
  <c r="D70" i="73"/>
  <c r="B73" i="39"/>
  <c r="AC23" i="36"/>
  <c r="W23" i="36"/>
  <c r="AB9" i="34"/>
  <c r="U9" i="34"/>
  <c r="AC23" i="21"/>
  <c r="AA15" i="21"/>
  <c r="F63" i="69"/>
  <c r="F67" i="69"/>
  <c r="Q72" i="69"/>
  <c r="C27" i="69"/>
  <c r="F64" i="69"/>
  <c r="F65" i="69"/>
  <c r="C10" i="69"/>
  <c r="C6" i="69"/>
  <c r="F50" i="69"/>
  <c r="F70" i="69"/>
  <c r="M7" i="69"/>
  <c r="J6" i="69" s="1"/>
  <c r="J5" i="69" s="1"/>
  <c r="J18" i="69" s="1"/>
  <c r="F49" i="69"/>
  <c r="L59" i="69"/>
  <c r="Q62" i="69" s="1"/>
  <c r="L56" i="69"/>
  <c r="J60" i="69"/>
  <c r="Q49" i="69" s="1"/>
  <c r="J57" i="69"/>
  <c r="J55" i="69" s="1"/>
  <c r="J58" i="69" s="1"/>
  <c r="Q51" i="69" s="1"/>
  <c r="L58" i="69"/>
  <c r="Q61" i="69" s="1"/>
  <c r="J53" i="69"/>
  <c r="Q53" i="69" s="1"/>
  <c r="J59" i="69"/>
  <c r="I54" i="69"/>
  <c r="Q74" i="69"/>
  <c r="F59" i="69"/>
  <c r="C24" i="69"/>
  <c r="F71" i="68"/>
  <c r="F50" i="68"/>
  <c r="M7" i="68"/>
  <c r="C6" i="68"/>
  <c r="C5" i="68" s="1"/>
  <c r="L56" i="68"/>
  <c r="I54" i="68"/>
  <c r="J57" i="68"/>
  <c r="J55" i="68" s="1"/>
  <c r="J58" i="68" s="1"/>
  <c r="Q50" i="68" s="1"/>
  <c r="L58" i="68"/>
  <c r="M6" i="1"/>
  <c r="C15" i="43" s="1"/>
  <c r="AB24" i="36"/>
  <c r="U24" i="36"/>
  <c r="C16" i="46"/>
  <c r="C5" i="46" s="1"/>
  <c r="AP6" i="1"/>
  <c r="W25" i="37"/>
  <c r="AC25" i="37"/>
  <c r="AA34" i="35"/>
  <c r="S34" i="35"/>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BA5" i="3"/>
  <c r="E27" i="6" s="1"/>
  <c r="AZ13" i="3"/>
  <c r="G29" i="6"/>
  <c r="G30" i="6" s="1"/>
  <c r="G31" i="6" s="1"/>
  <c r="AZ16" i="3"/>
  <c r="E14" i="6"/>
  <c r="E66" i="73" s="1"/>
  <c r="E10" i="6"/>
  <c r="E15" i="6"/>
  <c r="E67" i="73" s="1"/>
  <c r="H16" i="1"/>
  <c r="G16" i="1"/>
  <c r="F30" i="6"/>
  <c r="E28" i="6"/>
  <c r="E13" i="6"/>
  <c r="E65" i="73" s="1"/>
  <c r="E11" i="6"/>
  <c r="E63" i="73" s="1"/>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L56" i="15"/>
  <c r="J57" i="15"/>
  <c r="J55" i="15" s="1"/>
  <c r="J58" i="15" s="1"/>
  <c r="Q51" i="15" s="1"/>
  <c r="G66" i="36"/>
  <c r="J18" i="36"/>
  <c r="AE6" i="1"/>
  <c r="M17" i="15"/>
  <c r="F31" i="15"/>
  <c r="F33" i="44"/>
  <c r="M19" i="44"/>
  <c r="F58" i="15"/>
  <c r="F43" i="15"/>
  <c r="F13" i="15"/>
  <c r="F9" i="15"/>
  <c r="M28" i="15"/>
  <c r="M6" i="15"/>
  <c r="F16" i="15"/>
  <c r="F59" i="68"/>
  <c r="C16" i="69"/>
  <c r="M17" i="68"/>
  <c r="J15" i="15"/>
  <c r="F38" i="15"/>
  <c r="M8" i="15"/>
  <c r="M23" i="15"/>
  <c r="M26" i="15"/>
  <c r="M22" i="15"/>
  <c r="C16" i="68"/>
  <c r="F41" i="68"/>
  <c r="AE7" i="1"/>
  <c r="C18" i="44"/>
  <c r="F65" i="15" l="1"/>
  <c r="C6" i="15"/>
  <c r="C5" i="15" s="1"/>
  <c r="F70" i="15"/>
  <c r="E64" i="39"/>
  <c r="E64" i="73"/>
  <c r="E68" i="73" s="1"/>
  <c r="D72" i="73"/>
  <c r="E70" i="73"/>
  <c r="J12" i="40"/>
  <c r="W12" i="40" s="1"/>
  <c r="J12" i="73"/>
  <c r="F12" i="73"/>
  <c r="H12" i="73"/>
  <c r="C5" i="69"/>
  <c r="C38" i="69" s="1"/>
  <c r="Q75" i="69"/>
  <c r="J26" i="69"/>
  <c r="J24" i="69"/>
  <c r="C48" i="69"/>
  <c r="C47" i="69" s="1"/>
  <c r="C65" i="69" s="1"/>
  <c r="F1" i="69"/>
  <c r="J6" i="68"/>
  <c r="J5" i="68" s="1"/>
  <c r="Q60" i="68"/>
  <c r="Q73"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C30" i="46"/>
  <c r="E30" i="46" s="1"/>
  <c r="G34" i="46"/>
  <c r="I34" i="46" s="1"/>
  <c r="B21" i="55"/>
  <c r="B72" i="63" s="1"/>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62" i="15"/>
  <c r="Q53" i="15"/>
  <c r="C48" i="15"/>
  <c r="C20" i="11"/>
  <c r="C21" i="11" s="1"/>
  <c r="C22" i="11" s="1"/>
  <c r="C23" i="11" s="1"/>
  <c r="B2" i="11" s="1"/>
  <c r="AC12" i="40"/>
  <c r="E46" i="37"/>
  <c r="F46" i="37" s="1"/>
  <c r="C48" i="33"/>
  <c r="C49" i="33"/>
  <c r="B3" i="33" s="1"/>
  <c r="B2" i="33" s="1"/>
  <c r="M27" i="15"/>
  <c r="M27" i="68"/>
  <c r="M29" i="44"/>
  <c r="AE8" i="1"/>
  <c r="C16" i="15"/>
  <c r="F41" i="15"/>
  <c r="F46" i="44"/>
  <c r="F7" i="67"/>
  <c r="L52" i="44"/>
  <c r="F41" i="69"/>
  <c r="G41" i="36" l="1"/>
  <c r="H41" i="36" s="1"/>
  <c r="K15" i="1"/>
  <c r="F70" i="73"/>
  <c r="E72" i="73"/>
  <c r="F68" i="15"/>
  <c r="AA12" i="73"/>
  <c r="S12" i="73"/>
  <c r="AB12" i="73"/>
  <c r="U12" i="73"/>
  <c r="AC12" i="73"/>
  <c r="W12" i="73"/>
  <c r="B70" i="63"/>
  <c r="L19" i="6"/>
  <c r="C32" i="69"/>
  <c r="C59" i="69"/>
  <c r="AB12" i="39"/>
  <c r="J29" i="69"/>
  <c r="F68" i="69"/>
  <c r="S6" i="46"/>
  <c r="T6" i="46" s="1"/>
  <c r="V6" i="46" s="1"/>
  <c r="S7" i="46"/>
  <c r="T7" i="46" s="1"/>
  <c r="V7" i="46" s="1"/>
  <c r="S4" i="46"/>
  <c r="T4" i="46" s="1"/>
  <c r="V4" i="46" s="1"/>
  <c r="S5" i="46"/>
  <c r="T5" i="46" s="1"/>
  <c r="V5" i="46" s="1"/>
  <c r="S2" i="46"/>
  <c r="T2" i="46" s="1"/>
  <c r="V2" i="46" s="1"/>
  <c r="S3" i="46"/>
  <c r="T3" i="46" s="1"/>
  <c r="V3" i="46" s="1"/>
  <c r="C66" i="68"/>
  <c r="C60" i="68"/>
  <c r="J26" i="68"/>
  <c r="J29" i="68" s="1"/>
  <c r="J18" i="68"/>
  <c r="J24"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68"/>
  <c r="E7" i="67"/>
  <c r="C17" i="69"/>
  <c r="C19" i="44"/>
  <c r="C17" i="15"/>
  <c r="C14" i="68"/>
  <c r="F72" i="73" l="1"/>
  <c r="G70" i="73"/>
  <c r="J33" i="21"/>
  <c r="F33" i="21"/>
  <c r="H33" i="21"/>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G72" i="73" l="1"/>
  <c r="H70" i="73"/>
  <c r="S33" i="21"/>
  <c r="AA33" i="21"/>
  <c r="U33" i="21"/>
  <c r="AB33" i="21"/>
  <c r="W33" i="21"/>
  <c r="AC33" i="2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4" i="69"/>
  <c r="C16" i="44"/>
  <c r="I70" i="73" l="1"/>
  <c r="H72" i="73"/>
  <c r="C15" i="69"/>
  <c r="C18" i="69"/>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7" i="44"/>
  <c r="M21" i="69"/>
  <c r="F35" i="69"/>
  <c r="M21" i="15"/>
  <c r="M21" i="68"/>
  <c r="M23" i="44"/>
  <c r="F35" i="68"/>
  <c r="I72" i="73" l="1"/>
  <c r="J70" i="73"/>
  <c r="J20" i="69"/>
  <c r="F62" i="69"/>
  <c r="C61" i="69" s="1"/>
  <c r="C34" i="69"/>
  <c r="C19" i="69"/>
  <c r="C20" i="69" s="1"/>
  <c r="C26" i="69" s="1"/>
  <c r="J20" i="68"/>
  <c r="C34" i="68"/>
  <c r="F63" i="68"/>
  <c r="C62" i="68" s="1"/>
  <c r="C57" i="68"/>
  <c r="C33" i="68"/>
  <c r="Q49" i="68"/>
  <c r="J19" i="68"/>
  <c r="J17" i="68" s="1"/>
  <c r="J14" i="68"/>
  <c r="C13" i="68"/>
  <c r="C36"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K70" i="73" l="1"/>
  <c r="J72" i="73"/>
  <c r="C13" i="39"/>
  <c r="F13" i="39" s="1"/>
  <c r="C11" i="21"/>
  <c r="C23" i="69"/>
  <c r="C29" i="69" s="1"/>
  <c r="C31" i="68"/>
  <c r="J22" i="68"/>
  <c r="J13" i="68"/>
  <c r="J23" i="68" s="1"/>
  <c r="C64" i="68"/>
  <c r="C61" i="68"/>
  <c r="C59" i="68" s="1"/>
  <c r="Q48" i="68"/>
  <c r="C75" i="68"/>
  <c r="Q70" i="68"/>
  <c r="C37" i="68"/>
  <c r="C56" i="68"/>
  <c r="C65" i="68" s="1"/>
  <c r="C28" i="44"/>
  <c r="C31" i="44" s="1"/>
  <c r="C35" i="44" s="1"/>
  <c r="I5" i="6"/>
  <c r="C26" i="15"/>
  <c r="C29" i="15" s="1"/>
  <c r="J59" i="15" s="1"/>
  <c r="J60" i="15" s="1"/>
  <c r="Q49" i="15" s="1"/>
  <c r="C23" i="12"/>
  <c r="C19" i="43"/>
  <c r="C22" i="43" s="1"/>
  <c r="C21" i="43" s="1"/>
  <c r="K67" i="40"/>
  <c r="L65" i="40"/>
  <c r="K72" i="39"/>
  <c r="L70" i="39"/>
  <c r="H13" i="39" l="1"/>
  <c r="U13" i="39" s="1"/>
  <c r="J13" i="39"/>
  <c r="W13" i="39" s="1"/>
  <c r="K72" i="73"/>
  <c r="L70" i="73"/>
  <c r="H13" i="73"/>
  <c r="J13" i="73"/>
  <c r="F13" i="73"/>
  <c r="AC13" i="39"/>
  <c r="AA13" i="39"/>
  <c r="S13" i="39"/>
  <c r="AB13" i="39"/>
  <c r="F11" i="21"/>
  <c r="H11" i="21"/>
  <c r="J11" i="21"/>
  <c r="J19" i="69"/>
  <c r="J17" i="69" s="1"/>
  <c r="Q50" i="69"/>
  <c r="J14" i="69"/>
  <c r="C36" i="69"/>
  <c r="C33" i="69"/>
  <c r="C31" i="69" s="1"/>
  <c r="C13" i="69"/>
  <c r="C56" i="69"/>
  <c r="C30" i="68"/>
  <c r="C39" i="68" s="1"/>
  <c r="Q69" i="68" s="1"/>
  <c r="Q68" i="68" s="1"/>
  <c r="J16" i="68"/>
  <c r="J25" i="68" s="1"/>
  <c r="C58" i="68"/>
  <c r="C67" i="68" s="1"/>
  <c r="C68" i="68" s="1"/>
  <c r="C71"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L72" i="73" l="1"/>
  <c r="M70" i="73"/>
  <c r="AC13" i="73"/>
  <c r="W13" i="73"/>
  <c r="AA13" i="73"/>
  <c r="S13" i="73"/>
  <c r="U13" i="73"/>
  <c r="AB13" i="73"/>
  <c r="S11" i="21"/>
  <c r="AA11" i="21"/>
  <c r="R48" i="21" s="1"/>
  <c r="U11" i="21"/>
  <c r="AB11" i="21"/>
  <c r="T48" i="21" s="1"/>
  <c r="G48" i="21" s="1"/>
  <c r="W11" i="21"/>
  <c r="AC11" i="21"/>
  <c r="V48" i="21" s="1"/>
  <c r="I48" i="21" s="1"/>
  <c r="Q71" i="69"/>
  <c r="C37" i="69"/>
  <c r="C30" i="69" s="1"/>
  <c r="C39" i="69" s="1"/>
  <c r="J35" i="69"/>
  <c r="C55" i="69"/>
  <c r="C64" i="69" s="1"/>
  <c r="C63" i="69"/>
  <c r="C60" i="69"/>
  <c r="C58" i="69" s="1"/>
  <c r="J22" i="69"/>
  <c r="J13" i="69"/>
  <c r="J23" i="69" s="1"/>
  <c r="C40" i="68"/>
  <c r="Q65" i="68" s="1"/>
  <c r="C80" i="68"/>
  <c r="C79" i="68" s="1"/>
  <c r="Q67" i="68"/>
  <c r="L57" i="68"/>
  <c r="L60" i="68" s="1"/>
  <c r="L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N70" i="73" l="1"/>
  <c r="N72" i="73" s="1"/>
  <c r="M72" i="73"/>
  <c r="I52" i="21"/>
  <c r="J52" i="21" s="1"/>
  <c r="G53" i="21"/>
  <c r="H53" i="21" s="1"/>
  <c r="G52" i="21"/>
  <c r="H52" i="21" s="1"/>
  <c r="R49" i="21"/>
  <c r="E48" i="21"/>
  <c r="C45" i="68"/>
  <c r="C46" i="68" s="1"/>
  <c r="J39" i="69"/>
  <c r="J40" i="69" s="1"/>
  <c r="J16" i="69"/>
  <c r="J25" i="69" s="1"/>
  <c r="C57" i="69"/>
  <c r="C66" i="69" s="1"/>
  <c r="C67" i="69" s="1"/>
  <c r="C70" i="69" s="1"/>
  <c r="L57" i="69"/>
  <c r="L60" i="69" s="1"/>
  <c r="L46" i="69" s="1"/>
  <c r="Q68" i="69"/>
  <c r="C40" i="69"/>
  <c r="Q70" i="69"/>
  <c r="Q69" i="69" s="1"/>
  <c r="Q56" i="68"/>
  <c r="C83" i="68"/>
  <c r="C82" i="68" s="1"/>
  <c r="Q47" i="68"/>
  <c r="Q53" i="68" s="1"/>
  <c r="C43" i="68"/>
  <c r="D2" i="68"/>
  <c r="B3" i="68" s="1"/>
  <c r="Q66" i="68"/>
  <c r="Q75" i="68" s="1"/>
  <c r="Q57" i="68"/>
  <c r="Q62"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H9" i="73" l="1"/>
  <c r="F9" i="73"/>
  <c r="J9" i="73"/>
  <c r="C48" i="21"/>
  <c r="C49" i="21"/>
  <c r="B3" i="21" s="1"/>
  <c r="E52" i="21"/>
  <c r="F52" i="21" s="1"/>
  <c r="E53" i="21"/>
  <c r="F53" i="21" s="1"/>
  <c r="I53" i="21"/>
  <c r="J53" i="21" s="1"/>
  <c r="C46" i="69"/>
  <c r="Q57" i="69"/>
  <c r="C43" i="69"/>
  <c r="Q66" i="69"/>
  <c r="Q48" i="69"/>
  <c r="Q54" i="69" s="1"/>
  <c r="B2" i="69"/>
  <c r="J42" i="69"/>
  <c r="J43" i="69" s="1"/>
  <c r="Q58" i="69"/>
  <c r="Q63" i="69" s="1"/>
  <c r="Q67" i="69"/>
  <c r="B2"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W9" i="73" l="1"/>
  <c r="AC9" i="73"/>
  <c r="V49" i="73" s="1"/>
  <c r="I49" i="73" s="1"/>
  <c r="S9" i="73"/>
  <c r="AA9" i="73"/>
  <c r="R49" i="73" s="1"/>
  <c r="AB9" i="73"/>
  <c r="T49" i="73" s="1"/>
  <c r="G49" i="73" s="1"/>
  <c r="U9" i="73"/>
  <c r="B2" i="21"/>
  <c r="C10" i="12" s="1"/>
  <c r="C8" i="12"/>
  <c r="B3" i="69"/>
  <c r="Q76" i="69"/>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E49" i="73" l="1"/>
  <c r="I54" i="73" s="1"/>
  <c r="J54" i="73" s="1"/>
  <c r="R50" i="73"/>
  <c r="I53" i="73"/>
  <c r="J53" i="73" s="1"/>
  <c r="G53" i="73"/>
  <c r="H53" i="73" s="1"/>
  <c r="G54" i="73"/>
  <c r="H54" i="73" s="1"/>
  <c r="L46" i="15"/>
  <c r="B2" i="15" s="1"/>
  <c r="Q76" i="15"/>
  <c r="Q58" i="15"/>
  <c r="Q63" i="15" s="1"/>
  <c r="E54" i="39"/>
  <c r="F54" i="39" s="1"/>
  <c r="E53" i="39"/>
  <c r="F53" i="39" s="1"/>
  <c r="E48" i="40"/>
  <c r="F48" i="40" s="1"/>
  <c r="E49" i="40"/>
  <c r="F49" i="40" s="1"/>
  <c r="C50" i="39"/>
  <c r="C49" i="39"/>
  <c r="I54" i="39"/>
  <c r="J54" i="39" s="1"/>
  <c r="C45" i="40"/>
  <c r="C44" i="40"/>
  <c r="I49" i="40"/>
  <c r="J49" i="40" s="1"/>
  <c r="C49" i="73" l="1"/>
  <c r="C50" i="73"/>
  <c r="E54" i="73"/>
  <c r="F54" i="73" s="1"/>
  <c r="E53" i="73"/>
  <c r="F53" i="73" s="1"/>
  <c r="B3" i="15"/>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B58" i="73" l="1"/>
  <c r="F58" i="73" s="1"/>
  <c r="B61" i="73"/>
  <c r="F61" i="73" s="1"/>
  <c r="B60" i="73"/>
  <c r="F60" i="73" s="1"/>
  <c r="B63" i="73"/>
  <c r="F63" i="73" s="1"/>
  <c r="B64" i="73"/>
  <c r="F64" i="73" s="1"/>
  <c r="B65" i="73"/>
  <c r="F65" i="73" s="1"/>
  <c r="B62" i="73"/>
  <c r="F62" i="73" s="1"/>
  <c r="B66" i="73"/>
  <c r="F66" i="73" s="1"/>
  <c r="B67" i="73"/>
  <c r="F67" i="73" s="1"/>
  <c r="B59" i="73"/>
  <c r="F59" i="73" s="1"/>
  <c r="C24" i="12"/>
  <c r="C29" i="12"/>
  <c r="F68" i="39"/>
  <c r="B2" i="39" s="1"/>
  <c r="F63" i="40"/>
  <c r="B2" i="40" s="1"/>
  <c r="F68" i="73" l="1"/>
  <c r="B2" i="73" s="1"/>
  <c r="C28" i="12"/>
  <c r="C26" i="12" s="1"/>
  <c r="C31" i="12" s="1"/>
  <c r="C30" i="12" s="1"/>
  <c r="C35" i="12"/>
  <c r="C33" i="12" s="1"/>
  <c r="B3" i="40"/>
  <c r="B4" i="40"/>
  <c r="B5" i="40"/>
  <c r="B3" i="39"/>
  <c r="B4" i="39"/>
  <c r="B5" i="39"/>
  <c r="C19" i="9"/>
  <c r="L43" i="9" l="1"/>
  <c r="B5" i="73"/>
  <c r="B4" i="73"/>
  <c r="B3" i="73"/>
  <c r="C36" i="12"/>
  <c r="B2" i="12" s="1"/>
  <c r="B4" i="12" s="1"/>
  <c r="C45" i="9"/>
  <c r="H14" i="66" s="1"/>
  <c r="B7" i="66" s="1"/>
  <c r="C20" i="9"/>
  <c r="D21" i="9"/>
  <c r="C21" i="9"/>
  <c r="D19" i="9"/>
  <c r="B3" i="12" l="1"/>
  <c r="L44" i="9"/>
  <c r="D22" i="9"/>
  <c r="G19" i="9"/>
  <c r="N43" i="9" s="1"/>
  <c r="B5" i="12"/>
  <c r="G21" i="9"/>
  <c r="D7" i="66"/>
  <c r="C7" i="66"/>
  <c r="D20" i="9"/>
  <c r="G20" i="9" l="1"/>
  <c r="C32" i="9"/>
  <c r="G22" i="9"/>
  <c r="D45" i="9"/>
  <c r="E45" i="9"/>
  <c r="O40" i="9"/>
  <c r="F45" i="9"/>
  <c r="C42" i="9" l="1"/>
  <c r="C44" i="9" s="1"/>
  <c r="G14" i="66" s="1"/>
  <c r="B6" i="66" s="1"/>
  <c r="C6" i="66" s="1"/>
  <c r="C34" i="9"/>
  <c r="O43" i="9"/>
  <c r="O38" i="9"/>
  <c r="C33" i="9"/>
  <c r="C35" i="9"/>
  <c r="F42" i="9" s="1"/>
  <c r="K31" i="9"/>
  <c r="K32" i="9" s="1"/>
  <c r="R7" i="54"/>
  <c r="B52" i="63" s="1"/>
  <c r="E44" i="9"/>
  <c r="D6" i="66" l="1"/>
  <c r="O39" i="9"/>
  <c r="K29" i="9" s="1"/>
  <c r="F44" i="9"/>
  <c r="D44" i="9"/>
  <c r="N69" i="9"/>
  <c r="M86" i="9" s="1"/>
  <c r="N86" i="9" s="1"/>
  <c r="D42" i="9"/>
  <c r="Q5" i="54" s="1"/>
  <c r="N38" i="9"/>
  <c r="K28" i="9" s="1"/>
  <c r="R5" i="54"/>
  <c r="D63" i="9"/>
  <c r="D14" i="66"/>
  <c r="N68" i="9"/>
  <c r="K25" i="9"/>
  <c r="K26" i="9"/>
  <c r="E42" i="9"/>
  <c r="P5" i="54" s="1"/>
  <c r="M38" i="9"/>
  <c r="K27" i="9" s="1"/>
  <c r="M84" i="9"/>
  <c r="N84" i="9" s="1"/>
  <c r="M87" i="9"/>
  <c r="N87" i="9" s="1"/>
  <c r="M85" i="9"/>
  <c r="N85" i="9" s="1"/>
  <c r="M83" i="9"/>
  <c r="N83" i="9" s="1"/>
  <c r="K30" i="9"/>
  <c r="R6" i="54"/>
  <c r="B50" i="63" s="1"/>
  <c r="M88" i="9" l="1"/>
  <c r="N88" i="9" s="1"/>
  <c r="N89" i="9" s="1"/>
  <c r="B46" i="63"/>
  <c r="B48" i="63"/>
  <c r="B47" i="63"/>
  <c r="C111" i="9"/>
  <c r="C104" i="9" s="1"/>
  <c r="C96" i="9"/>
  <c r="C91" i="9" s="1"/>
  <c r="C103" i="9"/>
  <c r="C90" i="9"/>
  <c r="D70" i="9"/>
  <c r="C82" i="9"/>
  <c r="C81" i="9" s="1"/>
  <c r="C85" i="9" s="1"/>
  <c r="C86" i="9" s="1"/>
  <c r="D72" i="9" s="1"/>
  <c r="D71" i="9"/>
  <c r="D66" i="9" s="1"/>
  <c r="N72" i="9" s="1"/>
  <c r="D77" i="9"/>
  <c r="N75" i="9" s="1"/>
  <c r="F14" i="66"/>
  <c r="E14" i="66"/>
  <c r="B5" i="66"/>
  <c r="C97" i="9" l="1"/>
  <c r="C98" i="9" s="1"/>
  <c r="E98" i="9" s="1"/>
  <c r="E99" i="9" s="1"/>
  <c r="C113" i="9"/>
  <c r="C5" i="66"/>
  <c r="D5" i="66"/>
  <c r="O89" i="9"/>
  <c r="N76" i="9"/>
  <c r="C99" i="9" l="1"/>
  <c r="C114" i="9"/>
  <c r="E114" i="9" s="1"/>
  <c r="E115" i="9" s="1"/>
  <c r="C115" i="9" l="1"/>
  <c r="D76" i="9" s="1"/>
  <c r="D74" i="9" s="1"/>
  <c r="N74" i="9" s="1"/>
  <c r="O77" i="9" s="1"/>
  <c r="O78" i="9" s="1"/>
  <c r="Q77" i="9" l="1"/>
  <c r="O79" i="9"/>
  <c r="C46" i="9" s="1"/>
  <c r="K33" i="9" l="1"/>
  <c r="K34" i="9" s="1"/>
  <c r="O41" i="9"/>
  <c r="R8" i="54" s="1"/>
  <c r="B54" i="63" s="1"/>
  <c r="E46" i="9"/>
  <c r="F46" i="9"/>
  <c r="I14" i="66"/>
  <c r="B8" i="66" s="1"/>
  <c r="D46" i="9"/>
  <c r="O80" i="9"/>
  <c r="O81" i="9"/>
  <c r="D8" i="66" l="1"/>
  <c r="C8"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<sst xmlns="http://schemas.openxmlformats.org/spreadsheetml/2006/main" count="9557" uniqueCount="3802">
  <si>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</si>
  <si>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</si>
  <si>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</si>
  <si>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</si>
  <si>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</si>
  <si>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</si>
  <si>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</si>
  <si>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</si>
  <si>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</si>
  <si>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</si>
  <si>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</si>
  <si>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</si>
  <si>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</si>
  <si>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</si>
  <si>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</si>
  <si>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</si>
  <si>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</si>
  <si>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</si>
  <si>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</si>
  <si>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</si>
  <si>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</si>
  <si>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</si>
  <si>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</si>
  <si>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</si>
  <si>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</si>
  <si>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</si>
  <si>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</si>
  <si>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</si>
  <si>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</si>
  <si>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</si>
  <si>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</si>
  <si>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</si>
  <si>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</si>
  <si>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</si>
  <si>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</si>
  <si>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</si>
  <si>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</si>
  <si>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</si>
  <si>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</si>
  <si>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</si>
  <si>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</si>
  <si>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</si>
  <si>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</si>
  <si>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</si>
  <si>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</si>
  <si>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</si>
  <si>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</si>
  <si>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</si>
  <si>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</si>
  <si>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</si>
  <si>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</si>
  <si>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</si>
  <si>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</si>
  <si>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</si>
  <si>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</si>
  <si>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</si>
  <si>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</si>
  <si>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</si>
  <si>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</si>
  <si>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</si>
  <si>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</si>
  <si>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</si>
  <si>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</si>
  <si>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</si>
  <si>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</si>
  <si>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</si>
  <si>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</si>
  <si>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</si>
  <si>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</si>
  <si>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</si>
  <si>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</si>
  <si>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</si>
  <si>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</si>
  <si>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</si>
  <si>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</si>
  <si>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</si>
  <si>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</si>
  <si>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</si>
  <si>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</si>
  <si>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</si>
  <si>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</si>
  <si>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</si>
  <si>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</si>
  <si>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</si>
  <si>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</si>
  <si>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</si>
  <si>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</si>
  <si>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</si>
  <si>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</si>
  <si>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</si>
  <si>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</si>
  <si>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</si>
  <si>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</si>
  <si>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</si>
  <si>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</si>
  <si>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</si>
  <si>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</si>
  <si>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</si>
  <si>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</si>
  <si>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</si>
  <si>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</si>
  <si>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</si>
  <si>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</si>
  <si>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</si>
  <si>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</si>
  <si>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</si>
  <si>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</si>
  <si>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</si>
  <si>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</si>
  <si>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</si>
  <si>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</si>
  <si>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</si>
  <si>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</si>
  <si>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</si>
  <si>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</si>
  <si>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</si>
  <si>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</si>
  <si>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</si>
  <si>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</si>
  <si>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</si>
  <si>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</si>
  <si>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</si>
  <si>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</si>
  <si>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</si>
  <si>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</si>
  <si>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</si>
  <si>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</si>
  <si>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</si>
  <si>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</si>
  <si>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</si>
  <si>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</si>
  <si>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</si>
  <si>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</si>
  <si>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</si>
  <si>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</si>
  <si>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</si>
  <si>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</si>
  <si>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</si>
  <si>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</si>
  <si>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</si>
  <si>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</si>
  <si>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</si>
  <si>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</si>
  <si>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</si>
  <si>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</si>
  <si>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</si>
  <si>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</si>
  <si>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</si>
  <si>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</si>
  <si>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</si>
  <si>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</si>
  <si>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</si>
  <si>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</si>
  <si>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</si>
  <si>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</si>
  <si>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</si>
  <si>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</si>
  <si>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</si>
  <si>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</si>
  <si>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</si>
  <si>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</si>
  <si>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</si>
  <si>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</si>
  <si>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</si>
  <si>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</si>
  <si>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</si>
  <si>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</si>
  <si>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</si>
  <si>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</si>
  <si>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</si>
  <si>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</si>
  <si>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</si>
  <si>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</si>
  <si>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</si>
  <si>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</si>
  <si>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</si>
  <si>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</si>
  <si>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</si>
  <si>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</si>
  <si>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</si>
  <si>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</si>
  <si>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</si>
  <si>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</si>
  <si>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</si>
  <si>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</si>
  <si>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</si>
  <si>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</si>
  <si>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</si>
  <si>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</si>
  <si>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</si>
  <si>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</si>
  <si>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</si>
  <si>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</si>
  <si>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</si>
  <si>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</si>
  <si>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</si>
  <si>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</si>
  <si>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</si>
  <si>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</si>
  <si>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</si>
  <si>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</si>
  <si>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</si>
  <si>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</si>
  <si>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</si>
  <si>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</si>
  <si>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</si>
  <si>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</si>
  <si>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</si>
  <si>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</si>
  <si>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</si>
  <si>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</si>
  <si>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</si>
  <si>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</si>
  <si>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</si>
  <si>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</si>
  <si>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</si>
  <si>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</si>
  <si>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</si>
  <si>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</si>
  <si>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</si>
  <si>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</si>
  <si>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</si>
  <si>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</si>
  <si>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</si>
  <si>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</si>
  <si>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</si>
  <si>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</si>
  <si>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</si>
  <si>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</si>
  <si>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</si>
  <si>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</si>
  <si>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</si>
  <si>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</si>
  <si>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</si>
  <si>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</si>
  <si>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</si>
  <si>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</si>
  <si>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</si>
  <si>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</si>
  <si>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</si>
  <si>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</si>
  <si>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</si>
  <si>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</si>
  <si>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</si>
  <si>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</si>
  <si>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</si>
  <si>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</si>
  <si>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</si>
  <si>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</si>
  <si>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</si>
  <si>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</si>
  <si>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</si>
  <si>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</si>
  <si>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</si>
  <si>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</si>
  <si>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</si>
  <si>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</si>
  <si>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</si>
  <si>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</si>
  <si>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</si>
  <si>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</si>
  <si>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</si>
  <si>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</si>
  <si>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</si>
  <si>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</si>
  <si>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</si>
  <si>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</si>
  <si>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</si>
  <si>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</si>
  <si>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</si>
  <si>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</si>
  <si>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</si>
  <si>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</si>
  <si>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</si>
  <si>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</si>
  <si>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</si>
  <si>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</si>
  <si>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</si>
  <si>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</si>
  <si>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</si>
  <si>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</si>
  <si>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</si>
  <si>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</si>
  <si>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</si>
  <si>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</si>
  <si>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</si>
  <si>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</si>
  <si>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</si>
  <si>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</si>
  <si>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</si>
  <si>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</si>
  <si>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</si>
  <si>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</si>
  <si>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</si>
  <si>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</si>
  <si>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</si>
  <si>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</si>
  <si>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</si>
  <si>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</si>
  <si>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</si>
  <si>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</si>
  <si>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</si>
  <si>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</si>
  <si>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</si>
  <si>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</si>
  <si>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</si>
  <si>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</si>
  <si>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</si>
  <si>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</si>
  <si>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</si>
  <si>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</si>
  <si>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</si>
  <si>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</si>
  <si>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</si>
  <si>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</si>
  <si>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</si>
  <si>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</si>
  <si>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</si>
  <si>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</si>
  <si>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</si>
  <si>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</si>
  <si>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</si>
  <si>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</si>
  <si>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</si>
  <si>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</si>
  <si>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</si>
  <si>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</si>
  <si>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</si>
  <si>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</si>
  <si>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</si>
  <si>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</si>
  <si>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</si>
  <si>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</si>
  <si>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</si>
  <si>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</si>
  <si>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</si>
  <si>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</si>
  <si>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</si>
  <si>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</si>
  <si>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</si>
  <si>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</si>
  <si>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</si>
  <si>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</si>
  <si>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</si>
  <si>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</si>
  <si>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</si>
  <si>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</si>
  <si>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</si>
  <si>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</si>
  <si>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</si>
  <si>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</si>
  <si>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</si>
  <si>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</si>
  <si>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</si>
  <si>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</si>
  <si>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</si>
  <si>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</si>
  <si>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</si>
  <si>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</si>
  <si>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</si>
  <si>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</si>
  <si>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</si>
  <si>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</si>
  <si>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</si>
  <si>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</si>
  <si>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</si>
  <si>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</si>
  <si>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</si>
  <si>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</si>
  <si>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</si>
  <si>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</si>
  <si>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</si>
  <si>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</si>
  <si>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</si>
  <si>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</si>
  <si>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</si>
  <si>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</si>
  <si>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</si>
  <si>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</si>
  <si>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</si>
  <si>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</si>
  <si>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</si>
  <si>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</si>
  <si>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</si>
  <si>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</si>
  <si>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</si>
  <si>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</si>
  <si>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</si>
  <si>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</si>
  <si>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</si>
  <si>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</si>
  <si>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</si>
  <si>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</si>
  <si>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</si>
  <si>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</si>
  <si>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</si>
  <si>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</si>
  <si>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</si>
  <si>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</si>
  <si>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</si>
  <si>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</si>
  <si>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</si>
  <si>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</si>
  <si>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</si>
  <si>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</si>
  <si>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</si>
  <si>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</si>
  <si>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</si>
  <si>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</si>
  <si>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</si>
  <si>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</si>
  <si>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</si>
  <si>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</si>
  <si>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</si>
  <si>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</si>
  <si>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</si>
  <si>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</si>
  <si>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</si>
  <si>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</si>
  <si>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</si>
  <si>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</si>
  <si>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</si>
  <si>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</si>
  <si>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</si>
  <si>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</si>
  <si>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</si>
  <si>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</si>
  <si>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</si>
  <si>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</si>
  <si>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</si>
  <si>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</si>
  <si>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</si>
  <si>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</si>
  <si>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</si>
  <si>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</si>
  <si>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</si>
  <si>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</si>
  <si>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</si>
  <si>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</si>
  <si>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</si>
  <si>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</si>
  <si>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</si>
  <si>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</si>
  <si>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</si>
  <si>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</si>
  <si>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</si>
  <si>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</si>
  <si>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</si>
  <si>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</si>
  <si>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</si>
  <si>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</si>
  <si>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</si>
  <si>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</si>
  <si>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</si>
  <si>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</si>
  <si>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</si>
  <si>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</si>
  <si>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</si>
  <si>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</si>
  <si>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</si>
  <si>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</si>
  <si>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</si>
  <si>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</si>
  <si>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</si>
  <si>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</si>
  <si>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</si>
  <si>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</si>
  <si>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</si>
  <si>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</si>
  <si>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</si>
  <si>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</si>
  <si>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</si>
  <si>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</si>
  <si>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</si>
  <si>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</si>
  <si>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</si>
  <si>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</si>
  <si>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</si>
  <si>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</si>
  <si>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</si>
  <si>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</si>
  <si>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</si>
  <si>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</si>
  <si>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</si>
  <si>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</si>
  <si>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</si>
  <si>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</si>
  <si>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</si>
  <si>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</si>
  <si>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</si>
  <si>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</si>
  <si>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</si>
  <si>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</si>
  <si>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</si>
  <si>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</si>
  <si>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</si>
  <si>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</si>
  <si>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</si>
  <si>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</si>
  <si>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</si>
  <si>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</si>
  <si>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</si>
  <si>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</si>
  <si>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</si>
  <si>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</si>
  <si>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</si>
  <si>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</si>
  <si>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</si>
  <si>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</si>
  <si>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</si>
  <si>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</si>
  <si>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</si>
  <si>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</si>
  <si>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</si>
  <si>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</si>
  <si>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</si>
  <si>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</si>
  <si>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</si>
  <si>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</si>
  <si>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</si>
  <si>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</si>
  <si>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</si>
  <si>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</si>
  <si>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</si>
  <si>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</si>
  <si>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</si>
  <si>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</si>
  <si>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</si>
  <si>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</si>
  <si>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</si>
  <si>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</si>
  <si>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</si>
  <si>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</si>
  <si>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</si>
  <si>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</si>
  <si>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</si>
  <si>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</si>
  <si>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</si>
  <si>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</si>
  <si>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</si>
  <si>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</si>
  <si>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</si>
  <si>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</si>
  <si>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</si>
  <si>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</si>
  <si>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</si>
  <si>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</si>
  <si>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</si>
  <si>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</si>
  <si>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</si>
  <si>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</si>
  <si>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</si>
  <si>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</si>
  <si>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</si>
  <si>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</si>
  <si>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</si>
  <si>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</si>
  <si>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</si>
  <si>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</si>
  <si>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</si>
  <si>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</si>
  <si>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</si>
  <si>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</si>
  <si>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</si>
  <si>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</si>
  <si>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</si>
  <si>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</si>
  <si>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</si>
  <si>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</si>
  <si>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</si>
  <si>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</si>
  <si>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</si>
  <si>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</si>
  <si>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</si>
  <si>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</si>
  <si>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</si>
  <si>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</si>
  <si>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</si>
  <si>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</si>
  <si>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</si>
  <si>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</si>
  <si>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</si>
  <si>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</si>
  <si>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</si>
  <si>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</si>
  <si>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</si>
  <si>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</si>
  <si>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</si>
  <si>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</si>
  <si>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</si>
  <si>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</si>
  <si>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</si>
  <si>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</si>
  <si>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</si>
  <si>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</si>
  <si>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</si>
  <si>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</si>
  <si>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</si>
  <si>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</si>
  <si>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</si>
  <si>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</si>
  <si>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</si>
  <si>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</si>
  <si>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</si>
  <si>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</si>
  <si>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</si>
  <si>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</si>
  <si>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</si>
  <si>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</si>
  <si>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</si>
  <si>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</si>
  <si>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</si>
  <si>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</si>
  <si>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</si>
  <si>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</si>
  <si>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</si>
  <si>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</si>
  <si>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</si>
  <si>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</si>
  <si>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</si>
  <si>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</si>
  <si>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</si>
  <si>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</si>
  <si>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</si>
  <si>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</si>
  <si>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</si>
  <si>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</si>
  <si>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</si>
  <si>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</si>
  <si>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</si>
  <si>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</si>
  <si>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</si>
  <si>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</si>
  <si>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</si>
  <si>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</si>
  <si>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</si>
  <si>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</si>
  <si>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</si>
  <si>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</si>
  <si>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</si>
  <si>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</si>
  <si>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</si>
  <si>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</si>
  <si>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</si>
  <si>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</si>
  <si>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</si>
  <si>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</si>
  <si>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</si>
  <si>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</si>
  <si>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</si>
  <si>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</si>
  <si>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</si>
  <si>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</si>
  <si>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</si>
  <si>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</si>
  <si>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</si>
  <si>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</si>
  <si>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</si>
  <si>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</si>
  <si>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</si>
  <si>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</si>
  <si>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</si>
  <si>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</si>
  <si>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</si>
  <si>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</si>
  <si>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</si>
  <si>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</si>
  <si>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</si>
  <si>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</si>
  <si>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</si>
  <si>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</si>
  <si>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</si>
  <si>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</si>
  <si>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</si>
  <si>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</si>
  <si>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</si>
  <si>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</si>
  <si>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</si>
  <si>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</si>
  <si>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</si>
  <si>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</si>
  <si>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</si>
  <si>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</si>
  <si>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</si>
  <si>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</si>
  <si>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</si>
  <si>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</si>
  <si>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</si>
  <si>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</si>
  <si>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</si>
  <si>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</si>
  <si>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</si>
  <si>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</si>
  <si>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</si>
  <si>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</si>
  <si>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</si>
  <si>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</si>
  <si>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</si>
  <si>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</si>
  <si>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</si>
  <si>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</si>
  <si>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</si>
  <si>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</si>
  <si>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</si>
  <si>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</si>
  <si>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</si>
  <si>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</si>
  <si>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</si>
  <si>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</si>
  <si>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</si>
  <si>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</si>
  <si>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</si>
  <si>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</si>
  <si>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</si>
  <si>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</si>
  <si>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</si>
  <si>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</si>
  <si>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</si>
  <si>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</si>
  <si>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</si>
  <si>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</si>
  <si>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</si>
  <si>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</si>
  <si>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</si>
  <si>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</si>
  <si>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</si>
  <si>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</si>
  <si>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</si>
  <si>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</si>
  <si>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</si>
  <si>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</si>
  <si>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</si>
  <si>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</si>
  <si>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</si>
  <si>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</si>
  <si>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</si>
  <si>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</si>
  <si>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</si>
  <si>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</si>
  <si>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</si>
  <si>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</si>
  <si>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</si>
  <si>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</si>
  <si>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</si>
  <si>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</si>
  <si>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</si>
  <si>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</si>
  <si>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</si>
  <si>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</si>
  <si>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</si>
  <si>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</si>
  <si>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</si>
  <si>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</si>
  <si>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</si>
  <si>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</si>
  <si>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</si>
  <si>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</si>
  <si>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</si>
  <si>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</si>
  <si>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</si>
  <si>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</si>
  <si>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</si>
  <si>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</si>
  <si>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</si>
  <si>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</si>
  <si>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</si>
  <si>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</si>
  <si>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</si>
  <si>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</si>
  <si>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</si>
  <si>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</si>
  <si>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</si>
  <si>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</si>
  <si>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</si>
  <si>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</si>
  <si>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</si>
  <si>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</si>
  <si>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</si>
  <si>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</si>
  <si>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</si>
  <si>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</si>
  <si>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</si>
  <si>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</si>
  <si>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</si>
  <si>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</si>
  <si>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</si>
  <si>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</si>
  <si>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</si>
  <si>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</si>
  <si>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</si>
  <si>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</si>
  <si>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</si>
  <si>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</si>
  <si>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</si>
  <si>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</si>
  <si>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</si>
  <si>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</si>
  <si>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</si>
  <si>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</si>
  <si>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</si>
  <si>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</si>
  <si>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</si>
  <si>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</si>
  <si>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</si>
  <si>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</si>
  <si>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</si>
  <si>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</si>
  <si>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</si>
  <si>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</si>
  <si>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</si>
  <si>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</si>
  <si>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</si>
  <si>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</si>
  <si>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</si>
  <si>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</si>
  <si>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</si>
  <si>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</si>
  <si>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</si>
  <si>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</si>
  <si>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</si>
  <si>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</si>
  <si>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</si>
  <si>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</si>
  <si>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</si>
  <si>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</si>
  <si>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</si>
  <si>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</si>
  <si>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</si>
  <si>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</si>
  <si>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</si>
  <si>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</si>
  <si>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</si>
  <si>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</si>
  <si>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</si>
  <si>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</si>
  <si>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</si>
  <si>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</si>
  <si>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</si>
  <si>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</si>
  <si>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</si>
  <si>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</si>
  <si>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</si>
  <si>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</si>
  <si>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</si>
  <si>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</si>
  <si>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</si>
  <si>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</si>
  <si>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</si>
  <si>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</si>
  <si>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</si>
  <si>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</si>
  <si>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</si>
  <si>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</si>
  <si>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</si>
  <si>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</si>
  <si>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</si>
  <si>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</si>
  <si>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</si>
  <si>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</si>
  <si>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</si>
  <si>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</si>
  <si>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</si>
  <si>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</si>
  <si>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</si>
  <si>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</si>
  <si>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</si>
  <si>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</si>
  <si>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</si>
  <si>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</si>
  <si>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</si>
  <si>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</si>
  <si>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</si>
  <si>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</si>
  <si>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</si>
  <si>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</si>
  <si>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</si>
  <si>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</si>
  <si>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</si>
  <si>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</si>
  <si>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</si>
  <si>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</si>
  <si>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</si>
  <si>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</si>
  <si>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</si>
  <si>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</si>
  <si>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</si>
  <si>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</si>
  <si>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</si>
  <si>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</si>
  <si>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</si>
  <si>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</si>
  <si>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</si>
  <si>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</si>
  <si>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</si>
  <si>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</si>
  <si>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</si>
  <si>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</si>
  <si>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</si>
  <si>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</si>
  <si>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</si>
  <si>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</si>
  <si>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</si>
  <si>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</si>
  <si>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</si>
  <si>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</si>
  <si>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</si>
  <si>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</si>
  <si>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</si>
  <si>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</si>
  <si>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</si>
  <si>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</si>
  <si>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</si>
  <si>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</si>
  <si>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</si>
  <si>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</si>
  <si>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</si>
  <si>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</si>
  <si>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</si>
  <si>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</si>
  <si>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</si>
  <si>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</si>
  <si>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</si>
  <si>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</si>
  <si>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</si>
  <si>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</si>
  <si>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</si>
  <si>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</si>
  <si>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</si>
  <si>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</si>
  <si>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</si>
  <si>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</si>
  <si>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</si>
  <si>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</si>
  <si>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</si>
  <si>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</si>
  <si>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</si>
  <si>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</si>
  <si>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</si>
  <si>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</si>
  <si>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</si>
  <si>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</si>
  <si>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</si>
  <si>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</si>
  <si>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</si>
  <si>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</si>
  <si>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</si>
  <si>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</si>
  <si>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</si>
  <si>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</si>
  <si>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</si>
  <si>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</si>
  <si>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</si>
  <si>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</si>
  <si>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</si>
  <si>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</si>
  <si>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</si>
  <si>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</si>
  <si>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</si>
  <si>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</si>
  <si>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</si>
  <si>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</si>
  <si>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</si>
  <si>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</si>
  <si>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</si>
  <si>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</si>
  <si>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</si>
  <si>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</si>
  <si>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</si>
  <si>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</si>
  <si>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</si>
  <si>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</si>
  <si>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</si>
  <si>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</si>
  <si>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</si>
  <si>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</si>
  <si>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</si>
  <si>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</si>
  <si>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</si>
  <si>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</si>
  <si>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</si>
  <si>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</si>
  <si>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</si>
  <si>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</si>
  <si>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</si>
  <si>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</si>
  <si>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</si>
  <si>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</si>
  <si>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</si>
  <si>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</si>
  <si>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</si>
  <si>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</si>
  <si>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</si>
  <si>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</si>
  <si>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</si>
  <si>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</si>
  <si>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</si>
  <si>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</si>
  <si>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</si>
  <si>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</si>
  <si>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</si>
  <si>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</si>
  <si>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</si>
  <si>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</si>
  <si>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</si>
  <si>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</si>
  <si>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</si>
  <si>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</si>
  <si>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</si>
  <si>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</si>
  <si>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</si>
  <si>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</si>
  <si>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</si>
  <si>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</si>
  <si>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</si>
  <si>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</si>
  <si>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</si>
  <si>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</si>
  <si>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</si>
  <si>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</si>
  <si>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</si>
  <si>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</si>
  <si>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</si>
  <si>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</si>
  <si>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</si>
  <si>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</si>
  <si>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</si>
  <si>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</si>
  <si>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</si>
  <si>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</si>
  <si>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</si>
  <si>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</si>
  <si>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</si>
  <si>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</si>
  <si>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</si>
  <si>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</si>
  <si>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</si>
  <si>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</si>
  <si>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</si>
  <si>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</si>
  <si>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</si>
  <si>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</si>
  <si>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</si>
  <si>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</si>
  <si>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</si>
  <si>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</si>
  <si>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</si>
  <si>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</si>
  <si>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</si>
  <si>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</si>
  <si>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</si>
  <si>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</si>
  <si>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</si>
  <si>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</si>
  <si>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</si>
  <si>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</si>
  <si>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</si>
  <si>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</si>
  <si>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</si>
  <si>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</si>
  <si>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</si>
  <si>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</si>
  <si>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</si>
  <si>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</si>
  <si>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</si>
  <si>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</si>
  <si>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</si>
  <si>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</si>
  <si>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</si>
  <si>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</si>
  <si>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</si>
  <si>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</si>
  <si>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</si>
  <si>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</si>
  <si>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</si>
  <si>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</si>
  <si>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</si>
  <si>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</si>
  <si>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</si>
  <si>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</si>
  <si>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</si>
  <si>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</si>
  <si>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</si>
  <si>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</si>
  <si>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</si>
  <si>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</si>
  <si>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</si>
  <si>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</si>
  <si>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</si>
  <si>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</si>
  <si>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</si>
  <si>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</si>
  <si>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</si>
  <si>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</si>
  <si>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</si>
  <si>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</si>
  <si>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</si>
  <si>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</si>
  <si>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</si>
  <si>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</si>
  <si>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</si>
  <si>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</si>
  <si>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</si>
  <si>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</si>
  <si>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</si>
  <si>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</si>
  <si>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</si>
  <si>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</si>
  <si>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</si>
  <si>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</si>
  <si>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</si>
  <si>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</si>
  <si>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</si>
  <si>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</si>
  <si>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</si>
  <si>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</si>
  <si>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</si>
  <si>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</si>
  <si>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</si>
  <si>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</si>
  <si>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</si>
  <si>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</si>
  <si>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</si>
  <si>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</si>
  <si>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</si>
  <si>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</si>
  <si>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</si>
  <si>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</si>
  <si>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</si>
  <si>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</si>
  <si>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</si>
  <si>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</si>
  <si>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</si>
  <si>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</si>
  <si>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</si>
  <si>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</si>
  <si>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</si>
  <si>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</si>
  <si>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</si>
  <si>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</si>
  <si>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</si>
  <si>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</si>
  <si>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</si>
  <si>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</si>
  <si>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</si>
  <si>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</si>
  <si>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</si>
  <si>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</si>
  <si>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</si>
  <si>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</si>
  <si>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</si>
  <si>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</si>
  <si>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</si>
  <si>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</si>
  <si>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</si>
  <si>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</si>
  <si>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</si>
  <si>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</si>
  <si>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</si>
  <si>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</si>
  <si>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</si>
  <si>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</si>
  <si>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</si>
  <si>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</si>
  <si>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</si>
  <si>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</si>
  <si>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</si>
  <si>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</si>
  <si>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</si>
  <si>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</si>
  <si>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</si>
  <si>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</si>
  <si>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</si>
  <si>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</si>
  <si>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</si>
  <si>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</si>
  <si>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</si>
  <si>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</si>
  <si>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</si>
  <si>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</si>
  <si>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</si>
  <si>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</si>
  <si>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</si>
  <si>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</si>
  <si>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</si>
  <si>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</si>
  <si>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</si>
  <si>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</si>
  <si>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</si>
  <si>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</si>
  <si>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</si>
  <si>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</si>
  <si>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</si>
  <si>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</si>
  <si>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</si>
  <si>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</si>
  <si>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</si>
  <si>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</si>
  <si>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</si>
  <si>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</si>
  <si>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</si>
  <si>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</si>
  <si>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</si>
  <si>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</si>
  <si>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</si>
  <si>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</si>
  <si>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</si>
  <si>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</si>
  <si>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</si>
  <si>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</si>
  <si>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</si>
  <si>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</si>
  <si>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</si>
  <si>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</si>
  <si>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</si>
  <si>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</si>
  <si>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</si>
  <si>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</si>
  <si>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</si>
  <si>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</si>
  <si>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</si>
  <si>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</si>
  <si>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</si>
  <si>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</si>
  <si>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</si>
  <si>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</si>
  <si>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</si>
  <si>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</si>
  <si>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</si>
  <si>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</si>
  <si>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</si>
  <si>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</si>
  <si>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</si>
  <si>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</si>
  <si>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</si>
  <si>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</si>
  <si>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</si>
  <si>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</si>
  <si>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</si>
  <si>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</si>
  <si>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</si>
  <si>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</si>
  <si>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</si>
  <si>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</si>
  <si>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</si>
  <si>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</si>
  <si>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</si>
  <si>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</si>
  <si>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</si>
  <si>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</si>
  <si>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</si>
  <si>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</si>
  <si>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</si>
  <si>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</si>
  <si>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</si>
  <si>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</si>
  <si>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</si>
  <si>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</si>
  <si>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</si>
  <si>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</si>
  <si>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</si>
  <si>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</si>
  <si>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</si>
  <si>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</si>
  <si>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</si>
  <si>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</si>
  <si>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</si>
  <si>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</si>
  <si>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</si>
  <si>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</si>
  <si>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</si>
  <si>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</si>
  <si>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</si>
  <si>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</si>
  <si>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</si>
  <si>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</si>
  <si>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</si>
  <si>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</si>
  <si>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</si>
  <si>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</si>
  <si>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</si>
  <si>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</si>
  <si>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</si>
  <si>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</si>
  <si>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</si>
  <si>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</si>
  <si>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</si>
  <si>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</si>
  <si>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</si>
  <si>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</si>
  <si>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</si>
  <si>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</si>
  <si>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</si>
  <si>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</si>
  <si>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</si>
  <si>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</si>
  <si>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</si>
  <si>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</si>
  <si>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</si>
  <si>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</si>
  <si>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</si>
  <si>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</si>
  <si>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</si>
  <si>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</si>
  <si>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</si>
  <si>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</si>
  <si>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</si>
  <si>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</si>
  <si>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</si>
  <si>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</si>
  <si>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</si>
  <si>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</si>
  <si>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</si>
  <si>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</si>
  <si>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</si>
  <si>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</si>
  <si>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</si>
  <si>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</si>
  <si>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</si>
  <si>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</si>
  <si>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</si>
  <si>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</si>
  <si>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</si>
  <si>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</si>
  <si>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</si>
  <si>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</si>
  <si>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</si>
  <si>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</si>
  <si>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</si>
  <si>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</si>
  <si>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</si>
  <si>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</si>
  <si>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</si>
  <si>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</si>
  <si>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</si>
  <si>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</si>
  <si>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</si>
  <si>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</si>
  <si>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</si>
  <si>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</si>
  <si>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</si>
  <si>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</si>
  <si>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</si>
  <si>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</si>
  <si>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</si>
  <si>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</si>
  <si>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</si>
  <si>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</si>
  <si>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</si>
  <si>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</si>
  <si>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</si>
  <si>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</si>
  <si>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</si>
  <si>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</si>
  <si>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</si>
  <si>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</si>
  <si>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</si>
  <si>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</si>
  <si>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</si>
  <si>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</si>
  <si>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</si>
  <si>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</si>
  <si>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</si>
  <si>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</si>
  <si>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</si>
  <si>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</si>
  <si>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</si>
  <si>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</si>
  <si>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</si>
  <si>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</si>
  <si>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</si>
  <si>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</si>
  <si>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</si>
  <si>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</si>
  <si>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</si>
  <si>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</si>
  <si>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</si>
  <si>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</si>
  <si>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</si>
  <si>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</si>
  <si>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</si>
  <si>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</si>
  <si>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</si>
  <si>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</si>
  <si>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</si>
  <si>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</si>
  <si>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</si>
  <si>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</si>
  <si>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</si>
  <si>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</si>
  <si>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</si>
  <si>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</si>
  <si>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</si>
  <si>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</si>
  <si>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</si>
  <si>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</si>
  <si>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</si>
  <si>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</si>
  <si>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</si>
  <si>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</si>
  <si>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</si>
  <si>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</si>
  <si>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</si>
  <si>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</si>
  <si>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</si>
  <si>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</si>
  <si>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</si>
  <si>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</si>
  <si>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</si>
  <si>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</si>
  <si>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</si>
  <si>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</si>
  <si>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</si>
  <si>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</si>
  <si>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</si>
  <si>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</si>
  <si>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</si>
  <si>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</si>
  <si>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</si>
  <si>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</si>
  <si>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</si>
  <si>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</si>
  <si>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</si>
  <si>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</si>
  <si>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</si>
  <si>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</si>
  <si>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</si>
  <si>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</si>
  <si>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</si>
  <si>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</si>
  <si>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</si>
  <si>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</si>
  <si>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</si>
  <si>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</si>
  <si>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</si>
  <si>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</si>
  <si>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</si>
  <si>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</si>
  <si>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</si>
  <si>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</si>
  <si>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</si>
  <si>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</si>
  <si>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</si>
  <si>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</si>
  <si>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</si>
  <si>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</si>
  <si>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</si>
  <si>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</si>
  <si>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</si>
  <si>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</si>
  <si>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</si>
  <si>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</si>
  <si>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</si>
  <si>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</si>
  <si>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</si>
  <si>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</si>
  <si>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</si>
  <si>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</si>
  <si>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</si>
  <si>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</si>
  <si>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</si>
  <si>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</si>
  <si>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</si>
  <si>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</si>
  <si>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</si>
  <si>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</si>
  <si>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</si>
  <si>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</si>
  <si>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</si>
  <si>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</si>
  <si>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</si>
  <si>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</si>
  <si>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</si>
  <si>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</si>
  <si>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</si>
  <si>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</si>
  <si>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</si>
  <si>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</si>
  <si>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</si>
  <si>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</si>
  <si>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</si>
  <si>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</si>
  <si>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</si>
  <si>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</si>
  <si>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</si>
  <si>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</si>
  <si>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</si>
  <si>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</si>
  <si>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</si>
  <si>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</si>
  <si>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</si>
  <si>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</si>
  <si>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</si>
  <si>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</si>
  <si>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</si>
  <si>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</si>
  <si>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</si>
  <si>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</si>
  <si>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</si>
  <si>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</si>
  <si>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</si>
  <si>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</si>
  <si>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</si>
  <si>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</si>
  <si>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</si>
  <si>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</si>
  <si>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</si>
  <si>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</si>
  <si>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</si>
  <si>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</si>
  <si>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</si>
  <si>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</si>
  <si>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</si>
  <si>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</si>
  <si>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</si>
  <si>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</si>
  <si>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</si>
  <si>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</si>
  <si>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</si>
  <si>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</si>
  <si>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</si>
  <si>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</si>
  <si>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</si>
  <si>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</si>
  <si>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</si>
  <si>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</si>
  <si>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</si>
  <si>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</si>
  <si>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</si>
  <si>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</si>
  <si>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</si>
  <si>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</si>
  <si>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</si>
  <si>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</si>
  <si>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</si>
  <si>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</si>
  <si>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</si>
  <si>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</si>
  <si>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</si>
  <si>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</si>
  <si>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</si>
  <si>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</si>
  <si>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</si>
  <si>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</si>
  <si>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</si>
  <si>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</si>
  <si>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</si>
  <si>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</si>
  <si>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</si>
  <si>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</si>
  <si>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</si>
  <si>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</si>
  <si>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</si>
  <si>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</si>
  <si>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</si>
  <si>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</si>
  <si>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</si>
  <si>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</si>
  <si>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</si>
  <si>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</si>
  <si>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</si>
  <si>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</si>
  <si>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</si>
  <si>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</si>
  <si>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</si>
  <si>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</si>
  <si>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</si>
  <si>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</si>
  <si>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</si>
  <si>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</si>
  <si>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</si>
  <si>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</si>
  <si>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</si>
  <si>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</si>
  <si>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</si>
  <si>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</si>
  <si>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</si>
  <si>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</si>
  <si>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</si>
  <si>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</si>
  <si>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</si>
  <si>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</si>
  <si>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</si>
  <si>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</si>
  <si>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</si>
  <si>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</si>
  <si>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</si>
  <si>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</si>
  <si>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</si>
  <si>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</si>
  <si>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</si>
  <si>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</si>
  <si>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</si>
  <si>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</si>
  <si>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</si>
  <si>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</si>
  <si>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</si>
  <si>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</si>
  <si>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</si>
  <si>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</si>
  <si>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</si>
  <si>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</si>
  <si>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</si>
  <si>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</si>
  <si>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</si>
  <si>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</si>
  <si>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</si>
  <si>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</si>
  <si>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</si>
  <si>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</si>
  <si>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</si>
  <si>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</si>
  <si>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</si>
  <si>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</si>
  <si>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</si>
  <si>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</si>
  <si>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</si>
  <si>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</si>
  <si>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</si>
  <si>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</si>
  <si>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</si>
  <si>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</si>
  <si>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</si>
  <si>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</si>
  <si>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</si>
  <si>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</si>
  <si>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</si>
  <si>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</si>
  <si>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</si>
  <si>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</si>
  <si>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</si>
  <si>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</si>
  <si>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</si>
  <si>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</si>
  <si>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</si>
  <si>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</si>
  <si>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</si>
  <si>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</si>
  <si>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</si>
  <si>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</si>
  <si>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</si>
  <si>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</si>
  <si>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</si>
  <si>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</si>
  <si>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</si>
  <si>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</si>
  <si>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</si>
  <si>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</si>
  <si>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</si>
  <si>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</si>
  <si>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</si>
  <si>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</si>
  <si>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</si>
  <si>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</si>
  <si>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</si>
  <si>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</si>
  <si>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</si>
  <si>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</si>
  <si>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</si>
  <si>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</si>
  <si>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</si>
  <si>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</si>
  <si>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</si>
  <si>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</si>
  <si>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</si>
  <si>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</si>
  <si>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</si>
  <si>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</si>
  <si>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</si>
  <si>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</si>
  <si>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</si>
  <si>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</si>
  <si>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</si>
  <si>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</si>
  <si>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</si>
  <si>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</si>
  <si>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</si>
  <si>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</si>
  <si>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</si>
  <si>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</si>
  <si>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</si>
  <si>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</si>
  <si>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</si>
  <si>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</si>
  <si>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</si>
  <si>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</si>
  <si>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</si>
  <si>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</si>
  <si>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</si>
  <si>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</si>
  <si>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</si>
  <si>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</si>
  <si>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</si>
  <si>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</si>
  <si>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</si>
  <si>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</si>
  <si>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</si>
  <si>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</si>
  <si>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</si>
  <si>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</si>
  <si>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</si>
  <si>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</si>
  <si>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</si>
  <si>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</si>
  <si>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</si>
  <si>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</si>
  <si>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</si>
  <si>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</si>
  <si>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</si>
  <si>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</si>
  <si>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</si>
  <si>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</si>
  <si>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</si>
  <si>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</si>
  <si>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</si>
  <si>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</si>
  <si>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</si>
  <si>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</si>
  <si>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</si>
  <si>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</si>
  <si>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</si>
  <si>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</si>
  <si>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</si>
  <si>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</si>
  <si>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</si>
  <si>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</si>
  <si>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</si>
  <si>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</si>
  <si>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</si>
  <si>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</si>
  <si>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</si>
  <si>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</si>
  <si>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</si>
  <si>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</si>
  <si>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</si>
  <si>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</si>
  <si>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</si>
  <si>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</si>
  <si>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</si>
  <si>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</si>
  <si>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</si>
  <si>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</si>
  <si>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</si>
  <si>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</si>
  <si>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</si>
  <si>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</si>
  <si>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</si>
  <si>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</si>
  <si>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</si>
  <si>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</si>
  <si>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</si>
  <si>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</si>
  <si>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</si>
  <si>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</si>
  <si>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</si>
  <si>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</si>
  <si>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</si>
  <si>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</si>
  <si>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</si>
  <si>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</si>
  <si>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</si>
  <si>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</si>
  <si>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</si>
  <si>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</si>
  <si>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</si>
  <si>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</si>
  <si>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</si>
  <si>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</si>
  <si>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</si>
  <si>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</si>
  <si>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</si>
  <si>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</si>
  <si>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</si>
  <si>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</si>
  <si>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</si>
  <si>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</si>
  <si>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</si>
  <si>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</si>
  <si>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</si>
  <si>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</si>
  <si>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</si>
  <si>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</si>
  <si>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</si>
  <si>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</si>
  <si>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</si>
  <si>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</si>
  <si>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</si>
  <si>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</si>
  <si>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</si>
  <si>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</si>
  <si>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</si>
  <si>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</si>
  <si>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</si>
  <si>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</si>
  <si>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</si>
  <si>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</si>
  <si>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</si>
  <si>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</si>
  <si>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</si>
  <si>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</si>
  <si>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</si>
  <si>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</si>
  <si>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</si>
  <si>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</si>
  <si>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</si>
  <si>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</si>
  <si>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</si>
  <si>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</si>
  <si>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</si>
  <si>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</si>
  <si>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</si>
  <si>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</si>
  <si>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</si>
  <si>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</si>
  <si>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</si>
  <si>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</si>
  <si>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</si>
  <si>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</si>
  <si>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</si>
  <si>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</si>
  <si>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</si>
  <si>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</si>
  <si>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</si>
  <si>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</si>
  <si>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</si>
  <si>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</si>
  <si>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</si>
  <si>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</si>
  <si>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</si>
  <si>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</si>
  <si>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</si>
  <si>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</si>
  <si>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</si>
  <si>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</si>
  <si>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</si>
  <si>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</si>
  <si>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</si>
  <si>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</si>
  <si>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</si>
  <si>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</si>
  <si>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</si>
  <si>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</si>
  <si>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</si>
  <si>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</si>
  <si>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</si>
  <si>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</si>
  <si>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</si>
  <si>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</si>
  <si>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</si>
  <si>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</si>
  <si>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</si>
  <si>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</si>
  <si>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</si>
  <si>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</si>
  <si>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</si>
  <si>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</si>
  <si>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</si>
  <si>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</si>
  <si>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</si>
  <si>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</si>
  <si>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</si>
  <si>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</si>
  <si>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</si>
  <si>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</si>
  <si>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</si>
  <si>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</si>
  <si>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</si>
  <si>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</si>
  <si>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</si>
  <si>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</si>
  <si>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</si>
  <si>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</si>
  <si>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</si>
  <si>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</si>
  <si>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</si>
  <si>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</si>
  <si>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</si>
  <si>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</si>
  <si>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</si>
  <si>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</si>
  <si>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</si>
  <si>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</si>
  <si>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</si>
  <si>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</si>
  <si>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</si>
  <si>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</si>
  <si>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</si>
  <si>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</si>
  <si>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</si>
  <si>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</si>
  <si>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</si>
  <si>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</si>
  <si>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</si>
  <si>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</si>
  <si>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</si>
  <si>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</si>
  <si>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</si>
  <si>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</si>
  <si>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</si>
  <si>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</si>
  <si>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</si>
  <si>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</si>
  <si>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</si>
  <si>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</si>
  <si>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</si>
  <si>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</si>
  <si>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</si>
  <si>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</si>
  <si>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</si>
  <si>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</si>
  <si>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</si>
  <si>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</si>
  <si>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</si>
  <si>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</si>
  <si>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</si>
  <si>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</si>
  <si>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</si>
  <si>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</si>
  <si>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</si>
  <si>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</si>
  <si>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</si>
  <si>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</si>
  <si>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</si>
  <si>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</si>
  <si>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</si>
  <si>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</si>
  <si>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</si>
  <si>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</si>
  <si>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</si>
  <si>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</si>
  <si>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</si>
  <si>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</si>
  <si>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</si>
  <si>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</si>
  <si>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</si>
  <si>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</si>
  <si>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</si>
  <si>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</si>
  <si>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</si>
  <si>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</si>
  <si>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</si>
  <si>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</si>
  <si>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</si>
  <si>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</si>
  <si>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</si>
  <si>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</si>
  <si>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</si>
  <si>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</si>
  <si>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</si>
  <si>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</si>
  <si>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</si>
  <si>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</si>
  <si>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</si>
  <si>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</si>
  <si>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</si>
  <si>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</si>
  <si>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</si>
  <si>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</si>
  <si>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</si>
  <si>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</si>
  <si>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</si>
  <si>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</si>
  <si>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</si>
  <si>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</si>
  <si>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</si>
  <si>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</si>
  <si>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</si>
  <si>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</si>
  <si>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</si>
  <si>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</si>
  <si>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</si>
  <si>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</si>
  <si>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</si>
  <si>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</si>
  <si>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</si>
  <si>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</si>
  <si>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</si>
  <si>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</si>
  <si>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</si>
  <si>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</si>
  <si>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</si>
  <si>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</si>
  <si>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</si>
  <si>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</si>
  <si>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</si>
  <si>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</si>
  <si>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</si>
  <si>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</si>
  <si>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</si>
  <si>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</si>
  <si>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</si>
  <si>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</si>
  <si>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</si>
  <si>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</si>
  <si>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</si>
  <si>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</si>
  <si>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</si>
  <si>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</si>
  <si>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</si>
  <si>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</si>
  <si>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</si>
  <si>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</si>
  <si>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</si>
  <si>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</si>
  <si>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</si>
  <si>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</si>
  <si>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</si>
  <si>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</si>
  <si>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</si>
  <si>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</si>
  <si>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</si>
  <si>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</si>
  <si>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</si>
  <si>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</si>
  <si>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</si>
  <si>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</si>
  <si>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</si>
  <si>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</si>
  <si>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</si>
  <si>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</si>
  <si>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</si>
  <si>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</si>
  <si>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</si>
  <si>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</si>
  <si>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</si>
  <si>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</si>
  <si>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</si>
  <si>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</si>
  <si>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</si>
  <si>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</si>
  <si>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</si>
  <si>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</si>
  <si>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</si>
  <si>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</si>
  <si>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</si>
  <si>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</si>
  <si>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</si>
  <si>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</si>
  <si>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</si>
  <si>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</si>
  <si>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</si>
  <si>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</si>
  <si>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</si>
  <si>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</si>
  <si>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</si>
  <si>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</si>
  <si>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</si>
  <si>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</si>
  <si>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</si>
  <si>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</si>
  <si>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</si>
  <si>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</si>
  <si>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</si>
  <si>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</si>
  <si>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</si>
  <si>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</si>
  <si>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</si>
  <si>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</si>
  <si>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</si>
  <si>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</si>
  <si>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</si>
  <si>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</si>
  <si>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</si>
  <si>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</si>
  <si>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</si>
  <si>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</si>
  <si>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</si>
  <si>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</si>
  <si>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</si>
  <si>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</si>
  <si>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</si>
  <si>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</si>
  <si>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</si>
  <si>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</si>
  <si>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</si>
  <si>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</si>
  <si>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</si>
  <si>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</si>
  <si>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</si>
  <si>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</si>
  <si>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</si>
  <si>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</si>
  <si>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</si>
  <si>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</si>
  <si>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</si>
  <si>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</si>
  <si>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</si>
  <si>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</si>
  <si>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</si>
  <si>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</si>
  <si>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</si>
  <si>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</si>
  <si>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</si>
  <si>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</si>
  <si>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</si>
  <si>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</si>
  <si>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</si>
  <si>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</si>
  <si>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</si>
  <si>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</si>
  <si>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</si>
  <si>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</si>
  <si>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</si>
  <si>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</si>
  <si>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</si>
  <si>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</si>
  <si>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</si>
  <si>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</si>
  <si>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</si>
  <si>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</si>
  <si>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</si>
  <si>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</si>
  <si>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</si>
  <si>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</si>
  <si>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</si>
  <si>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</si>
  <si>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</si>
  <si>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</si>
  <si>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</si>
  <si>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</si>
  <si>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</si>
  <si>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</si>
  <si>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</si>
  <si>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</si>
  <si>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</si>
  <si>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</si>
  <si>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</si>
  <si>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</si>
  <si>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</si>
  <si>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</si>
  <si>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</si>
  <si>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</si>
  <si>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</si>
  <si>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</si>
  <si>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</si>
  <si>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</si>
  <si>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</si>
  <si>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</si>
  <si>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</si>
  <si>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</si>
  <si>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</si>
  <si>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</si>
  <si>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</si>
  <si>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</si>
  <si>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</si>
  <si>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</si>
  <si>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</si>
  <si>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</si>
  <si>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</si>
  <si>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</si>
  <si>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</si>
  <si>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</si>
  <si>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</si>
  <si>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</si>
  <si>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</si>
  <si>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</si>
  <si>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</si>
  <si>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</si>
  <si>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</si>
  <si>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</si>
  <si>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</si>
  <si>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</si>
  <si>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</si>
  <si>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</si>
  <si>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</si>
  <si>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</si>
  <si>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</si>
  <si>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</si>
  <si>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</si>
  <si>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</si>
  <si>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</si>
  <si>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</si>
  <si>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</si>
  <si>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</si>
  <si>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</si>
  <si>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</si>
  <si>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</si>
  <si>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</si>
  <si>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</si>
  <si>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</si>
  <si>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</si>
  <si>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</si>
  <si>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</si>
  <si>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</si>
  <si>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</si>
  <si>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</si>
  <si>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</si>
  <si>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</si>
  <si>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</si>
  <si>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</si>
  <si>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</si>
  <si>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</si>
  <si>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</si>
  <si>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</si>
  <si>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</si>
  <si>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</si>
  <si>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</si>
  <si>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</si>
  <si>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</si>
  <si>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</si>
  <si>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</si>
  <si>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</si>
  <si>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</si>
  <si>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</si>
  <si>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</si>
  <si>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</si>
  <si>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</si>
  <si>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</si>
  <si>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</si>
  <si>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</si>
  <si>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</si>
  <si>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</si>
  <si>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</si>
  <si>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</si>
  <si>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</si>
  <si>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</si>
  <si>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</si>
  <si>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</si>
  <si>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</si>
  <si>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</si>
  <si>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</si>
  <si>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</si>
  <si>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</si>
  <si>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</si>
  <si>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</si>
  <si>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</si>
  <si>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</si>
  <si>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</si>
  <si>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</si>
  <si>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</si>
  <si>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</si>
  <si>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</si>
  <si>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</si>
  <si>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</si>
  <si>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</si>
  <si>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</si>
  <si>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</si>
  <si>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</si>
  <si>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</si>
  <si>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</si>
  <si>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</si>
  <si>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</si>
  <si>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</si>
  <si>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</si>
  <si>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</si>
  <si>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</si>
  <si>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</si>
  <si>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</si>
  <si>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</si>
  <si>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</si>
  <si>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</si>
  <si>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</si>
  <si>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</si>
  <si>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</si>
  <si>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</si>
  <si>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</si>
  <si>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</si>
  <si>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</si>
  <si>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</si>
  <si>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</si>
  <si>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</si>
  <si>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</si>
  <si>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</si>
  <si>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</si>
  <si>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</si>
  <si>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</si>
  <si>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</si>
  <si>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</si>
  <si>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</si>
  <si>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</si>
  <si>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</si>
  <si>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</si>
  <si>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</si>
  <si>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</si>
  <si>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</si>
  <si>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</si>
  <si>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</si>
  <si>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</si>
  <si>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</si>
  <si>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</si>
  <si>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</si>
  <si>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</si>
  <si>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</si>
  <si>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</si>
  <si>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</si>
  <si>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</si>
  <si>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</si>
  <si>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</si>
  <si>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</si>
  <si>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</si>
  <si>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</si>
  <si>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</si>
  <si>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</si>
  <si>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</si>
  <si>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</si>
  <si>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</si>
  <si>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</si>
  <si>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</si>
  <si>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</si>
  <si>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</si>
  <si>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</si>
  <si>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</si>
  <si>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</si>
  <si>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</si>
  <si>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</si>
  <si>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</si>
  <si>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</si>
  <si>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</si>
  <si>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</si>
  <si>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</si>
  <si>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</si>
  <si>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</si>
  <si>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</si>
  <si>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</si>
  <si>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</si>
  <si>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</si>
  <si>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</si>
  <si>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</si>
  <si>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</si>
  <si>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</si>
  <si>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</si>
  <si>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</si>
  <si>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</si>
  <si>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</si>
  <si>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</si>
  <si>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</si>
  <si>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</si>
  <si>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</si>
  <si>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</si>
  <si>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</si>
  <si>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</si>
  <si>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</si>
  <si>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</si>
  <si>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</si>
  <si>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</si>
  <si>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</si>
  <si>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</si>
  <si>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</si>
  <si>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</si>
  <si>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</si>
  <si>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</si>
  <si>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</si>
  <si>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</si>
  <si>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</si>
  <si>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</si>
  <si>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</si>
  <si>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</si>
  <si>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</si>
  <si>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</si>
  <si>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</si>
  <si>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</si>
  <si>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</si>
  <si>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</si>
  <si>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</si>
  <si>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</si>
  <si>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</si>
  <si>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</si>
  <si>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</si>
  <si>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</si>
  <si>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</si>
  <si>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</si>
  <si>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</si>
  <si>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</si>
  <si>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</si>
  <si>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</si>
  <si>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</si>
  <si>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</si>
  <si>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</si>
  <si>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</si>
  <si>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</si>
  <si>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</si>
  <si>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</si>
  <si>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</si>
  <si>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</si>
  <si>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</si>
  <si>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</si>
  <si>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</si>
  <si>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</si>
  <si>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</si>
  <si>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</si>
  <si>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</si>
  <si>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</si>
  <si>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</si>
  <si>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</si>
  <si>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</si>
  <si>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</si>
  <si>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</si>
  <si>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</si>
  <si>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</si>
  <si>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</si>
  <si>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</si>
  <si>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</si>
  <si>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</si>
  <si>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</si>
  <si>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</si>
  <si>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</si>
  <si>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</si>
  <si>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</si>
  <si>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</si>
  <si>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</si>
  <si>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</si>
  <si>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</si>
  <si>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</si>
  <si>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</si>
  <si>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</si>
  <si>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</si>
  <si>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</si>
  <si>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</si>
  <si>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</si>
  <si>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</si>
  <si>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</si>
  <si>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</si>
  <si>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</si>
  <si>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</si>
  <si>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</si>
  <si>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</si>
  <si>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</si>
  <si>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</si>
  <si>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</si>
  <si>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</si>
  <si>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</si>
  <si>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</si>
  <si>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</si>
  <si>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</si>
  <si>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</si>
  <si>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</si>
  <si>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</si>
  <si>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</si>
  <si>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</si>
  <si>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</si>
  <si>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</si>
  <si>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</si>
  <si>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</si>
  <si>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</si>
  <si>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</si>
  <si>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</si>
  <si>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</si>
  <si>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</si>
  <si>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</si>
  <si>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</si>
  <si>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</si>
  <si>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</si>
  <si>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</si>
  <si>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</si>
  <si>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</si>
  <si>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</si>
  <si>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</si>
  <si>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</si>
  <si>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</si>
  <si>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</si>
  <si>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</si>
  <si>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</si>
  <si>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</si>
  <si>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</si>
  <si>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</si>
  <si>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</si>
  <si>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</si>
  <si>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</si>
  <si>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</si>
  <si>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</si>
  <si>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</si>
  <si>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</si>
  <si>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</si>
  <si>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</si>
  <si>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</si>
  <si>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</si>
  <si>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</si>
  <si>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</si>
  <si>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</si>
  <si>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</si>
  <si>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</si>
  <si>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</si>
  <si>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</si>
  <si>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</si>
  <si>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</si>
  <si>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</si>
  <si>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</si>
  <si>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</si>
  <si>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</si>
  <si>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</si>
  <si>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</si>
  <si>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</si>
  <si>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</si>
  <si>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</si>
  <si>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</si>
  <si>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</si>
  <si>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</si>
  <si>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</si>
  <si>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</si>
  <si>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</si>
  <si>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</si>
  <si>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</si>
  <si>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</si>
  <si>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</si>
  <si>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</si>
  <si>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</si>
  <si>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</si>
  <si>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</si>
  <si>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</si>
  <si>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</si>
  <si>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</si>
  <si>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</si>
  <si>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</si>
  <si>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</si>
  <si>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</si>
  <si>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</si>
  <si>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</si>
  <si>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</si>
  <si>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</si>
  <si>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</si>
  <si>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</si>
  <si>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</si>
  <si>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</si>
  <si>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</si>
  <si>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</si>
  <si>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</si>
  <si>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</si>
  <si>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</si>
  <si>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</si>
  <si>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</si>
  <si>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</si>
  <si>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</si>
  <si>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</si>
  <si>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</si>
  <si>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</si>
  <si>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</si>
  <si>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</si>
  <si>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</si>
  <si>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</si>
  <si>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</si>
  <si>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</si>
  <si>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</si>
  <si>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</si>
  <si>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</si>
  <si>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</si>
  <si>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</si>
  <si>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</si>
  <si>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</si>
  <si>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</si>
  <si>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</si>
  <si>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</si>
  <si>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</si>
  <si>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</si>
  <si>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</si>
  <si>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</si>
  <si>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</si>
  <si>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</si>
  <si>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</si>
  <si>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</si>
  <si>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</si>
  <si>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</si>
  <si>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</si>
  <si>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</si>
  <si>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</si>
  <si>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</si>
  <si>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</si>
  <si>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</si>
  <si>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</si>
  <si>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</si>
  <si>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</si>
  <si>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</si>
  <si>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</si>
  <si>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</si>
  <si>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</si>
  <si>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</si>
  <si>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</si>
  <si>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</si>
  <si>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</si>
  <si>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</si>
  <si>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</si>
  <si>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</si>
  <si>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</si>
  <si>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</si>
  <si>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</si>
  <si>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</si>
  <si>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</si>
  <si>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</si>
  <si>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</si>
  <si>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</si>
  <si>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</si>
  <si>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</si>
  <si>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</si>
  <si>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</si>
  <si>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</si>
  <si>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</si>
  <si>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</si>
  <si>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</si>
  <si>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</si>
  <si>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</si>
  <si>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</si>
  <si>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</si>
  <si>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</si>
  <si>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</si>
  <si>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</si>
  <si>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</si>
  <si>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</si>
  <si>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</si>
  <si>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</si>
  <si>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</si>
  <si>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</si>
  <si>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</si>
  <si>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</si>
  <si>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</si>
  <si>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</si>
  <si>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</si>
  <si>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</si>
  <si>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</si>
  <si>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</si>
  <si>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</si>
  <si>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</si>
  <si>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</si>
  <si>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</si>
  <si>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</si>
  <si>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</si>
  <si>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</si>
  <si>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</si>
  <si>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</si>
  <si>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</si>
  <si>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</si>
  <si>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</si>
  <si>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</si>
  <si>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</si>
  <si>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</si>
  <si>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</si>
  <si>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</si>
  <si>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</si>
  <si>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</si>
  <si>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</si>
  <si>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</si>
  <si>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</si>
  <si>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</si>
  <si>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</si>
  <si>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</si>
  <si>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</si>
  <si>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</si>
  <si>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</si>
  <si>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</si>
  <si>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</si>
  <si>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</si>
  <si>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</si>
  <si>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</si>
  <si>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</si>
  <si>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</si>
  <si>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</si>
  <si>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</si>
  <si>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</si>
  <si>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</si>
  <si>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</si>
  <si>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</si>
  <si>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</si>
  <si>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</si>
  <si>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</si>
  <si>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</si>
  <si>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</si>
  <si>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</si>
  <si>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</si>
  <si>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</si>
  <si>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</si>
  <si>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</si>
  <si>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</si>
  <si>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</si>
  <si>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</si>
  <si>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</si>
  <si>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</si>
  <si>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</si>
  <si>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</si>
  <si>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</si>
  <si>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</si>
  <si>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</si>
  <si>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</si>
  <si>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</si>
  <si>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</si>
  <si>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</si>
  <si>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</si>
  <si>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</si>
  <si>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</si>
  <si>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</si>
  <si>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</si>
  <si>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</si>
  <si>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</si>
  <si>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</si>
  <si>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</si>
  <si>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</si>
  <si>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</si>
  <si>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</si>
  <si>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</si>
  <si>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</si>
  <si>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</si>
  <si>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</si>
  <si>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</si>
  <si>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</si>
  <si>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</si>
  <si>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</si>
  <si>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</si>
  <si>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</si>
  <si>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</si>
  <si>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</si>
  <si>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</si>
  <si>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</si>
  <si>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</si>
  <si>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</si>
  <si>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</si>
  <si>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</si>
  <si>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</si>
  <si>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</si>
  <si>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</si>
  <si>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</si>
  <si>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</si>
  <si>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</si>
  <si>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</si>
  <si>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</si>
  <si>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</si>
  <si>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</si>
  <si>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</si>
  <si>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</si>
  <si>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</si>
  <si>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</si>
  <si>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</si>
  <si>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</si>
  <si>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</si>
  <si>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</si>
  <si>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</si>
  <si>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</si>
  <si>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</si>
  <si>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</si>
  <si>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</si>
  <si>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</si>
  <si>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</si>
  <si>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</si>
  <si>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</si>
  <si>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</si>
  <si>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</si>
  <si>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</si>
  <si>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</si>
  <si>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</si>
  <si>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</si>
  <si>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</si>
  <si>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</si>
  <si>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</si>
  <si>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</si>
  <si>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</si>
  <si>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</si>
  <si>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</si>
  <si>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</si>
  <si>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</si>
  <si>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</si>
  <si>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</si>
  <si>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</si>
  <si>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</si>
  <si>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</si>
  <si>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</si>
  <si>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</si>
  <si>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</si>
  <si>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</si>
  <si>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</si>
  <si>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</si>
  <si>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</si>
  <si>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</si>
  <si>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</si>
  <si>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</si>
  <si>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</si>
  <si>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</si>
  <si>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</si>
  <si>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</si>
  <si>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</si>
  <si>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</si>
  <si>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</si>
  <si>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</si>
  <si>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</si>
  <si>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</si>
  <si>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</si>
  <si>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</si>
  <si>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</si>
  <si>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</si>
  <si>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</si>
  <si>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</si>
  <si>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</si>
  <si>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</si>
  <si>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</si>
  <si>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</si>
  <si>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</si>
  <si>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</si>
  <si>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</si>
  <si>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</si>
  <si>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</si>
  <si>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</si>
  <si>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</si>
  <si>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</si>
  <si>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</si>
  <si>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</si>
  <si>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</si>
  <si>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</si>
  <si>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</si>
  <si>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</si>
  <si>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</si>
  <si>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</si>
  <si>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</si>
  <si>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</si>
  <si>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</si>
  <si>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</si>
  <si>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</si>
  <si>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</si>
  <si>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</si>
  <si>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</si>
  <si>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</si>
  <si>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</si>
  <si>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</si>
  <si>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</si>
  <si>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</si>
  <si>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</si>
  <si>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</si>
  <si>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</si>
  <si>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</si>
  <si>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</si>
  <si>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</si>
  <si>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</si>
  <si>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</si>
  <si>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</si>
  <si>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</si>
  <si>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</si>
  <si>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</si>
  <si>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</si>
  <si>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</si>
  <si>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</si>
  <si>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</si>
  <si>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</si>
  <si>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</si>
  <si>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</si>
  <si>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</si>
  <si>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</si>
  <si>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</si>
  <si>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</si>
  <si>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</si>
  <si>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</si>
  <si>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</si>
  <si>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</si>
  <si>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</si>
  <si>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</si>
  <si>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</si>
  <si>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</si>
  <si>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</si>
  <si>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</si>
  <si>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</si>
  <si>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</si>
  <si>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</si>
  <si>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</si>
  <si>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</si>
  <si>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</si>
  <si>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</si>
  <si>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</si>
  <si>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</si>
  <si>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</si>
  <si>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</si>
  <si>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</si>
  <si>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</si>
  <si>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</si>
  <si>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</si>
  <si>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</si>
  <si>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</si>
  <si>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</si>
  <si>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</si>
  <si>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</si>
  <si>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</si>
  <si>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</si>
  <si>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</si>
  <si>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</si>
  <si>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</si>
  <si>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</si>
  <si>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</si>
  <si>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</si>
  <si>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</si>
  <si>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</si>
  <si>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</si>
  <si>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</si>
  <si>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</si>
  <si>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</si>
  <si>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</si>
  <si>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</si>
  <si>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</si>
  <si>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</si>
  <si>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</si>
  <si>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</si>
  <si>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</si>
  <si>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</si>
  <si>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</si>
  <si>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</si>
  <si>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</si>
  <si>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</si>
  <si>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</si>
  <si>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</si>
  <si>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</si>
  <si>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</si>
  <si>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</si>
  <si>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</si>
  <si>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</si>
  <si>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</si>
  <si>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</si>
  <si>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</si>
  <si>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</si>
  <si>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</si>
  <si>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</si>
  <si>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</si>
  <si>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</si>
  <si>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</si>
  <si>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</si>
  <si>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</si>
  <si>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</si>
  <si>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</si>
  <si>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</si>
  <si>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</si>
  <si>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</si>
  <si>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</si>
  <si>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</si>
  <si>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</si>
  <si>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</si>
  <si>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</si>
  <si>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</si>
  <si>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</si>
  <si>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</si>
  <si>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</si>
  <si>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</si>
  <si>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</si>
  <si>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</si>
  <si>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</si>
  <si>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</si>
  <si>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</si>
  <si>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</si>
  <si>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</si>
  <si>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</si>
  <si>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</si>
  <si>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</si>
  <si>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</si>
  <si>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</si>
  <si>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</si>
  <si>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</si>
  <si>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</si>
  <si>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</si>
  <si>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</si>
  <si>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</si>
  <si>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</si>
  <si>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</si>
  <si>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</si>
  <si>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</si>
  <si>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</si>
  <si>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</si>
  <si>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</si>
  <si>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</si>
  <si>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</si>
  <si>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</si>
  <si>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</si>
  <si>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</si>
  <si>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</si>
  <si>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</si>
  <si>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</si>
  <si>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</si>
  <si>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</si>
  <si>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</si>
  <si>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</si>
  <si>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</si>
  <si>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</si>
  <si>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</si>
  <si>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</si>
  <si>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</si>
  <si>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</si>
  <si>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</si>
  <si>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</si>
  <si>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</si>
  <si>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</si>
  <si>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</si>
  <si>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</si>
  <si>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</si>
  <si>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</si>
  <si>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</si>
  <si>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</si>
  <si>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</si>
  <si>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</si>
  <si>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</si>
  <si>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</si>
  <si>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</si>
  <si>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</si>
  <si>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</si>
  <si>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</si>
  <si>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</si>
  <si>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</si>
  <si>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</si>
  <si>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</si>
  <si>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</si>
  <si>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</si>
  <si>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</si>
  <si>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</si>
  <si>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</si>
  <si>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</si>
  <si>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</si>
  <si>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</si>
  <si>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</si>
  <si>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</si>
  <si>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</si>
  <si>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</si>
  <si>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</si>
  <si>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</si>
  <si>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</si>
  <si>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</si>
  <si>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</si>
  <si>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</si>
  <si>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</si>
  <si>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</si>
  <si>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</si>
  <si>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</si>
  <si>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</si>
  <si>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</si>
  <si>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</si>
  <si>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</si>
  <si>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</si>
  <si>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</si>
  <si>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</si>
  <si>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</si>
  <si>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</si>
  <si>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</si>
  <si>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</si>
  <si>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</si>
  <si>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</si>
  <si>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</si>
  <si>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</si>
  <si>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</si>
  <si>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</si>
  <si>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</si>
  <si>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</si>
  <si>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</si>
  <si>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</si>
  <si>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</si>
  <si>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</si>
  <si>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</si>
  <si>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</si>
  <si>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</si>
  <si>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</si>
  <si>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</si>
  <si>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</si>
  <si>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</si>
  <si>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</si>
  <si>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</si>
  <si>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</si>
  <si>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</si>
  <si>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</si>
  <si>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</si>
  <si>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</si>
  <si>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</si>
  <si>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</si>
  <si>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</si>
  <si>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</si>
  <si>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</si>
  <si>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</si>
  <si>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</si>
  <si>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</si>
  <si>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</si>
  <si>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</si>
  <si>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</si>
  <si>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</si>
  <si>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</si>
  <si>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</si>
  <si>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</si>
  <si>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</si>
  <si>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</si>
  <si>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</si>
  <si>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</si>
  <si>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</si>
  <si>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</si>
  <si>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</si>
  <si>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</si>
  <si>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</si>
  <si>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</si>
  <si>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</si>
  <si>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</si>
  <si>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</si>
  <si>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</si>
  <si>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</si>
  <si>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</si>
  <si>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</si>
  <si>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</si>
  <si>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</si>
  <si>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</si>
  <si>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</si>
  <si>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</si>
  <si>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</si>
  <si>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</si>
  <si>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</si>
  <si>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</si>
  <si>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</si>
  <si>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</si>
  <si>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</si>
  <si>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</si>
  <si>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</si>
  <si>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</si>
  <si>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</si>
  <si>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</si>
  <si>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</si>
  <si>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</si>
  <si>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</si>
  <si>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</si>
  <si>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</si>
  <si>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</si>
  <si>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</si>
  <si>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</si>
  <si>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</si>
  <si>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</si>
  <si>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</si>
  <si>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</si>
  <si>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</si>
  <si>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</si>
  <si>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</si>
  <si>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</si>
  <si>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</si>
  <si>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</si>
  <si>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</si>
  <si>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</si>
  <si>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</si>
  <si>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</si>
  <si>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</si>
  <si>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</si>
  <si>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</si>
  <si>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</si>
  <si>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</si>
  <si>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</si>
  <si>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</si>
  <si>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</si>
  <si>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</si>
  <si>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</si>
  <si>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</si>
  <si>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</si>
  <si>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</si>
  <si>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</si>
  <si>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</si>
  <si>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</si>
  <si>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</si>
  <si>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</si>
  <si>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</si>
  <si>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</si>
  <si>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</si>
  <si>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</si>
  <si>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</si>
  <si>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</si>
  <si>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</si>
  <si>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</si>
  <si>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</si>
  <si>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</si>
  <si>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</si>
  <si>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</si>
  <si>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</si>
  <si>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</si>
  <si>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</si>
  <si>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</si>
  <si>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</si>
  <si>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</si>
  <si>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</si>
  <si>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</si>
  <si>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</si>
  <si>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</si>
  <si>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</si>
  <si>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</si>
  <si>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</si>
  <si>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</si>
  <si>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</si>
  <si>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</si>
  <si>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</si>
  <si>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</si>
  <si>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</si>
  <si>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</si>
  <si>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</si>
  <si>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</si>
  <si>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</si>
  <si>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</si>
  <si>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</si>
  <si>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</si>
  <si>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</si>
  <si>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</si>
  <si>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</si>
  <si>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</si>
  <si>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</si>
  <si>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</si>
  <si>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</si>
  <si>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</si>
  <si>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</si>
  <si>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</si>
  <si>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</si>
  <si>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抵押</t>
  </si>
  <si>
    <t>其他：</t>
  </si>
  <si>
    <t>企业</t>
  </si>
  <si>
    <t>否</t>
  </si>
  <si>
    <t>地上</t>
  </si>
  <si>
    <t>商业</t>
  </si>
  <si>
    <t>配套公建</t>
    <phoneticPr fontId="14" type="noConversion"/>
  </si>
  <si>
    <t>住宅</t>
    <phoneticPr fontId="7" type="noConversion"/>
  </si>
  <si>
    <t>商业</t>
    <phoneticPr fontId="7" type="noConversion"/>
  </si>
  <si>
    <t>土地（套用方法）</t>
  </si>
  <si>
    <t>押一</t>
  </si>
  <si>
    <t>剩余法-待开发</t>
  </si>
  <si>
    <t>项目全部</t>
  </si>
  <si>
    <t>土地</t>
  </si>
  <si>
    <t>不动产收益法（商业）</t>
  </si>
  <si>
    <t>70年</t>
  </si>
  <si>
    <t>陕西宏辉实业有限责任公司</t>
  </si>
  <si>
    <t>2017-09-11</t>
  </si>
  <si>
    <t>≥1.7且≤3.5</t>
  </si>
  <si>
    <t>其他普通商品住房用地</t>
  </si>
  <si>
    <t>挂牌</t>
  </si>
  <si>
    <t>住宅用地</t>
  </si>
  <si>
    <t>西安市</t>
  </si>
  <si>
    <t>三里镇马河村</t>
  </si>
  <si>
    <t>住宅70年商业40年</t>
  </si>
  <si>
    <t>住宅、商业</t>
  </si>
  <si>
    <t>综合用地(含住宅)</t>
  </si>
  <si>
    <t>高陵三阳保障性住房建设开发有限公司</t>
  </si>
  <si>
    <t>2017-10-17</t>
  </si>
  <si>
    <t>≥1且≤3.5</t>
  </si>
  <si>
    <t>居住用地</t>
  </si>
  <si>
    <t>高陵区泾河工业园(北区)西高路北侧、渭阳路东侧</t>
  </si>
  <si>
    <t>西安永挺置业有限公司</t>
  </si>
  <si>
    <t>2017-09-06</t>
  </si>
  <si>
    <t>≤3.5</t>
  </si>
  <si>
    <t>高陵区鹿苑大道东侧</t>
  </si>
  <si>
    <t>陕西辰宇实业有限公司</t>
  </si>
  <si>
    <t>2017-08-14</t>
  </si>
  <si>
    <t>居住用地兼容商业金融用地</t>
  </si>
  <si>
    <t>灞桥区电厂西路以东、规划路以南</t>
  </si>
  <si>
    <t>西安尊诺房地产开发有限公司</t>
  </si>
  <si>
    <t>高陵区鹿苑大道西侧</t>
  </si>
  <si>
    <t>陕西嘉园置业有限公司</t>
  </si>
  <si>
    <t>2017-07-19</t>
  </si>
  <si>
    <t>高陵区泾河工业园(北区)东西九横路北侧、渭阳路东侧</t>
  </si>
  <si>
    <t>高陵区西高路南侧</t>
  </si>
  <si>
    <t>西安市怡景苑房地产开发有限公司</t>
  </si>
  <si>
    <t>2017-05-26</t>
  </si>
  <si>
    <t>＞1且≤3.3</t>
  </si>
  <si>
    <t>高陵区皇册村西侧、规划路东侧</t>
  </si>
  <si>
    <t>西安源鑫置业有限公司</t>
  </si>
  <si>
    <t>2017-08-03</t>
  </si>
  <si>
    <t>≤3.7</t>
  </si>
  <si>
    <t>未央区凤城八路以南、经九路以东、环园北路以北</t>
  </si>
  <si>
    <t>住宅70年其他50年</t>
  </si>
  <si>
    <t>2017-09-25</t>
  </si>
  <si>
    <t>住宅≤3.5,其他≥0.5且≤1.2</t>
  </si>
  <si>
    <t>居住、教育科研</t>
  </si>
  <si>
    <t>西安盛开源房地产开发有限责任公司</t>
  </si>
  <si>
    <t>2016-12-31</t>
  </si>
  <si>
    <t>≥2.5且≤3.5</t>
  </si>
  <si>
    <t>周至县云塔南路以东,仙游路以南</t>
  </si>
  <si>
    <t>西安盛和源房地产开发有限公司</t>
  </si>
  <si>
    <t>2017-09-26</t>
  </si>
  <si>
    <t>≥1且≤2.7</t>
  </si>
  <si>
    <t>高陵区上林三路南侧</t>
  </si>
  <si>
    <t>陕西鼎炘置业有限公司</t>
  </si>
  <si>
    <t>≥1且≤2.5</t>
  </si>
  <si>
    <t>高陵区桑军大道西侧、东西一横路北侧</t>
  </si>
  <si>
    <t>陕西丰收置业发展有限公司</t>
  </si>
  <si>
    <t>2017-03-30</t>
  </si>
  <si>
    <t>＞1且≤4.06</t>
  </si>
  <si>
    <t>西安国际港务区迎宾大道以东、郑西客运专线以北</t>
  </si>
  <si>
    <t>陕西荣民房地产集团有限公司</t>
  </si>
  <si>
    <t>2017-06-27</t>
  </si>
  <si>
    <t>大兴新区陕西荣民房地产集团有限公司用地以东、西安中润房地产开发有限责任公司用地以南、莲湖区北关村村民委员会用地以北</t>
  </si>
  <si>
    <t>西安京颐置业有限公司</t>
  </si>
  <si>
    <t>2017-04-18</t>
  </si>
  <si>
    <t>＞1且≤5.72</t>
  </si>
  <si>
    <t>浐灞生态区辛王路以东、欧亚六路以北</t>
  </si>
  <si>
    <t>西安万景美奂置业有限公司</t>
  </si>
  <si>
    <t>2016-12-02</t>
  </si>
  <si>
    <t>＞1且≤4.24</t>
  </si>
  <si>
    <t>长安区郭杜街道办事处,东至崔家营村、西至温国堡村、南至温国堡村、北至温国堡村</t>
  </si>
  <si>
    <t>住宅70年商服40年</t>
  </si>
  <si>
    <t>陕西君威置业有限公司</t>
  </si>
  <si>
    <t>2017-11-02</t>
  </si>
  <si>
    <t>≤3</t>
  </si>
  <si>
    <t>居住、商服</t>
  </si>
  <si>
    <t>拍卖</t>
  </si>
  <si>
    <t>泾渭新城纬六路以南、桑军路以西</t>
  </si>
  <si>
    <t>陕西盛世海宏房地产开发有限公司</t>
  </si>
  <si>
    <t>2017-06-20</t>
  </si>
  <si>
    <t>＞1且≤3.96</t>
  </si>
  <si>
    <t>长安区郭杜街道办事处建业一路以南、翰林路以西、顺兴路以东</t>
  </si>
  <si>
    <t>陕西长建房地产开发集团有限公司</t>
  </si>
  <si>
    <t>2017-03-02</t>
  </si>
  <si>
    <t>＞1且≤3.63</t>
  </si>
  <si>
    <t>长安区韦曲街道办事处西寨村以东,规划路、申店村以西,申店村以北,长安家园以南</t>
  </si>
  <si>
    <t>西安天磊置业有限公司</t>
  </si>
  <si>
    <t>2017-02-28</t>
  </si>
  <si>
    <t>＞1且≤3.59</t>
  </si>
  <si>
    <t>长安区韦曲街道办事处南长安街南端,规划路以北、规划路以南、规划路以西、规划路以东</t>
  </si>
  <si>
    <t>西安驰翔置业有限公司</t>
  </si>
  <si>
    <t>泾渭新城泾环南路以北、渭华路以西</t>
  </si>
  <si>
    <t>2017-03-01</t>
  </si>
  <si>
    <t>＞1且≤3.95</t>
  </si>
  <si>
    <t>灞桥区电厂西路以东、规划路以北</t>
  </si>
  <si>
    <t>住宅70年、商业40年</t>
  </si>
  <si>
    <t>西安尚沃实业有限公司</t>
  </si>
  <si>
    <t>2017-01-25</t>
  </si>
  <si>
    <t>≥1.2且≤3.5</t>
  </si>
  <si>
    <t>住宅、商业用地</t>
  </si>
  <si>
    <t>户县北极路以东、陕西琪祥置业有限公司以南、七一村以西</t>
  </si>
  <si>
    <t>西安海领房地产开发有限公司</t>
  </si>
  <si>
    <t>2016-12-28</t>
  </si>
  <si>
    <t>＞1且≤3.25</t>
  </si>
  <si>
    <t>长安区郭杜街道办事处,建业三路以北,高阳三路以西,高阳四路以东</t>
  </si>
  <si>
    <t>＞1且≤3.21</t>
  </si>
  <si>
    <t>长安区郭杜街道办事处,建业三路以北,高阳三路以东,建业二路以南</t>
  </si>
  <si>
    <t>西安怡阳房地产开发有限责任公司</t>
  </si>
  <si>
    <t>＞1且≤1.5</t>
  </si>
  <si>
    <t>高陵区鹿苑大道以西、上林三路北侧</t>
  </si>
  <si>
    <t>＞1且≤3.14</t>
  </si>
  <si>
    <t>长安区韦曲街道办事处南长安街南端,规划路以北、徐家寨社区以南、规划路以西、黑河管线防护范围以东</t>
  </si>
  <si>
    <t>＞1且≤2.85</t>
  </si>
  <si>
    <t>长安区韦曲街道办事处南长安街南端,规划路以南、规划路以西、黑河管线防护范围以东</t>
  </si>
  <si>
    <t>西安市元侠房地产开发有限责任公司</t>
  </si>
  <si>
    <t>高陵区东二环路东侧</t>
  </si>
  <si>
    <t>陕西丰浩置业有限公司</t>
  </si>
  <si>
    <t>2016-11-03</t>
  </si>
  <si>
    <t>≥3且≤3.5</t>
  </si>
  <si>
    <t>曲江新区长鸣路以西,黄渠头路以南,26号路以东</t>
  </si>
  <si>
    <t>陕西新阳房地产开发有限公司</t>
  </si>
  <si>
    <t>2017-06-14</t>
  </si>
  <si>
    <t>＞1且≤3.737</t>
  </si>
  <si>
    <t>西安市物资回收利用公司长乐公司以南、长十路以西、西安灞业房地产有限公司以北</t>
  </si>
  <si>
    <t>居住70年商服40年</t>
  </si>
  <si>
    <t>西安华美房地产开发有限责任公司</t>
  </si>
  <si>
    <t>2017-10-13</t>
  </si>
  <si>
    <t>≥1且≤2.99</t>
  </si>
  <si>
    <t>阎良区凤凰北街东侧,东至阎良粮油购销站和华美景苑小区,南至龙凤小区,北至前进西路,西至凤凰北路</t>
  </si>
  <si>
    <t>陕西江林英成置业有限公司</t>
  </si>
  <si>
    <t>2017-07-14</t>
  </si>
  <si>
    <t>＞1且≤6.3</t>
  </si>
  <si>
    <t>曲江大明宫啤酒路北侧,东邻陕西华城科技节能服务有限公司</t>
  </si>
  <si>
    <t>西安星凯置业有限公司</t>
  </si>
  <si>
    <t>＞1且≤2.79</t>
  </si>
  <si>
    <t>航天基地东长安街与神舟一路十字东南角</t>
  </si>
  <si>
    <t>西安融逸房地产开发有限公司</t>
  </si>
  <si>
    <t>2017-06-26</t>
  </si>
  <si>
    <t>大兴新区西安融逸房地产开发有限公司用地以北、代征道路以东、以西</t>
  </si>
  <si>
    <t>西安科奥房地产开发有限公司</t>
  </si>
  <si>
    <t>2017-01-26</t>
  </si>
  <si>
    <t>＞1且≤5.1</t>
  </si>
  <si>
    <t>开元路以西、西至代征路、北至代征路</t>
  </si>
  <si>
    <t>陕西九洲电子开发有限责任公司</t>
  </si>
  <si>
    <t>2018-01-07</t>
  </si>
  <si>
    <t>＞1且≤10.74</t>
  </si>
  <si>
    <t>碑林区永宁路以西、长安路以东、友谊路以南</t>
  </si>
  <si>
    <t>陕西宇龙振兴置业有限公司</t>
  </si>
  <si>
    <t>≥1.2且≤2.8</t>
  </si>
  <si>
    <t>户县东新路以南、宏桥路以东、东城路绿地以西</t>
  </si>
  <si>
    <t>＞1且≤5.55</t>
  </si>
  <si>
    <t>开元路以西、西安星火地产开发有限公司以东</t>
  </si>
  <si>
    <t>陕西嘉孚置业有限公司</t>
  </si>
  <si>
    <t>2017-08-30</t>
  </si>
  <si>
    <t>≥1.2且≤2.3</t>
  </si>
  <si>
    <t>综合用地</t>
  </si>
  <si>
    <t>户县友谊路以西。</t>
  </si>
  <si>
    <t>陕西空间房地产有限公司</t>
  </si>
  <si>
    <t>高新区西太路以东,创汇路以南</t>
  </si>
  <si>
    <t>陕西基煜实业有限公司</t>
  </si>
  <si>
    <t>2017-10-23</t>
  </si>
  <si>
    <t>＞1且≤2.5</t>
  </si>
  <si>
    <t>临潼区行者街道办事处辖区,东临六号路、西临四号路、南临五号路、北临规划路</t>
  </si>
  <si>
    <t>西安景寓置业有限公司</t>
  </si>
  <si>
    <t>＞1且≤4.86</t>
  </si>
  <si>
    <t>莲湖区太白路以西、丰庆路以南</t>
  </si>
  <si>
    <t>陕西天和实业发展有限责任公司</t>
  </si>
  <si>
    <t>2017-08-29</t>
  </si>
  <si>
    <t>≤4.34</t>
  </si>
  <si>
    <t>居住、商服用地</t>
  </si>
  <si>
    <t>未央区新行政中心以东、太华路北延伸线西侧</t>
  </si>
  <si>
    <t>陕西荣锦房地产开发有限公司</t>
  </si>
  <si>
    <t>≤3.91</t>
  </si>
  <si>
    <t>陕西华久置业有限公司</t>
  </si>
  <si>
    <t>2017-07-10</t>
  </si>
  <si>
    <t>高新区经十四路以西、彩虹路以北</t>
  </si>
  <si>
    <t>西安惠风置业有限公司</t>
  </si>
  <si>
    <t>大兴新区,西安惠风置业有限公司用地以北、以东</t>
  </si>
  <si>
    <t>西安国谊置业发展有限公司</t>
  </si>
  <si>
    <t>2017-03-28</t>
  </si>
  <si>
    <t>＞1且≤3.374</t>
  </si>
  <si>
    <t>雁塔区西部大道以南、文苑北路以东</t>
  </si>
  <si>
    <t>＞1且≤3.355</t>
  </si>
  <si>
    <t>西安荣盛健康旅游发展有限公司</t>
  </si>
  <si>
    <t>2017-12-01</t>
  </si>
  <si>
    <t>＞1且≤1.4</t>
  </si>
  <si>
    <t>临潼区陕鼓路以南、代王街办山任村以北</t>
  </si>
  <si>
    <t>西安创新利置业有限公司</t>
  </si>
  <si>
    <t>2017-04-13</t>
  </si>
  <si>
    <t>≤4.85</t>
  </si>
  <si>
    <t>灞河新区中小企业局家属院以西、灞河新区储备地以北</t>
  </si>
  <si>
    <t>西安奥达房地产开发有限责任公司</t>
  </si>
  <si>
    <t>2016-11-16</t>
  </si>
  <si>
    <t>＞1且≤4.68</t>
  </si>
  <si>
    <t>未央区尚贤路以东、尚苑路以南</t>
  </si>
  <si>
    <t>＞1且≤4.29</t>
  </si>
  <si>
    <t>未央区尚华路以西、尚苑路以南</t>
  </si>
  <si>
    <t>西安力邦置业有限公司</t>
  </si>
  <si>
    <t>2017-11-30</t>
  </si>
  <si>
    <t>≤4.4</t>
  </si>
  <si>
    <t>航天基地航天西路以北、神舟二路以西</t>
  </si>
  <si>
    <t>西安市宏峰实业有限公司</t>
  </si>
  <si>
    <t>2017-05-08</t>
  </si>
  <si>
    <t>＞1且≤6.84</t>
  </si>
  <si>
    <t>大兴新区昆明路以南、周家围墙村第二村民小组用地以东、西安时代博金置业有限公司用地以北</t>
  </si>
  <si>
    <t>西安市城市建设开发总公司</t>
  </si>
  <si>
    <t>2017-02-24</t>
  </si>
  <si>
    <t>＞1且≤3.5</t>
  </si>
  <si>
    <t>灞桥区席王村以西、新寺路以南</t>
  </si>
  <si>
    <t>2017-04-27</t>
  </si>
  <si>
    <t>灞河新区柳烟路以南、灞瑞二路西安市灞科地产开发有限公司以北、灞丰一路以西、西安市灞科地产开发有限公司以东</t>
  </si>
  <si>
    <t>西安中地置业有限公司</t>
  </si>
  <si>
    <t>2017-01-22</t>
  </si>
  <si>
    <t>＞1且≤2</t>
  </si>
  <si>
    <t>长安区郭杜街办南环路以南、翰林路以西</t>
  </si>
  <si>
    <t>西安蓝光美都企业管理服务有限公司</t>
  </si>
  <si>
    <t>2016-12-26</t>
  </si>
  <si>
    <t>≥2.5且≤3.49</t>
  </si>
  <si>
    <t>沣东新城车城七路以西、征和四路以南</t>
  </si>
  <si>
    <t>西安陆港愿景置业有限公司</t>
  </si>
  <si>
    <t>2017-03-17</t>
  </si>
  <si>
    <t>＞1且≤2.78</t>
  </si>
  <si>
    <t>西安国际港务区迎宾大道以西、西安陆港愿景置业有限公司以北、规划路以南、西安陆港愿景置业有限公司以东</t>
  </si>
  <si>
    <t>陕西科达房地产开发有限公司</t>
  </si>
  <si>
    <t>2017-05-11</t>
  </si>
  <si>
    <t>浐灞生态区通塬路以南、东二环以东</t>
  </si>
  <si>
    <t>≥2.5且≤3.28</t>
  </si>
  <si>
    <t>沣东新城天台路以西、征和四路以南</t>
  </si>
  <si>
    <t>西安国际陆港文远置业有限公司</t>
  </si>
  <si>
    <t>2017-03-20</t>
  </si>
  <si>
    <t>西安国际港务区郑西客运专线以南、规划路以东、规划路以北、规划路以西</t>
  </si>
  <si>
    <t>西安国际陆港文化体育产业有限公司</t>
  </si>
  <si>
    <t>西安国际港务区郑西客运专线以南、柳林路以西、规划路以东、规划路以北</t>
  </si>
  <si>
    <t>西安国际港务区迎宾大道以东、郑西客运专线以南、规划路以北、规划路以西</t>
  </si>
  <si>
    <t>≥2.5且≤3.2</t>
  </si>
  <si>
    <t>沣东新城车城六路以西、征和四路以南</t>
  </si>
  <si>
    <t>2017-03-21</t>
  </si>
  <si>
    <t>西安国际港务区柳林路以西、规划路以南、规划路以东、规划路以北</t>
  </si>
  <si>
    <t>陕西中机腾达置业有限公司</t>
  </si>
  <si>
    <t>2017-04-28</t>
  </si>
  <si>
    <t>未央区凤城八路以南、西安核设备有限公司以西</t>
  </si>
  <si>
    <t>西安国际港务区迎宾大道以东、规划路以南、规划路以西、规划路以北</t>
  </si>
  <si>
    <t>西安国际港务区迎宾大道以东、规划路以南、规划路以西、市土地储备交易中心储备地以北</t>
  </si>
  <si>
    <t>2017-07-12</t>
  </si>
  <si>
    <t>灞桥区灞河西路以西、灞丰二路以东</t>
  </si>
  <si>
    <t>西安国际陆港文兴置业有限公司</t>
  </si>
  <si>
    <t>2017-03-10</t>
  </si>
  <si>
    <t>西安国际港务区潘骞路以南、柳林路以东</t>
  </si>
  <si>
    <t>西安国际陆港文汇置业有限公司</t>
  </si>
  <si>
    <t>西安国际港务区规划路以南、杏渭路以西</t>
  </si>
  <si>
    <t>西安国际陆港文盛置业有限公司</t>
  </si>
  <si>
    <t>西安国际港务区规划路以南、柳林路以东</t>
  </si>
  <si>
    <t>陕西时光房地产开发有限公司</t>
  </si>
  <si>
    <t>2017-07-13</t>
  </si>
  <si>
    <t>长安区郭杜街道办事处西万路以东、韦郭路以北</t>
  </si>
  <si>
    <t>西安国际港务区潘骞路以南、杏渭路以西</t>
  </si>
  <si>
    <t>西安中铁联盈置业有限公司</t>
  </si>
  <si>
    <t>2016-11-19</t>
  </si>
  <si>
    <t>＞1且≤2.8</t>
  </si>
  <si>
    <t>航天基地雁塔南路与航创路十字西南角</t>
  </si>
  <si>
    <t>西安航天基地智昊房地产开发有限责任公司</t>
  </si>
  <si>
    <t>≤3.68</t>
  </si>
  <si>
    <t>航拓路与神舟六路十字东南角</t>
  </si>
  <si>
    <t>西安凯航房地产开发有限公司</t>
  </si>
  <si>
    <t>航天基地航天南路以南,规四路以西</t>
  </si>
  <si>
    <t>陕西冠泽房地产开发有限公司</t>
  </si>
  <si>
    <t>2017-06-28</t>
  </si>
  <si>
    <t>≥2.5且≤3</t>
  </si>
  <si>
    <t>沣东新城昆明路以南、富源二路以西</t>
  </si>
  <si>
    <t>陕西秦皇房地产开发有限公司</t>
  </si>
  <si>
    <t>2017-01-11</t>
  </si>
  <si>
    <t>＞1且≤5.08</t>
  </si>
  <si>
    <t>经开区永徽路东侧,规划路北侧</t>
  </si>
  <si>
    <t>西安国际港务区秦汉大道以南、港务西路以东</t>
  </si>
  <si>
    <t>新城控股集团房地产开发有限公司</t>
  </si>
  <si>
    <t>2017-03-29</t>
  </si>
  <si>
    <t>沣东新城天台路以西、沣明路(昆明路)以北</t>
  </si>
  <si>
    <t>西安威翔置业有限公司</t>
  </si>
  <si>
    <t>2017-11-06</t>
  </si>
  <si>
    <t>经济技术开发区尚林路南侧,尚宏路以西</t>
  </si>
  <si>
    <t>西安惠风房地产开发有限公司</t>
  </si>
  <si>
    <t>＞1且≤4.5</t>
  </si>
  <si>
    <t>经开区常青二路北侧,贞观路西侧</t>
  </si>
  <si>
    <t>陕西金泰恒业房地产有限公司</t>
  </si>
  <si>
    <t>＞1且≤4.78</t>
  </si>
  <si>
    <t>经开区贞观路东侧、凤城八路以南</t>
  </si>
  <si>
    <t>陕西长和房地产开发有限公司</t>
  </si>
  <si>
    <t>＞1且≤5</t>
  </si>
  <si>
    <t>经济技术开发区明光路东侧,凤城七路北侧</t>
  </si>
  <si>
    <t>绿地集团西安置业有限公司</t>
  </si>
  <si>
    <t>2017-06-30</t>
  </si>
  <si>
    <t>≥2且≤2.5</t>
  </si>
  <si>
    <t>彩虹路以南、经二十九路以西</t>
  </si>
  <si>
    <t>西安幸福公园置业有限公司</t>
  </si>
  <si>
    <t>雁塔区公园南路以东、长鸣路以西、北陆路以北</t>
  </si>
  <si>
    <t>西安国际陆港全运村建设开发有限公司</t>
  </si>
  <si>
    <t>2018-01-26</t>
  </si>
  <si>
    <t>≤2.5</t>
  </si>
  <si>
    <t>西安国际港务区秦汉大道以南、柳林路以东</t>
  </si>
  <si>
    <t>住宅70年、科教50年</t>
  </si>
  <si>
    <t>陕西嘉楷投资有限公司</t>
  </si>
  <si>
    <t>2016-12-30</t>
  </si>
  <si>
    <t>≥3且≤3.9</t>
  </si>
  <si>
    <t>住宅、科教</t>
  </si>
  <si>
    <t>高新区木塔寨区域</t>
  </si>
  <si>
    <t>广州市凯尚健康产业有限公司</t>
  </si>
  <si>
    <t>2016-12-05</t>
  </si>
  <si>
    <t>≥1.8且≤2.5</t>
  </si>
  <si>
    <t>长安区子午大道以东,神禾二路以南</t>
  </si>
  <si>
    <t>陕西天朗实业有限公司</t>
  </si>
  <si>
    <t>2016-11-24</t>
  </si>
  <si>
    <t>大兴新区大兴东路以南,规划绿地以北</t>
  </si>
  <si>
    <t>2018-01-25</t>
  </si>
  <si>
    <t>≤2</t>
  </si>
  <si>
    <t>西安国际港务区潘骞路以南、杏渭路以东</t>
  </si>
  <si>
    <t>西安体育中心控股有限公司</t>
  </si>
  <si>
    <t>西安国际港务区广场南路以北、杏渭路以西</t>
  </si>
  <si>
    <t>西安曲江瑞和房地产开发有限公司</t>
  </si>
  <si>
    <t>2017-01-19</t>
  </si>
  <si>
    <t>＞1且≤2.95</t>
  </si>
  <si>
    <t>西安曲江大明宫遗址区,北临凤城二路,东临红旗铁路线</t>
  </si>
  <si>
    <t>≥1.4且＜2.1</t>
  </si>
  <si>
    <t>长安区神禾二路以南,规划路以东</t>
  </si>
  <si>
    <t>西安景齐房地产开发有限公司</t>
  </si>
  <si>
    <t>2017-05-17</t>
  </si>
  <si>
    <t>西安曲江大明宫遗址区北二环以北,红旗铁路线以西</t>
  </si>
  <si>
    <t>住宅70年商办40年</t>
  </si>
  <si>
    <t>西安荣科置业有限公司(旭辉)</t>
  </si>
  <si>
    <t>2017-11-14</t>
  </si>
  <si>
    <t>西安曲江大明宫遗址区,北临凤城三路,西临华远锦悦项目</t>
  </si>
  <si>
    <t>住宅70年商服50年</t>
  </si>
  <si>
    <t>西安唐悦置业有限公司</t>
  </si>
  <si>
    <t>2017-09-30</t>
  </si>
  <si>
    <t>住宅≤2.8,商服≤4</t>
  </si>
  <si>
    <t>住宅,商业</t>
  </si>
  <si>
    <t>未央区北客站以南、尚贤路以西、北三环以北、明光路以东</t>
  </si>
  <si>
    <t>陕西名流置业有限公司</t>
  </si>
  <si>
    <t>≥2.5且≤2.8</t>
  </si>
  <si>
    <t>曲江新区绕城高速以南、陕西名流置业有限公司以东、以北</t>
  </si>
  <si>
    <t>西安鼎盛东越置业有限公司</t>
  </si>
  <si>
    <t>曲江新区雁翔路以西、16号路以北、15号路以南、西康高速公路以东</t>
  </si>
  <si>
    <t>西安嘉润荣成置业有限公司</t>
  </si>
  <si>
    <t>曲江新区雁翔路以西、西康高速公路以东、16号路以南、航天大道以北</t>
  </si>
  <si>
    <t>西安普祥房地产开发有限公司</t>
  </si>
  <si>
    <t>≥1且≤1.5</t>
  </si>
  <si>
    <t>凤凰池东路以南、骊山大道以北、芷阳三路以西、芷阳四路以东</t>
  </si>
  <si>
    <t>临潼区凤凰池东路以南、骊山大道以北、芷阳三路以西、芷阳四路以东</t>
  </si>
  <si>
    <t>深圳祥生创业投资有限公司</t>
  </si>
  <si>
    <t>2017-09-08</t>
  </si>
  <si>
    <t>≥1.5且≤2.1</t>
  </si>
  <si>
    <t>西安浐灞生态区雁鸣北路以南、草甸路以东</t>
  </si>
  <si>
    <t>西安晶南城东置业有限公司</t>
  </si>
  <si>
    <t>2017-04-01</t>
  </si>
  <si>
    <t>灞桥区规划路以东、纺南路以南、国水投资集团西安风电设备股份有限公司以西、国水投资集团西安风电设备股份有限公司以北</t>
  </si>
  <si>
    <t>西安三迪房地产开发有限公司</t>
  </si>
  <si>
    <t>曲江新区西安市第五十四中学南侧</t>
  </si>
  <si>
    <t>曲江新区五典坡路以南、西康高速以西</t>
  </si>
  <si>
    <t>住宅70年、商业40年、科教50年</t>
  </si>
  <si>
    <t>绿地集团西安盛都置业有限公司</t>
  </si>
  <si>
    <t>地块一≤2.8;地块二≤0.78</t>
  </si>
  <si>
    <t>住宅、商业、科教</t>
  </si>
  <si>
    <t>西安曲江大明宫遗址区凤城四路以南、御井路以东</t>
  </si>
  <si>
    <t>西安新城万嘉房地产开发有限公司</t>
  </si>
  <si>
    <t>骊山大道以北、凤凰池东路以南、芷阳五路以东、芷阳四路以西</t>
  </si>
  <si>
    <t>中海地产集团有限公司</t>
  </si>
  <si>
    <t>耀启发展有限公司</t>
  </si>
  <si>
    <t>西安曲江大明宫遗址区,凤城三路以南,红旗铁路线以西</t>
  </si>
  <si>
    <t>万科</t>
  </si>
  <si>
    <t>≤2.8</t>
  </si>
  <si>
    <t>西安曲江大明宫遗址区,北临凤城四路,南临西安珠江投资有限公司</t>
  </si>
  <si>
    <t>西安悦诚置业有限公司</t>
  </si>
  <si>
    <t>2017-12-28</t>
  </si>
  <si>
    <t>中低价位、中小套型普通商品住房用地</t>
  </si>
  <si>
    <t>临潼区悦椿东路以南、芷阳三路以东、骊山大道以北</t>
  </si>
  <si>
    <t>中铁房地产集团西南有限公司</t>
  </si>
  <si>
    <t>灞桥区半引路以东、纺南路以南、规划路以北,规划路、国水投资集团西安风电设备股份有限公司以西</t>
  </si>
  <si>
    <t>贯满有限公司</t>
  </si>
  <si>
    <t>≥2且≤2.8</t>
  </si>
  <si>
    <t>曲江新区裴家崆路以南、航天大道以北、新开门南路以东、西康高速西辅路以西</t>
  </si>
  <si>
    <t>≤1.5</t>
  </si>
  <si>
    <t>西安国际港务区广场南路以北,杏渭路以东;西安国际港务区向东路以北、杏渭路以西</t>
  </si>
  <si>
    <t>西安合汇兴尚置业有限公司</t>
  </si>
  <si>
    <t>≥1.5且≤2</t>
  </si>
  <si>
    <t>曲江新区雁翔路以西、五典坡路以南、西康高速公路以东</t>
  </si>
  <si>
    <t>西安虹瑞置业有限公司</t>
  </si>
  <si>
    <t>曲江新区18号路以东、西安景恒房地产开发有限公司以南</t>
  </si>
  <si>
    <t>金地</t>
  </si>
  <si>
    <t>2017-12-25</t>
  </si>
  <si>
    <t>常宁新区杜永村、任家寨安置社区以南,神禾二路以北,南北五号路以东,南北六号路以西</t>
  </si>
  <si>
    <t>西安秦尚置业有限责任公司</t>
  </si>
  <si>
    <t>2018-01-09</t>
  </si>
  <si>
    <t>≥2且≤3、≥2且≤2.47</t>
  </si>
  <si>
    <t>曲江新区植物园东路以南、雁翔路以东、绕城高速以北</t>
  </si>
  <si>
    <t>金辉</t>
  </si>
  <si>
    <t>2017-07-18</t>
  </si>
  <si>
    <t>＞1且≤4.62</t>
  </si>
  <si>
    <t>雁塔区丈八北路以西、科技路以北</t>
  </si>
  <si>
    <t>陕西金玖置地房地产开发有限公司</t>
  </si>
  <si>
    <t>2017-12-21</t>
  </si>
  <si>
    <t>西安浐灞生态区欧亚四路以南、兴泰北路以东、灞河西路以西</t>
  </si>
  <si>
    <t>陕西尚润房地产开发有限公司</t>
  </si>
  <si>
    <t>2016-12-15</t>
  </si>
  <si>
    <t>雁塔区经五路以西</t>
  </si>
  <si>
    <t>雁塔区经九路以东</t>
  </si>
  <si>
    <t>西安泽合房地产开发有限公司</t>
  </si>
  <si>
    <t>西安浐灞生态区世博大道以南、锦堤五路以东</t>
  </si>
  <si>
    <t>曲江新区植物园东路以南、绕城高速以北</t>
  </si>
  <si>
    <t>恒大地产</t>
  </si>
  <si>
    <t>未央区曹家庙村以南、代征路以西、代征绿地以北</t>
  </si>
  <si>
    <t>＞1且≤3</t>
  </si>
  <si>
    <t>雁塔区科技五路以南、经五路以西</t>
  </si>
  <si>
    <t>雁塔区科技五路以南、经九路以东</t>
  </si>
  <si>
    <t>西安隆顺置业有限公司</t>
  </si>
  <si>
    <t>≥1.2且≤1.3</t>
  </si>
  <si>
    <t>曲江新区雁翔路以东、春林路以北</t>
  </si>
  <si>
    <t>佛山市顺德区碧桂园物业发展有限公司</t>
  </si>
  <si>
    <t>2017-07-26</t>
  </si>
  <si>
    <t>浐灞生态区东三环以西、世博中路以南</t>
  </si>
  <si>
    <t>浐灞生态区新岛路以北、香湖湾五路以东</t>
  </si>
  <si>
    <t>2017-03-03</t>
  </si>
  <si>
    <t>雁塔区科技六路以北、经五路以西</t>
  </si>
  <si>
    <t>雁塔区科技六路以北、经九路以东</t>
  </si>
  <si>
    <t>≥1.2且≤1.5</t>
  </si>
  <si>
    <t>陕西荣德置业有限公司</t>
  </si>
  <si>
    <t>西安浐灞生态区南三环以北、田马路以西</t>
  </si>
  <si>
    <t>西安中央文化商务区控股有限公司</t>
  </si>
  <si>
    <t>曲江新区和谐路以北、汇新路以西</t>
  </si>
  <si>
    <t>碧桂园</t>
  </si>
  <si>
    <t>沣东新城镐京大道以北、沣东八路以西</t>
  </si>
  <si>
    <t>西安玺旭置业有限公司</t>
  </si>
  <si>
    <t>＞1且＜2.8</t>
  </si>
  <si>
    <t>新城区华清西路以南、金花北路以西</t>
  </si>
  <si>
    <t>陕西旅游集团西安旅游文化产业有限公司</t>
  </si>
  <si>
    <t>＞1且≤4.92</t>
  </si>
  <si>
    <t>WY11-2-365-10其他普通商品住房用地、WY11-2-365-11其他商服用地</t>
  </si>
  <si>
    <t>未央区西安煜星置业有限公司以西、代征路以东、以北</t>
  </si>
  <si>
    <t>出让年限</t>
  </si>
  <si>
    <t>溢价率</t>
  </si>
  <si>
    <t>成交楼面价(元/㎡)</t>
  </si>
  <si>
    <t>成交价(万元)</t>
  </si>
  <si>
    <t>受让单位</t>
  </si>
  <si>
    <t>成交日期</t>
  </si>
  <si>
    <t>规划建筑面积(㎡)</t>
  </si>
  <si>
    <t>建设用地面积(㎡)</t>
  </si>
  <si>
    <t>详细规划</t>
  </si>
  <si>
    <t>出让方式</t>
  </si>
  <si>
    <t>用地性质</t>
  </si>
  <si>
    <t>城市</t>
  </si>
  <si>
    <t>地块名称</t>
  </si>
  <si>
    <t>西安监测指标情况一览表</t>
  </si>
  <si>
    <t>时间</t>
  </si>
  <si>
    <t>水平值</t>
  </si>
  <si>
    <t>环比增长率</t>
  </si>
  <si>
    <t>指数</t>
  </si>
  <si>
    <t>正常</t>
  </si>
  <si>
    <t>较好</t>
  </si>
  <si>
    <t>较好</t>
    <phoneticPr fontId="26" type="noConversion"/>
  </si>
  <si>
    <t>七通一平</t>
  </si>
  <si>
    <t>七通一平</t>
    <phoneticPr fontId="26" type="noConversion"/>
  </si>
  <si>
    <t>较规则</t>
  </si>
  <si>
    <t>较规则</t>
    <phoneticPr fontId="26" type="noConversion"/>
  </si>
  <si>
    <t>先锋二路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</si>
  <si>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</si>
  <si>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</si>
  <si>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</si>
  <si>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</si>
  <si>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</si>
  <si>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七通</t>
  </si>
  <si>
    <t>科技六路</t>
    <phoneticPr fontId="26" type="noConversion"/>
  </si>
  <si>
    <t>世博中路</t>
    <phoneticPr fontId="26" type="noConversion"/>
  </si>
  <si>
    <t>凤城二路</t>
    <phoneticPr fontId="26" type="noConversion"/>
  </si>
  <si>
    <t>一般</t>
  </si>
  <si>
    <t>住宅、商业</t>
    <phoneticPr fontId="26" type="noConversion"/>
  </si>
  <si>
    <t>楼面地价</t>
  </si>
  <si>
    <t>车库</t>
  </si>
  <si>
    <t>出让</t>
  </si>
  <si>
    <t>周边居住用地比例、居住小区规模和社区发展完善程度（先锋花园 金科天籁城 华远锦悦）</t>
    <phoneticPr fontId="3" type="noConversion"/>
  </si>
  <si>
    <r>
      <t>XX</t>
    </r>
    <r>
      <rPr>
        <sz val="11"/>
        <color theme="9" tint="-0.249977111117893"/>
        <rFont val="仿宋_GB2312"/>
        <family val="3"/>
        <charset val="134"/>
      </rPr>
      <t>商圈，商业氛围，人流量（万达广场</t>
    </r>
    <r>
      <rPr>
        <sz val="11"/>
        <color theme="9" tint="-0.249977111117893"/>
        <rFont val="Arial"/>
        <family val="2"/>
      </rPr>
      <t xml:space="preserve"> </t>
    </r>
    <r>
      <rPr>
        <sz val="11"/>
        <color theme="9" tint="-0.249977111117893"/>
        <rFont val="仿宋_GB2312"/>
        <family val="3"/>
        <charset val="134"/>
      </rPr>
      <t>大明宫购物中心</t>
    </r>
    <r>
      <rPr>
        <sz val="11"/>
        <color theme="9" tint="-0.249977111117893"/>
        <rFont val="Arial"/>
        <family val="2"/>
      </rPr>
      <t xml:space="preserve"> </t>
    </r>
    <r>
      <rPr>
        <sz val="11"/>
        <color theme="9" tint="-0.249977111117893"/>
        <rFont val="仿宋_GB2312"/>
        <family val="3"/>
        <charset val="134"/>
      </rPr>
      <t>大明宫中央广场</t>
    </r>
    <r>
      <rPr>
        <sz val="11"/>
        <color theme="9" tint="-0.249977111117893"/>
        <rFont val="Arial"/>
        <family val="2"/>
      </rPr>
      <t xml:space="preserve"> </t>
    </r>
    <r>
      <rPr>
        <sz val="11"/>
        <color theme="9" tint="-0.249977111117893"/>
        <rFont val="仿宋_GB2312"/>
        <family val="3"/>
        <charset val="134"/>
      </rPr>
      <t>建材）</t>
    </r>
    <phoneticPr fontId="3" type="noConversion"/>
  </si>
  <si>
    <t>周边道路状况、公共交通通达情况、停车便捷程度（二环北路 17路 209路 245路 地铁3号线辛家庙站2公里</t>
    <phoneticPr fontId="3" type="noConversion"/>
  </si>
  <si>
    <t>大明宫国家遗址公园</t>
    <phoneticPr fontId="3" type="noConversion"/>
  </si>
  <si>
    <t>1.5公里 西安市第三医院 中国工商银行(西安北二环东段支行) 中国农业银行(太华北路支行) 西安市未央区幼儿园 大明宫小学 陕西师范大学锦园国际中学 永辉超市</t>
    <phoneticPr fontId="3" type="noConversion"/>
  </si>
  <si>
    <r>
      <rPr>
        <sz val="11"/>
        <rFont val="宋体"/>
        <family val="3"/>
        <charset val="134"/>
      </rPr>
      <t>天地源枫林意树</t>
    </r>
    <r>
      <rPr>
        <sz val="11"/>
        <rFont val="Arial"/>
        <family val="2"/>
      </rPr>
      <t xml:space="preserve"> </t>
    </r>
    <r>
      <rPr>
        <sz val="11"/>
        <rFont val="宋体"/>
        <family val="3"/>
        <charset val="134"/>
      </rPr>
      <t>高科尚郡</t>
    </r>
    <r>
      <rPr>
        <sz val="11"/>
        <rFont val="Arial"/>
        <family val="2"/>
      </rPr>
      <t xml:space="preserve"> </t>
    </r>
    <r>
      <rPr>
        <sz val="11"/>
        <rFont val="宋体"/>
        <family val="3"/>
        <charset val="134"/>
      </rPr>
      <t>南窑头社区</t>
    </r>
    <phoneticPr fontId="26" type="noConversion"/>
  </si>
  <si>
    <r>
      <t>29</t>
    </r>
    <r>
      <rPr>
        <sz val="11"/>
        <rFont val="宋体"/>
        <family val="3"/>
        <charset val="134"/>
      </rPr>
      <t>路</t>
    </r>
    <r>
      <rPr>
        <sz val="11"/>
        <rFont val="Arial"/>
        <family val="2"/>
      </rPr>
      <t xml:space="preserve"> 260</t>
    </r>
    <r>
      <rPr>
        <sz val="11"/>
        <rFont val="宋体"/>
        <family val="3"/>
        <charset val="134"/>
      </rPr>
      <t>路</t>
    </r>
    <r>
      <rPr>
        <sz val="11"/>
        <rFont val="Arial"/>
        <family val="2"/>
      </rPr>
      <t xml:space="preserve"> 262</t>
    </r>
    <r>
      <rPr>
        <sz val="11"/>
        <rFont val="宋体"/>
        <family val="3"/>
        <charset val="134"/>
      </rPr>
      <t>路</t>
    </r>
    <phoneticPr fontId="26" type="noConversion"/>
  </si>
  <si>
    <t>唐城墙遗址公园</t>
    <phoneticPr fontId="26" type="noConversion"/>
  </si>
  <si>
    <r>
      <t>1.5</t>
    </r>
    <r>
      <rPr>
        <sz val="11"/>
        <rFont val="宋体"/>
        <family val="3"/>
        <charset val="134"/>
      </rPr>
      <t>公里</t>
    </r>
    <r>
      <rPr>
        <sz val="11"/>
        <rFont val="Arial"/>
        <family val="2"/>
      </rPr>
      <t xml:space="preserve"> </t>
    </r>
    <r>
      <rPr>
        <sz val="11"/>
        <rFont val="宋体"/>
        <family val="3"/>
        <charset val="134"/>
      </rPr>
      <t>平安银行</t>
    </r>
    <r>
      <rPr>
        <sz val="11"/>
        <rFont val="Arial"/>
        <family val="2"/>
      </rPr>
      <t>(</t>
    </r>
    <r>
      <rPr>
        <sz val="11"/>
        <rFont val="宋体"/>
        <family val="3"/>
        <charset val="134"/>
      </rPr>
      <t>西安高新支行</t>
    </r>
    <r>
      <rPr>
        <sz val="11"/>
        <rFont val="Arial"/>
        <family val="2"/>
      </rPr>
      <t xml:space="preserve">) </t>
    </r>
    <r>
      <rPr>
        <sz val="11"/>
        <rFont val="宋体"/>
        <family val="3"/>
        <charset val="134"/>
      </rPr>
      <t>中国建设银行</t>
    </r>
    <r>
      <rPr>
        <sz val="11"/>
        <rFont val="Arial"/>
        <family val="2"/>
      </rPr>
      <t>(</t>
    </r>
    <r>
      <rPr>
        <sz val="11"/>
        <rFont val="宋体"/>
        <family val="3"/>
        <charset val="134"/>
      </rPr>
      <t>西安枫林意树支行</t>
    </r>
    <r>
      <rPr>
        <sz val="11"/>
        <rFont val="Arial"/>
        <family val="2"/>
      </rPr>
      <t xml:space="preserve">) </t>
    </r>
    <r>
      <rPr>
        <sz val="11"/>
        <rFont val="宋体"/>
        <family val="3"/>
        <charset val="134"/>
      </rPr>
      <t>品格枫林意树幼儿园</t>
    </r>
    <r>
      <rPr>
        <sz val="11"/>
        <rFont val="Arial"/>
        <family val="2"/>
      </rPr>
      <t xml:space="preserve"> </t>
    </r>
    <r>
      <rPr>
        <sz val="11"/>
        <rFont val="宋体"/>
        <family val="3"/>
        <charset val="134"/>
      </rPr>
      <t>西安市高新第七小学</t>
    </r>
    <r>
      <rPr>
        <sz val="11"/>
        <rFont val="Arial"/>
        <family val="2"/>
      </rPr>
      <t xml:space="preserve"> </t>
    </r>
    <r>
      <rPr>
        <sz val="11"/>
        <rFont val="宋体"/>
        <family val="3"/>
        <charset val="134"/>
      </rPr>
      <t>西安高新第二学校</t>
    </r>
    <r>
      <rPr>
        <sz val="11"/>
        <rFont val="Arial"/>
        <family val="2"/>
      </rPr>
      <t xml:space="preserve"> </t>
    </r>
    <r>
      <rPr>
        <sz val="11"/>
        <rFont val="宋体"/>
        <family val="3"/>
        <charset val="134"/>
      </rPr>
      <t>零点超市</t>
    </r>
    <phoneticPr fontId="26" type="noConversion"/>
  </si>
  <si>
    <t>紫薇花园洲 浐灞金融小区</t>
    <phoneticPr fontId="26" type="noConversion"/>
  </si>
  <si>
    <t>西安砂之船奥莱</t>
    <phoneticPr fontId="26" type="noConversion"/>
  </si>
  <si>
    <r>
      <rPr>
        <sz val="11"/>
        <rFont val="宋体"/>
        <family val="3"/>
        <charset val="134"/>
      </rPr>
      <t>东三环</t>
    </r>
    <r>
      <rPr>
        <sz val="11"/>
        <rFont val="Arial"/>
        <family val="2"/>
      </rPr>
      <t xml:space="preserve"> 47</t>
    </r>
    <r>
      <rPr>
        <sz val="11"/>
        <rFont val="宋体"/>
        <family val="3"/>
        <charset val="134"/>
      </rPr>
      <t>路</t>
    </r>
    <r>
      <rPr>
        <sz val="11"/>
        <rFont val="Arial"/>
        <family val="2"/>
      </rPr>
      <t xml:space="preserve"> 233</t>
    </r>
    <r>
      <rPr>
        <sz val="11"/>
        <rFont val="宋体"/>
        <family val="3"/>
        <charset val="134"/>
      </rPr>
      <t>路</t>
    </r>
    <r>
      <rPr>
        <sz val="11"/>
        <rFont val="Arial"/>
        <family val="2"/>
      </rPr>
      <t xml:space="preserve"> </t>
    </r>
    <r>
      <rPr>
        <sz val="11"/>
        <rFont val="宋体"/>
        <family val="3"/>
        <charset val="134"/>
      </rPr>
      <t>浐灞</t>
    </r>
    <r>
      <rPr>
        <sz val="11"/>
        <rFont val="Arial"/>
        <family val="2"/>
      </rPr>
      <t>1</t>
    </r>
    <r>
      <rPr>
        <sz val="11"/>
        <rFont val="宋体"/>
        <family val="3"/>
        <charset val="134"/>
      </rPr>
      <t>号线</t>
    </r>
    <r>
      <rPr>
        <sz val="11"/>
        <rFont val="Arial"/>
        <family val="2"/>
      </rPr>
      <t xml:space="preserve"> </t>
    </r>
    <r>
      <rPr>
        <sz val="11"/>
        <rFont val="宋体"/>
        <family val="3"/>
        <charset val="134"/>
      </rPr>
      <t>地铁</t>
    </r>
    <r>
      <rPr>
        <sz val="11"/>
        <rFont val="Arial"/>
        <family val="2"/>
      </rPr>
      <t>3</t>
    </r>
    <r>
      <rPr>
        <sz val="11"/>
        <rFont val="宋体"/>
        <family val="3"/>
        <charset val="134"/>
      </rPr>
      <t>号线务庄站</t>
    </r>
    <phoneticPr fontId="26" type="noConversion"/>
  </si>
  <si>
    <t>西安世博园</t>
    <phoneticPr fontId="26" type="noConversion"/>
  </si>
  <si>
    <r>
      <t>1.5</t>
    </r>
    <r>
      <rPr>
        <sz val="11"/>
        <rFont val="宋体"/>
        <family val="3"/>
        <charset val="134"/>
      </rPr>
      <t>公里</t>
    </r>
    <r>
      <rPr>
        <sz val="11"/>
        <rFont val="Arial"/>
        <family val="2"/>
      </rPr>
      <t xml:space="preserve"> </t>
    </r>
    <r>
      <rPr>
        <sz val="11"/>
        <rFont val="宋体"/>
        <family val="3"/>
        <charset val="134"/>
      </rPr>
      <t>秦农银行</t>
    </r>
    <r>
      <rPr>
        <sz val="11"/>
        <rFont val="Arial"/>
        <family val="2"/>
      </rPr>
      <t>(</t>
    </r>
    <r>
      <rPr>
        <sz val="11"/>
        <rFont val="宋体"/>
        <family val="3"/>
        <charset val="134"/>
      </rPr>
      <t>务庄村支行</t>
    </r>
    <r>
      <rPr>
        <sz val="11"/>
        <rFont val="Arial"/>
        <family val="2"/>
      </rPr>
      <t xml:space="preserve">) </t>
    </r>
    <r>
      <rPr>
        <sz val="11"/>
        <rFont val="宋体"/>
        <family val="3"/>
        <charset val="134"/>
      </rPr>
      <t>西安市浐灞第一幼儿园</t>
    </r>
    <r>
      <rPr>
        <sz val="11"/>
        <rFont val="Arial"/>
        <family val="2"/>
      </rPr>
      <t xml:space="preserve"> </t>
    </r>
    <r>
      <rPr>
        <sz val="11"/>
        <rFont val="宋体"/>
        <family val="3"/>
        <charset val="134"/>
      </rPr>
      <t>黄邓小学</t>
    </r>
    <r>
      <rPr>
        <sz val="11"/>
        <rFont val="Arial"/>
        <family val="2"/>
      </rPr>
      <t xml:space="preserve"> </t>
    </r>
    <r>
      <rPr>
        <sz val="11"/>
        <rFont val="宋体"/>
        <family val="3"/>
        <charset val="134"/>
      </rPr>
      <t>西安市浐灞第一中学</t>
    </r>
    <r>
      <rPr>
        <sz val="11"/>
        <rFont val="Arial"/>
        <family val="2"/>
      </rPr>
      <t xml:space="preserve"> </t>
    </r>
    <r>
      <rPr>
        <sz val="11"/>
        <rFont val="宋体"/>
        <family val="3"/>
        <charset val="134"/>
      </rPr>
      <t>万初易购生活超市</t>
    </r>
    <phoneticPr fontId="26" type="noConversion"/>
  </si>
  <si>
    <r>
      <rPr>
        <sz val="11"/>
        <rFont val="宋体"/>
        <family val="3"/>
        <charset val="134"/>
      </rPr>
      <t>百花家园</t>
    </r>
    <r>
      <rPr>
        <sz val="11"/>
        <rFont val="Arial"/>
        <family val="2"/>
      </rPr>
      <t xml:space="preserve"> </t>
    </r>
    <r>
      <rPr>
        <sz val="11"/>
        <rFont val="宋体"/>
        <family val="3"/>
        <charset val="134"/>
      </rPr>
      <t>颐和郡</t>
    </r>
    <r>
      <rPr>
        <sz val="11"/>
        <rFont val="Arial"/>
        <family val="2"/>
      </rPr>
      <t xml:space="preserve"> </t>
    </r>
    <r>
      <rPr>
        <sz val="11"/>
        <rFont val="宋体"/>
        <family val="3"/>
        <charset val="134"/>
      </rPr>
      <t>华远锦悦</t>
    </r>
    <phoneticPr fontId="26" type="noConversion"/>
  </si>
  <si>
    <r>
      <rPr>
        <sz val="11"/>
        <rFont val="宋体"/>
        <family val="3"/>
        <charset val="134"/>
      </rPr>
      <t>万达广场</t>
    </r>
    <r>
      <rPr>
        <sz val="11"/>
        <rFont val="Arial"/>
        <family val="2"/>
      </rPr>
      <t xml:space="preserve"> </t>
    </r>
    <r>
      <rPr>
        <sz val="11"/>
        <rFont val="宋体"/>
        <family val="3"/>
        <charset val="134"/>
      </rPr>
      <t>大明宫购物中心</t>
    </r>
    <phoneticPr fontId="26" type="noConversion"/>
  </si>
  <si>
    <r>
      <rPr>
        <sz val="11"/>
        <rFont val="宋体"/>
        <family val="3"/>
        <charset val="134"/>
      </rPr>
      <t>二环北路</t>
    </r>
    <r>
      <rPr>
        <sz val="11"/>
        <rFont val="Arial"/>
        <family val="2"/>
      </rPr>
      <t xml:space="preserve"> 17</t>
    </r>
    <r>
      <rPr>
        <sz val="11"/>
        <rFont val="宋体"/>
        <family val="3"/>
        <charset val="134"/>
      </rPr>
      <t>路</t>
    </r>
    <r>
      <rPr>
        <sz val="11"/>
        <rFont val="Arial"/>
        <family val="2"/>
      </rPr>
      <t xml:space="preserve"> 209</t>
    </r>
    <r>
      <rPr>
        <sz val="11"/>
        <rFont val="宋体"/>
        <family val="3"/>
        <charset val="134"/>
      </rPr>
      <t>路</t>
    </r>
    <r>
      <rPr>
        <sz val="11"/>
        <rFont val="Arial"/>
        <family val="2"/>
      </rPr>
      <t xml:space="preserve"> 245</t>
    </r>
    <r>
      <rPr>
        <sz val="11"/>
        <rFont val="宋体"/>
        <family val="3"/>
        <charset val="134"/>
      </rPr>
      <t>路</t>
    </r>
    <phoneticPr fontId="26" type="noConversion"/>
  </si>
  <si>
    <r>
      <t>1.5</t>
    </r>
    <r>
      <rPr>
        <sz val="11"/>
        <rFont val="宋体"/>
        <family val="3"/>
        <charset val="134"/>
      </rPr>
      <t>公里</t>
    </r>
    <r>
      <rPr>
        <sz val="11"/>
        <rFont val="Arial"/>
        <family val="2"/>
      </rPr>
      <t xml:space="preserve"> </t>
    </r>
    <r>
      <rPr>
        <sz val="11"/>
        <rFont val="宋体"/>
        <family val="3"/>
        <charset val="134"/>
      </rPr>
      <t>西安市第三医院</t>
    </r>
    <r>
      <rPr>
        <sz val="11"/>
        <rFont val="Arial"/>
        <family val="2"/>
      </rPr>
      <t xml:space="preserve"> </t>
    </r>
    <r>
      <rPr>
        <sz val="11"/>
        <rFont val="宋体"/>
        <family val="3"/>
        <charset val="134"/>
      </rPr>
      <t>兴业银行</t>
    </r>
    <r>
      <rPr>
        <sz val="11"/>
        <rFont val="Arial"/>
        <family val="2"/>
      </rPr>
      <t>(</t>
    </r>
    <r>
      <rPr>
        <sz val="11"/>
        <rFont val="宋体"/>
        <family val="3"/>
        <charset val="134"/>
      </rPr>
      <t>西安太华北路支行</t>
    </r>
    <r>
      <rPr>
        <sz val="11"/>
        <rFont val="Arial"/>
        <family val="2"/>
      </rPr>
      <t xml:space="preserve">) </t>
    </r>
    <r>
      <rPr>
        <sz val="11"/>
        <rFont val="宋体"/>
        <family val="3"/>
        <charset val="134"/>
      </rPr>
      <t>平安银行</t>
    </r>
    <r>
      <rPr>
        <sz val="11"/>
        <rFont val="Arial"/>
        <family val="2"/>
      </rPr>
      <t>(</t>
    </r>
    <r>
      <rPr>
        <sz val="11"/>
        <rFont val="宋体"/>
        <family val="3"/>
        <charset val="134"/>
      </rPr>
      <t>西安锦园君逸社区支行</t>
    </r>
    <r>
      <rPr>
        <sz val="11"/>
        <rFont val="Arial"/>
        <family val="2"/>
      </rPr>
      <t xml:space="preserve">) </t>
    </r>
    <r>
      <rPr>
        <sz val="11"/>
        <rFont val="宋体"/>
        <family val="3"/>
        <charset val="134"/>
      </rPr>
      <t>西安市未央区幼儿园</t>
    </r>
    <r>
      <rPr>
        <sz val="11"/>
        <rFont val="Arial"/>
        <family val="2"/>
      </rPr>
      <t xml:space="preserve"> </t>
    </r>
    <r>
      <rPr>
        <sz val="11"/>
        <rFont val="宋体"/>
        <family val="3"/>
        <charset val="134"/>
      </rPr>
      <t>大明宫小学</t>
    </r>
    <r>
      <rPr>
        <sz val="11"/>
        <rFont val="Arial"/>
        <family val="2"/>
      </rPr>
      <t xml:space="preserve"> </t>
    </r>
    <r>
      <rPr>
        <sz val="11"/>
        <rFont val="宋体"/>
        <family val="3"/>
        <charset val="134"/>
      </rPr>
      <t>西安外国语学校</t>
    </r>
    <r>
      <rPr>
        <sz val="11"/>
        <rFont val="Arial"/>
        <family val="2"/>
      </rPr>
      <t xml:space="preserve"> </t>
    </r>
    <r>
      <rPr>
        <sz val="11"/>
        <rFont val="宋体"/>
        <family val="3"/>
        <charset val="134"/>
      </rPr>
      <t>永辉超市</t>
    </r>
    <phoneticPr fontId="26" type="noConversion"/>
  </si>
  <si>
    <t>大明宫国家遗址公园</t>
    <phoneticPr fontId="26" type="noConversion"/>
  </si>
  <si>
    <t>售价</t>
  </si>
  <si>
    <t>住宅</t>
    <phoneticPr fontId="21" type="noConversion"/>
  </si>
  <si>
    <t>60-70（含）</t>
  </si>
  <si>
    <t xml:space="preserve"> 中国铁建·西派国际 </t>
    <phoneticPr fontId="3" type="noConversion"/>
  </si>
  <si>
    <t>高</t>
    <phoneticPr fontId="21" type="noConversion"/>
  </si>
  <si>
    <t>中</t>
    <phoneticPr fontId="21" type="noConversion"/>
  </si>
  <si>
    <t>低</t>
    <phoneticPr fontId="21" type="noConversion"/>
  </si>
  <si>
    <t>融创西安壹号院</t>
    <phoneticPr fontId="3" type="noConversion"/>
  </si>
  <si>
    <t>小高层</t>
  </si>
  <si>
    <t>小高层</t>
    <phoneticPr fontId="21" type="noConversion"/>
  </si>
  <si>
    <t>高层</t>
  </si>
  <si>
    <t>高层</t>
    <phoneticPr fontId="21" type="noConversion"/>
  </si>
  <si>
    <t>精装修</t>
  </si>
  <si>
    <t>精装修</t>
    <phoneticPr fontId="21" type="noConversion"/>
  </si>
  <si>
    <t>专业</t>
  </si>
  <si>
    <t>专业</t>
    <phoneticPr fontId="21" type="noConversion"/>
  </si>
  <si>
    <t>七通</t>
    <phoneticPr fontId="21" type="noConversion"/>
  </si>
  <si>
    <t>中档</t>
  </si>
  <si>
    <t>中档</t>
    <phoneticPr fontId="21" type="noConversion"/>
  </si>
  <si>
    <t>钢混</t>
  </si>
  <si>
    <t>钢混</t>
    <phoneticPr fontId="21" type="noConversion"/>
  </si>
  <si>
    <t>平层</t>
  </si>
  <si>
    <t>平层</t>
    <phoneticPr fontId="21" type="noConversion"/>
  </si>
  <si>
    <t>西安市新城区华清路与东二环交汇处西南角</t>
    <phoneticPr fontId="3" type="noConversion"/>
  </si>
  <si>
    <t>地下</t>
  </si>
  <si>
    <t>市场价格</t>
  </si>
  <si>
    <t>未央区凤城一路以南、百寰国际项目用地以北、先锋南北二路以西</t>
    <phoneticPr fontId="6" type="noConversion"/>
  </si>
  <si>
    <t>西安迪雅置业有限公司</t>
    <phoneticPr fontId="6" type="noConversion"/>
  </si>
  <si>
    <t>住宅、商业及地下车库</t>
    <phoneticPr fontId="6" type="noConversion"/>
  </si>
  <si>
    <t>《西安市规划局规划条件书（曲2018-1）》</t>
    <phoneticPr fontId="6" type="noConversion"/>
  </si>
  <si>
    <t>二类居住用地</t>
    <phoneticPr fontId="6" type="noConversion"/>
  </si>
  <si>
    <t>一致</t>
  </si>
  <si>
    <t>符合</t>
  </si>
  <si>
    <t>居住项目</t>
  </si>
  <si>
    <t>含保障性住房</t>
  </si>
  <si>
    <t>租赁型保障房</t>
    <phoneticPr fontId="6" type="noConversion"/>
  </si>
  <si>
    <t>场地平整</t>
  </si>
  <si>
    <t>平整</t>
  </si>
  <si>
    <t>通路</t>
  </si>
  <si>
    <t>通电</t>
  </si>
  <si>
    <t>通讯</t>
  </si>
  <si>
    <t>通上水</t>
  </si>
  <si>
    <t>通下水</t>
  </si>
  <si>
    <t>通热</t>
  </si>
  <si>
    <t>燃气</t>
  </si>
  <si>
    <t>地下车库</t>
    <phoneticPr fontId="7" type="noConversion"/>
  </si>
  <si>
    <t>不动产收益法（地下车库）</t>
  </si>
  <si>
    <t>配套公建</t>
    <phoneticPr fontId="3" type="noConversion"/>
  </si>
  <si>
    <t>《西安凤城一路住宅小区项目综合用地技术经济指标表》</t>
    <phoneticPr fontId="3" type="noConversion"/>
  </si>
  <si>
    <t>太华路与北二环十字东南角</t>
    <phoneticPr fontId="3" type="noConversion"/>
  </si>
  <si>
    <t>楼层</t>
    <phoneticPr fontId="21" type="noConversion"/>
  </si>
  <si>
    <r>
      <t>200</t>
    </r>
    <r>
      <rPr>
        <sz val="11"/>
        <color rgb="FFFF0000"/>
        <rFont val="宋体"/>
        <family val="3"/>
        <charset val="134"/>
      </rPr>
      <t>（只剩顶层一套）</t>
    </r>
    <phoneticPr fontId="21" type="noConversion"/>
  </si>
  <si>
    <t xml:space="preserve">请录依据文件名称：http://www.xazw.gov.cn/websac/cat/1743067.html </t>
    <phoneticPr fontId="3" type="noConversion"/>
  </si>
  <si>
    <t>楼层</t>
    <phoneticPr fontId="21" type="noConversion"/>
  </si>
  <si>
    <t>中层</t>
    <phoneticPr fontId="21" type="noConversion"/>
  </si>
  <si>
    <t>顶层</t>
    <phoneticPr fontId="21" type="noConversion"/>
  </si>
  <si>
    <t>田马路</t>
    <phoneticPr fontId="233" type="noConversion"/>
  </si>
  <si>
    <t>汇新路</t>
    <phoneticPr fontId="233" type="noConversion"/>
  </si>
  <si>
    <t>镐京大道</t>
    <phoneticPr fontId="233" type="noConversion"/>
  </si>
  <si>
    <t>次干道</t>
  </si>
  <si>
    <t>润景怡园</t>
    <phoneticPr fontId="233" type="noConversion"/>
  </si>
  <si>
    <t>长丰园小区 华城万象 华侨城-天鹅堡</t>
    <phoneticPr fontId="233" type="noConversion"/>
  </si>
  <si>
    <r>
      <rPr>
        <sz val="11"/>
        <rFont val="宋体"/>
        <family val="3"/>
        <charset val="134"/>
      </rPr>
      <t>西安绕城高速</t>
    </r>
    <r>
      <rPr>
        <sz val="11"/>
        <rFont val="Arial"/>
        <family val="2"/>
      </rPr>
      <t xml:space="preserve"> 19</t>
    </r>
    <r>
      <rPr>
        <sz val="11"/>
        <rFont val="宋体"/>
        <family val="3"/>
        <charset val="134"/>
      </rPr>
      <t>路</t>
    </r>
    <r>
      <rPr>
        <sz val="11"/>
        <rFont val="Arial"/>
        <family val="2"/>
      </rPr>
      <t xml:space="preserve"> 44</t>
    </r>
    <r>
      <rPr>
        <sz val="11"/>
        <rFont val="宋体"/>
        <family val="3"/>
        <charset val="134"/>
      </rPr>
      <t>路</t>
    </r>
    <r>
      <rPr>
        <sz val="11"/>
        <rFont val="Arial"/>
        <family val="2"/>
      </rPr>
      <t xml:space="preserve"> 106</t>
    </r>
    <r>
      <rPr>
        <sz val="11"/>
        <rFont val="宋体"/>
        <family val="3"/>
        <charset val="134"/>
      </rPr>
      <t>路</t>
    </r>
    <r>
      <rPr>
        <sz val="11"/>
        <rFont val="Arial"/>
        <family val="2"/>
      </rPr>
      <t xml:space="preserve"> 2</t>
    </r>
    <r>
      <rPr>
        <sz val="11"/>
        <rFont val="宋体"/>
        <family val="3"/>
        <charset val="134"/>
      </rPr>
      <t>号线会展中心</t>
    </r>
    <phoneticPr fontId="233" type="noConversion"/>
  </si>
  <si>
    <r>
      <rPr>
        <sz val="11"/>
        <rFont val="宋体"/>
        <family val="3"/>
        <charset val="134"/>
      </rPr>
      <t>西安市第八医院</t>
    </r>
    <r>
      <rPr>
        <sz val="11"/>
        <rFont val="Arial"/>
        <family val="2"/>
      </rPr>
      <t xml:space="preserve">  </t>
    </r>
    <r>
      <rPr>
        <sz val="11"/>
        <rFont val="宋体"/>
        <family val="3"/>
        <charset val="134"/>
      </rPr>
      <t>中国工商银行</t>
    </r>
    <r>
      <rPr>
        <sz val="11"/>
        <rFont val="Arial"/>
        <family val="2"/>
      </rPr>
      <t>(</t>
    </r>
    <r>
      <rPr>
        <sz val="11"/>
        <rFont val="宋体"/>
        <family val="3"/>
        <charset val="134"/>
      </rPr>
      <t>西安长安南路支行</t>
    </r>
    <r>
      <rPr>
        <sz val="11"/>
        <rFont val="Arial"/>
        <family val="2"/>
      </rPr>
      <t xml:space="preserve">) </t>
    </r>
    <r>
      <rPr>
        <sz val="11"/>
        <rFont val="宋体"/>
        <family val="3"/>
        <charset val="134"/>
      </rPr>
      <t>招商银行</t>
    </r>
    <r>
      <rPr>
        <sz val="11"/>
        <rFont val="Arial"/>
        <family val="2"/>
      </rPr>
      <t>(</t>
    </r>
    <r>
      <rPr>
        <sz val="11"/>
        <rFont val="宋体"/>
        <family val="3"/>
        <charset val="134"/>
      </rPr>
      <t>西安长安南路支行</t>
    </r>
    <r>
      <rPr>
        <sz val="11"/>
        <rFont val="Arial"/>
        <family val="2"/>
      </rPr>
      <t xml:space="preserve">) </t>
    </r>
    <r>
      <rPr>
        <sz val="11"/>
        <rFont val="宋体"/>
        <family val="3"/>
        <charset val="134"/>
      </rPr>
      <t>东三爻祈诺幼儿园</t>
    </r>
    <r>
      <rPr>
        <sz val="11"/>
        <rFont val="Arial"/>
        <family val="2"/>
      </rPr>
      <t xml:space="preserve"> </t>
    </r>
    <r>
      <rPr>
        <sz val="11"/>
        <rFont val="宋体"/>
        <family val="3"/>
        <charset val="134"/>
      </rPr>
      <t>东三爻小学</t>
    </r>
    <phoneticPr fontId="233" type="noConversion"/>
  </si>
  <si>
    <t xml:space="preserve">陕西自然博物馆 陕西社会主义学院  陕西师范大学 </t>
    <phoneticPr fontId="233" type="noConversion"/>
  </si>
  <si>
    <t>较差</t>
  </si>
  <si>
    <r>
      <rPr>
        <sz val="11"/>
        <rFont val="宋体"/>
        <family val="3"/>
        <charset val="134"/>
      </rPr>
      <t>融创天朗融公馆</t>
    </r>
    <r>
      <rPr>
        <sz val="11"/>
        <rFont val="Arial"/>
        <family val="2"/>
      </rPr>
      <t xml:space="preserve"> </t>
    </r>
    <r>
      <rPr>
        <sz val="11"/>
        <rFont val="宋体"/>
        <family val="3"/>
        <charset val="134"/>
      </rPr>
      <t>月登阁新村</t>
    </r>
    <r>
      <rPr>
        <sz val="11"/>
        <rFont val="Arial"/>
        <family val="2"/>
      </rPr>
      <t xml:space="preserve"> </t>
    </r>
    <r>
      <rPr>
        <sz val="11"/>
        <rFont val="宋体"/>
        <family val="3"/>
        <charset val="134"/>
      </rPr>
      <t>西安恒大御龙湾</t>
    </r>
    <phoneticPr fontId="233" type="noConversion"/>
  </si>
  <si>
    <r>
      <rPr>
        <sz val="11"/>
        <rFont val="宋体"/>
        <family val="3"/>
        <charset val="134"/>
      </rPr>
      <t>南三环路</t>
    </r>
    <r>
      <rPr>
        <sz val="11"/>
        <rFont val="Arial"/>
        <family val="2"/>
      </rPr>
      <t xml:space="preserve"> 208</t>
    </r>
    <r>
      <rPr>
        <sz val="11"/>
        <rFont val="宋体"/>
        <family val="3"/>
        <charset val="134"/>
      </rPr>
      <t>路</t>
    </r>
    <r>
      <rPr>
        <sz val="11"/>
        <rFont val="Arial"/>
        <family val="2"/>
      </rPr>
      <t xml:space="preserve"> 270</t>
    </r>
    <r>
      <rPr>
        <sz val="11"/>
        <rFont val="宋体"/>
        <family val="3"/>
        <charset val="134"/>
      </rPr>
      <t>路</t>
    </r>
    <r>
      <rPr>
        <sz val="11"/>
        <rFont val="Arial"/>
        <family val="2"/>
      </rPr>
      <t xml:space="preserve"> 602</t>
    </r>
    <r>
      <rPr>
        <sz val="11"/>
        <rFont val="宋体"/>
        <family val="3"/>
        <charset val="134"/>
      </rPr>
      <t>路</t>
    </r>
    <r>
      <rPr>
        <sz val="11"/>
        <rFont val="Arial"/>
        <family val="2"/>
      </rPr>
      <t xml:space="preserve"> </t>
    </r>
    <r>
      <rPr>
        <sz val="11"/>
        <rFont val="宋体"/>
        <family val="3"/>
        <charset val="134"/>
      </rPr>
      <t>地铁</t>
    </r>
    <r>
      <rPr>
        <sz val="11"/>
        <rFont val="Arial"/>
        <family val="2"/>
      </rPr>
      <t>5</t>
    </r>
    <r>
      <rPr>
        <sz val="11"/>
        <rFont val="宋体"/>
        <family val="3"/>
        <charset val="134"/>
      </rPr>
      <t>号长鸣路站在建</t>
    </r>
    <phoneticPr fontId="233" type="noConversion"/>
  </si>
  <si>
    <r>
      <rPr>
        <sz val="11"/>
        <rFont val="宋体"/>
        <family val="3"/>
        <charset val="134"/>
      </rPr>
      <t>腾飞幼儿园</t>
    </r>
    <r>
      <rPr>
        <sz val="11"/>
        <rFont val="Arial"/>
        <family val="2"/>
      </rPr>
      <t xml:space="preserve"> </t>
    </r>
    <r>
      <rPr>
        <sz val="11"/>
        <rFont val="宋体"/>
        <family val="3"/>
        <charset val="134"/>
      </rPr>
      <t>马腾空小学</t>
    </r>
    <phoneticPr fontId="233" type="noConversion"/>
  </si>
  <si>
    <r>
      <rPr>
        <sz val="11"/>
        <rFont val="宋体"/>
        <family val="3"/>
        <charset val="134"/>
      </rPr>
      <t>西安绕城高速</t>
    </r>
    <r>
      <rPr>
        <sz val="11"/>
        <rFont val="Arial"/>
        <family val="2"/>
      </rPr>
      <t xml:space="preserve"> 365</t>
    </r>
    <r>
      <rPr>
        <sz val="11"/>
        <rFont val="宋体"/>
        <family val="3"/>
        <charset val="134"/>
      </rPr>
      <t>路</t>
    </r>
    <r>
      <rPr>
        <sz val="11"/>
        <rFont val="Arial"/>
        <family val="2"/>
      </rPr>
      <t xml:space="preserve"> e9</t>
    </r>
    <r>
      <rPr>
        <sz val="11"/>
        <rFont val="宋体"/>
        <family val="3"/>
        <charset val="134"/>
      </rPr>
      <t>路</t>
    </r>
    <phoneticPr fontId="233" type="noConversion"/>
  </si>
  <si>
    <t>沣东第六初级中学 沣东第六小学 沣东第六幼儿园</t>
    <phoneticPr fontId="233" type="noConversion"/>
  </si>
  <si>
    <t>昆明池</t>
    <phoneticPr fontId="233" type="noConversion"/>
  </si>
  <si>
    <t>租赁型保障房</t>
    <phoneticPr fontId="233" type="noConversion"/>
  </si>
  <si>
    <t>现房销售</t>
    <phoneticPr fontId="233" type="noConversion"/>
  </si>
  <si>
    <t>商业自持</t>
    <phoneticPr fontId="233" type="noConversion"/>
  </si>
  <si>
    <t>雁鸣湖公园</t>
    <phoneticPr fontId="233" type="noConversion"/>
  </si>
  <si>
    <t>竞拍限制条件</t>
    <phoneticPr fontId="233" type="noConversion"/>
  </si>
  <si>
    <t>现房销售</t>
    <phoneticPr fontId="233" type="noConversion"/>
  </si>
  <si>
    <t>无</t>
    <phoneticPr fontId="233" type="noConversion"/>
  </si>
  <si>
    <t>无</t>
    <phoneticPr fontId="233" type="noConversion"/>
  </si>
  <si>
    <t>现房销售</t>
    <phoneticPr fontId="233" type="noConversion"/>
  </si>
  <si>
    <t>溢价</t>
  </si>
  <si>
    <t>溢价</t>
    <phoneticPr fontId="233" type="noConversion"/>
  </si>
  <si>
    <t>比较法-住宅、综合（6000+）</t>
  </si>
  <si>
    <r>
      <t>比较法</t>
    </r>
    <r>
      <rPr>
        <sz val="11"/>
        <color theme="1"/>
        <rFont val="Arial"/>
        <family val="2"/>
      </rPr>
      <t>-</t>
    </r>
    <r>
      <rPr>
        <sz val="11"/>
        <color theme="1"/>
        <rFont val="宋体"/>
        <family val="3"/>
        <charset val="134"/>
      </rPr>
      <t>住宅、综合（</t>
    </r>
    <r>
      <rPr>
        <sz val="11"/>
        <color theme="1"/>
        <rFont val="Arial"/>
        <family val="2"/>
      </rPr>
      <t>6000+</t>
    </r>
    <r>
      <rPr>
        <sz val="11"/>
        <color theme="1"/>
        <rFont val="宋体"/>
        <family val="3"/>
        <charset val="134"/>
      </rPr>
      <t>）</t>
    </r>
  </si>
  <si>
    <t>其他省市系数</t>
  </si>
  <si>
    <t>陕西省西安市</t>
    <phoneticPr fontId="6" type="noConversion"/>
  </si>
  <si>
    <t>五矿国际信托有限公司</t>
    <phoneticPr fontId="6" type="noConversion"/>
  </si>
  <si>
    <t>《西安凤城一路住宅小区项目综合用地技术经济指标表》、《西安市规划局规划条件书（曲2018-1）》</t>
    <phoneticPr fontId="6" type="noConversion"/>
  </si>
  <si>
    <t>计容建筑面积</t>
    <phoneticPr fontId="233" type="noConversion"/>
  </si>
  <si>
    <t>其中</t>
    <phoneticPr fontId="233" type="noConversion"/>
  </si>
  <si>
    <t>住宅</t>
    <phoneticPr fontId="233" type="noConversion"/>
  </si>
  <si>
    <t>商业</t>
    <phoneticPr fontId="233" type="noConversion"/>
  </si>
  <si>
    <t>配套公建</t>
    <phoneticPr fontId="233" type="noConversion"/>
  </si>
  <si>
    <t>不计容建筑面积</t>
    <phoneticPr fontId="233" type="noConversion"/>
  </si>
  <si>
    <t>地下车库</t>
    <phoneticPr fontId="233" type="noConversion"/>
  </si>
  <si>
    <t>租赁型保障房</t>
    <phoneticPr fontId="233" type="noConversion"/>
  </si>
  <si>
    <t>总规划建筑面积</t>
    <phoneticPr fontId="233" type="noConversion"/>
  </si>
  <si>
    <r>
      <rPr>
        <sz val="10"/>
        <rFont val="宋体"/>
        <family val="3"/>
        <charset val="134"/>
      </rPr>
      <t>曲江新区裴家崆路以南、航天大道以北、新开门南路以西、</t>
    </r>
    <r>
      <rPr>
        <sz val="10"/>
        <rFont val="Arial"/>
        <family val="2"/>
      </rPr>
      <t>29</t>
    </r>
    <r>
      <rPr>
        <sz val="10"/>
        <rFont val="宋体"/>
        <family val="3"/>
        <charset val="134"/>
      </rPr>
      <t>号路以东</t>
    </r>
    <phoneticPr fontId="233" type="noConversion"/>
  </si>
  <si>
    <t>毛坯</t>
  </si>
  <si>
    <t>毛坯</t>
    <phoneticPr fontId="21" type="noConversion"/>
  </si>
  <si>
    <t>好</t>
  </si>
  <si>
    <t>总规划建筑面积</t>
    <phoneticPr fontId="233" type="noConversion"/>
  </si>
  <si>
    <t>地上</t>
    <phoneticPr fontId="233" type="noConversion"/>
  </si>
  <si>
    <t>住宅</t>
    <phoneticPr fontId="233" type="noConversion"/>
  </si>
  <si>
    <t>商业</t>
    <phoneticPr fontId="233" type="noConversion"/>
  </si>
  <si>
    <t>配套公建</t>
    <phoneticPr fontId="233" type="noConversion"/>
  </si>
  <si>
    <t>地下</t>
    <phoneticPr fontId="233" type="noConversion"/>
  </si>
  <si>
    <t>小计</t>
    <phoneticPr fontId="233" type="noConversion"/>
  </si>
  <si>
    <t>其中</t>
    <phoneticPr fontId="233" type="noConversion"/>
  </si>
  <si>
    <t>廉租住房</t>
    <phoneticPr fontId="9" type="noConversion"/>
  </si>
  <si>
    <t>抵押价格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</si>
</sst>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BDB4AF"/>
        <bgColor indexed="64"/>
      </patternFill>
    </fill>
    <fill>
      <patternFill patternType="solid">
        <fgColor rgb="FFF1F1F1"/>
        <bgColor indexed="64"/>
      </patternFill>
    </fill>
    <fill>
      <patternFill patternType="solid">
        <fgColor theme="6"/>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5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285" fillId="0" borderId="0" xfId="0" applyFont="1" applyAlignment="1">
      <alignment horizontal="center" vertical="center"/>
    </xf>
    <xf numFmtId="0" fontId="286" fillId="17" borderId="153" xfId="0" applyFont="1" applyFill="1" applyBorder="1" applyAlignment="1">
      <alignment horizontal="center"/>
    </xf>
    <xf numFmtId="0" fontId="286" fillId="17" borderId="154" xfId="0" applyFont="1" applyFill="1" applyBorder="1" applyAlignment="1">
      <alignment horizontal="center"/>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145" fillId="19" borderId="0" xfId="0" applyFont="1" applyFill="1" applyAlignment="1">
      <alignment horizontal="left" vertical="center" wrapText="1"/>
    </xf>
    <xf numFmtId="0" fontId="0" fillId="19" borderId="155" xfId="0" applyFill="1" applyBorder="1" applyAlignment="1">
      <alignment horizontal="right" vertical="center" wrapText="1"/>
    </xf>
    <xf numFmtId="0" fontId="145" fillId="19" borderId="155" xfId="0" applyFont="1" applyFill="1" applyBorder="1" applyAlignment="1">
      <alignment horizontal="right" vertical="center" wrapText="1"/>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287" fillId="13" borderId="0" xfId="0" applyFont="1" applyFill="1" applyAlignment="1">
      <alignment horizontal="left" vertical="center" wrapText="1"/>
    </xf>
    <xf numFmtId="0" fontId="287" fillId="13" borderId="155" xfId="0" applyFont="1" applyFill="1" applyBorder="1" applyAlignment="1">
      <alignment horizontal="right" vertical="center" wrapText="1"/>
    </xf>
    <xf numFmtId="177"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95" fillId="9" borderId="0" xfId="16" applyFont="1" applyFill="1"/>
    <xf numFmtId="0" fontId="78" fillId="8" borderId="8" xfId="0" applyFont="1" applyFill="1" applyBorder="1" applyAlignment="1" applyProtection="1">
      <alignment vertical="center"/>
      <protection locked="0"/>
    </xf>
    <xf numFmtId="0" fontId="71" fillId="0" borderId="43" xfId="0" applyNumberFormat="1"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6" fillId="0" borderId="0" xfId="16" applyFill="1"/>
    <xf numFmtId="0" fontId="86" fillId="0" borderId="0" xfId="16" applyFont="1"/>
    <xf numFmtId="0" fontId="86" fillId="0" borderId="0" xfId="16" applyFont="1" applyFill="1"/>
    <xf numFmtId="0" fontId="86" fillId="20" borderId="0" xfId="16" applyFont="1" applyFill="1"/>
    <xf numFmtId="49" fontId="144" fillId="0" borderId="53"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45" fillId="0" borderId="0" xfId="0" applyFont="1">
      <alignment vertical="center"/>
    </xf>
    <xf numFmtId="0" fontId="106" fillId="9" borderId="16"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49" fontId="84" fillId="9" borderId="11"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10" borderId="10" xfId="0" applyFont="1" applyFill="1" applyBorder="1" applyAlignment="1" applyProtection="1">
      <alignment horizontal="center" vertical="center"/>
      <protection locked="0"/>
    </xf>
    <xf numFmtId="0" fontId="71" fillId="10" borderId="3" xfId="0" applyFont="1" applyFill="1" applyBorder="1" applyAlignment="1" applyProtection="1">
      <alignment horizontal="center" vertical="center"/>
      <protection locked="0"/>
    </xf>
    <xf numFmtId="0" fontId="71" fillId="10" borderId="21" xfId="0" applyFont="1" applyFill="1" applyBorder="1" applyAlignment="1" applyProtection="1">
      <alignment horizontal="center" vertical="center"/>
      <protection locked="0"/>
    </xf>
    <xf numFmtId="0" fontId="71" fillId="10"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alignment horizontal="center" vertical="center"/>
    </xf>
    <xf numFmtId="0" fontId="145" fillId="0" borderId="0" xfId="0" applyFont="1" applyAlignment="1">
      <alignment horizontal="center" vertical="center" wrapText="1"/>
    </xf>
    <xf numFmtId="0" fontId="203" fillId="0" borderId="11" xfId="0" applyFont="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7</xdr:col>
      <xdr:colOff>581025</xdr:colOff>
      <xdr:row>41</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33550"/>
          <a:ext cx="5381625" cy="5419725"/>
        </a:xfrm>
        <a:prstGeom prst="rect">
          <a:avLst/>
        </a:prstGeom>
      </xdr:spPr>
    </xdr:pic>
    <xdr:clientData/>
  </xdr:twoCellAnchor>
  <xdr:twoCellAnchor editAs="oneCell">
    <xdr:from>
      <xdr:col>9</xdr:col>
      <xdr:colOff>0</xdr:colOff>
      <xdr:row>10</xdr:row>
      <xdr:rowOff>0</xdr:rowOff>
    </xdr:from>
    <xdr:to>
      <xdr:col>18</xdr:col>
      <xdr:colOff>28575</xdr:colOff>
      <xdr:row>45</xdr:row>
      <xdr:rowOff>161925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0" y="1733550"/>
          <a:ext cx="6200775" cy="6162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104775</xdr:colOff>
      <xdr:row>39</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48575" cy="6772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5" customWidth="1"/>
    <col min="2" max="2" width="20.625" style="3480" customWidth="1"/>
    <col min="3" max="3" width="11.875" style="3480" customWidth="1"/>
    <col min="4" max="4" width="40.5" style="3205" customWidth="1"/>
    <col min="5" max="5" width="15.75" style="3205" customWidth="1"/>
    <col min="6" max="6" width="10.625" style="3205" customWidth="1"/>
    <col min="7" max="7" width="4.875" style="3205" customWidth="1"/>
    <col min="8" max="8" width="8.5" style="3205" customWidth="1"/>
    <col min="9" max="9" width="21.25" style="3205" customWidth="1"/>
    <col min="10" max="10" width="12.25" style="3205" customWidth="1"/>
    <col min="11" max="11" width="40.125" style="3467" customWidth="1"/>
    <col min="12" max="12" width="16.375" style="3205" customWidth="1"/>
    <col min="13" max="13" width="13" style="3205" customWidth="1"/>
    <col min="14" max="14" width="13.75" style="3204" customWidth="1"/>
    <col min="15" max="15" width="5.125" style="3204" customWidth="1"/>
    <col min="16" max="16" width="25.75" style="3204" customWidth="1"/>
    <col min="17" max="17" width="13.75" style="3204" customWidth="1"/>
    <col min="18" max="18" width="20.5" style="3204" customWidth="1"/>
    <col min="19" max="19" width="13.25" style="3204" customWidth="1"/>
    <col min="20" max="37" width="9" style="3204"/>
    <col min="38" max="16384" width="9" style="3205"/>
  </cols>
  <sheetData>
    <row r="1" spans="1:37" s="3194" customFormat="1" ht="21">
      <c r="A1" s="3183" t="s">
        <v>2964</v>
      </c>
      <c r="B1" s="3184"/>
      <c r="C1" s="3185"/>
      <c r="D1" s="3186"/>
      <c r="E1" s="3187" t="s">
        <v>2965</v>
      </c>
      <c r="F1" s="3188" t="b">
        <f>J53</f>
        <v>0</v>
      </c>
      <c r="G1" s="3189">
        <f>MATCH(C1,'[1]数据-取费表'!A6:A16,0)+5</f>
        <v>6</v>
      </c>
      <c r="H1" s="3190"/>
      <c r="I1" s="3191"/>
      <c r="J1" s="3191"/>
      <c r="K1" s="3192"/>
      <c r="L1" s="3191"/>
      <c r="M1" s="3191"/>
      <c r="N1" s="3193"/>
      <c r="O1" s="3193"/>
      <c r="P1" s="3193"/>
      <c r="Q1" s="3193"/>
      <c r="R1" s="3193"/>
      <c r="S1" s="3193"/>
      <c r="T1" s="3193"/>
      <c r="U1" s="3193"/>
      <c r="V1" s="3193"/>
      <c r="W1" s="3193"/>
      <c r="X1" s="3193"/>
      <c r="Y1" s="3193"/>
      <c r="Z1" s="3193"/>
      <c r="AA1" s="3193"/>
      <c r="AB1" s="3193"/>
      <c r="AC1" s="3193"/>
      <c r="AD1" s="3193"/>
      <c r="AE1" s="3193"/>
      <c r="AF1" s="3193"/>
      <c r="AG1" s="3193"/>
      <c r="AH1" s="3193"/>
      <c r="AI1" s="3193"/>
      <c r="AJ1" s="3193"/>
      <c r="AK1" s="3193"/>
    </row>
    <row r="2" spans="1:37" ht="18" customHeight="1">
      <c r="A2" s="3195" t="s">
        <v>2966</v>
      </c>
      <c r="B2" s="3196" t="e">
        <f ca="1">ROUND(D2/10000,0)</f>
        <v>#DIV/0!</v>
      </c>
      <c r="C2" s="3197" t="s">
        <v>2967</v>
      </c>
      <c r="D2" s="3198" t="e">
        <f ca="1">C40+J29+L46</f>
        <v>#DIV/0!</v>
      </c>
      <c r="E2" s="3199" t="s">
        <v>2968</v>
      </c>
      <c r="F2" s="3200"/>
      <c r="G2" s="3201"/>
      <c r="H2" s="3202"/>
      <c r="I2" s="3202"/>
      <c r="J2" s="3202"/>
      <c r="K2" s="3203"/>
      <c r="L2" s="3202"/>
      <c r="M2" s="3202"/>
    </row>
    <row r="3" spans="1:37" ht="18" customHeight="1" thickBot="1">
      <c r="A3" s="3206" t="s">
        <v>2969</v>
      </c>
      <c r="B3" s="3207">
        <f ca="1">IF(ISERROR(D2/F43),0,ROUND(D2/F43,0))</f>
        <v>0</v>
      </c>
      <c r="C3" s="3197" t="s">
        <v>2970</v>
      </c>
      <c r="D3" s="3197"/>
      <c r="E3" s="3199"/>
      <c r="F3" s="3200"/>
      <c r="G3" s="3201"/>
      <c r="H3" s="3208" t="s">
        <v>2971</v>
      </c>
      <c r="I3" s="3202"/>
      <c r="J3" s="3202"/>
      <c r="K3" s="3203"/>
      <c r="L3" s="3202"/>
      <c r="M3" s="3202"/>
    </row>
    <row r="4" spans="1:37" ht="18" customHeight="1">
      <c r="A4" s="3209" t="s">
        <v>2972</v>
      </c>
      <c r="B4" s="3210" t="s">
        <v>2973</v>
      </c>
      <c r="C4" s="3210" t="s">
        <v>2974</v>
      </c>
      <c r="D4" s="3210" t="s">
        <v>2975</v>
      </c>
      <c r="E4" s="3211" t="s">
        <v>2976</v>
      </c>
      <c r="F4" s="3212"/>
      <c r="G4" s="3213"/>
      <c r="H4" s="3209" t="s">
        <v>2977</v>
      </c>
      <c r="I4" s="3210" t="s">
        <v>2978</v>
      </c>
      <c r="J4" s="3210" t="s">
        <v>2979</v>
      </c>
      <c r="K4" s="3210" t="s">
        <v>2980</v>
      </c>
      <c r="L4" s="3211" t="s">
        <v>2976</v>
      </c>
      <c r="M4" s="3212"/>
    </row>
    <row r="5" spans="1:37" ht="18" customHeight="1">
      <c r="A5" s="3214">
        <v>1</v>
      </c>
      <c r="B5" s="3215" t="s">
        <v>2981</v>
      </c>
      <c r="C5" s="3216">
        <f ca="1">C6+C10+C12</f>
        <v>0</v>
      </c>
      <c r="D5" s="3217" t="s">
        <v>2982</v>
      </c>
      <c r="E5" s="3218"/>
      <c r="F5" s="3219"/>
      <c r="G5" s="3213"/>
      <c r="H5" s="3214">
        <v>1</v>
      </c>
      <c r="I5" s="3215" t="s">
        <v>2981</v>
      </c>
      <c r="J5" s="3216">
        <f ca="1">J6+J10+J12</f>
        <v>0</v>
      </c>
      <c r="K5" s="3217" t="s">
        <v>2982</v>
      </c>
      <c r="L5" s="3218"/>
      <c r="M5" s="3219"/>
    </row>
    <row r="6" spans="1:37" ht="18" customHeight="1">
      <c r="A6" s="3220" t="s">
        <v>2983</v>
      </c>
      <c r="B6" s="3543" t="s">
        <v>2984</v>
      </c>
      <c r="C6" s="3221">
        <f ca="1">ROUND(F6*F8*F7*(1-F9),0)</f>
        <v>0</v>
      </c>
      <c r="D6" s="3222" t="s">
        <v>2985</v>
      </c>
      <c r="E6" s="3223" t="s">
        <v>2986</v>
      </c>
      <c r="F6" s="3224">
        <f ca="1">INDIRECT("'数据-取费表'!u"&amp;$G$1)</f>
        <v>0</v>
      </c>
      <c r="G6" s="3213"/>
      <c r="H6" s="3220" t="s">
        <v>2983</v>
      </c>
      <c r="I6" s="3543" t="s">
        <v>2984</v>
      </c>
      <c r="J6" s="3225">
        <f ca="1">ROUND(M6*M8*M7*(1-M9),0)</f>
        <v>0</v>
      </c>
      <c r="K6" s="3226" t="s">
        <v>2987</v>
      </c>
      <c r="L6" s="3223" t="s">
        <v>2986</v>
      </c>
      <c r="M6" s="3224">
        <f ca="1">INDIRECT("'数据-取费表'!z"&amp;$G$1)</f>
        <v>0</v>
      </c>
    </row>
    <row r="7" spans="1:37" ht="18" customHeight="1">
      <c r="A7" s="3227"/>
      <c r="B7" s="3544"/>
      <c r="C7" s="3228"/>
      <c r="D7" s="3229"/>
      <c r="E7" s="3230" t="s">
        <v>2988</v>
      </c>
      <c r="F7" s="3224">
        <f ca="1">IF(INDIRECT("'数据-取费表'!ah"&amp;$G$1)="",INDIRECT("'数据-取费表'!k"&amp;$G$1),INDIRECT("'数据-取费表'!ah"&amp;$G$1))</f>
        <v>76060</v>
      </c>
      <c r="G7" s="3213"/>
      <c r="H7" s="3231"/>
      <c r="I7" s="3544"/>
      <c r="J7" s="3232"/>
      <c r="K7" s="3229"/>
      <c r="L7" s="3223" t="s">
        <v>2988</v>
      </c>
      <c r="M7" s="3224">
        <f ca="1">F7</f>
        <v>76060</v>
      </c>
    </row>
    <row r="8" spans="1:37" ht="18" customHeight="1">
      <c r="A8" s="3231"/>
      <c r="B8" s="3544"/>
      <c r="C8" s="3232"/>
      <c r="D8" s="3229"/>
      <c r="E8" s="3223" t="s">
        <v>2989</v>
      </c>
      <c r="F8" s="3224">
        <f ca="1">INDIRECT("'数据-取费表'!ai"&amp;$G$1)</f>
        <v>0</v>
      </c>
      <c r="G8" s="3213"/>
      <c r="H8" s="3231"/>
      <c r="I8" s="3544"/>
      <c r="J8" s="3232"/>
      <c r="K8" s="3229"/>
      <c r="L8" s="3223" t="s">
        <v>2989</v>
      </c>
      <c r="M8" s="3224">
        <f ca="1">INDIRECT("'数据-取费表'!ai"&amp;$G$1)</f>
        <v>0</v>
      </c>
    </row>
    <row r="9" spans="1:37" ht="18" customHeight="1">
      <c r="A9" s="3231"/>
      <c r="B9" s="3545"/>
      <c r="C9" s="3232"/>
      <c r="D9" s="3229"/>
      <c r="E9" s="3223" t="s">
        <v>2990</v>
      </c>
      <c r="F9" s="3233">
        <f ca="1">INDIRECT("'数据-取费表'!w"&amp;$G$1)</f>
        <v>0</v>
      </c>
      <c r="G9" s="3213"/>
      <c r="H9" s="3231"/>
      <c r="I9" s="3545"/>
      <c r="J9" s="3232"/>
      <c r="K9" s="3229"/>
      <c r="L9" s="3234" t="s">
        <v>2990</v>
      </c>
      <c r="M9" s="3235">
        <f ca="1">INDIRECT("'数据-取费表'!ab"&amp;$G$1)</f>
        <v>0</v>
      </c>
    </row>
    <row r="10" spans="1:37" ht="18" customHeight="1">
      <c r="A10" s="3220" t="s">
        <v>2991</v>
      </c>
      <c r="B10" s="3236" t="s">
        <v>2992</v>
      </c>
      <c r="C10" s="3237">
        <f>ROUND(IF(F10="押一",F6*F8*F7/12*F11,IF(F10="押二",F6*F8*F7/12*2*F11,IF(F10="押三",F6*F8*F7/12*3*F11,C11*F11))),0)</f>
        <v>0</v>
      </c>
      <c r="D10" s="3238" t="s">
        <v>2993</v>
      </c>
      <c r="E10" s="3234" t="s">
        <v>2994</v>
      </c>
      <c r="F10" s="3239"/>
      <c r="G10" s="3213"/>
      <c r="H10" s="3220" t="s">
        <v>2991</v>
      </c>
      <c r="I10" s="3236" t="s">
        <v>2992</v>
      </c>
      <c r="J10" s="3225">
        <f>ROUND(IF(M10="押一",M6*M8*M7/12*M11,IF(M10="押二",M6*M8*M7/12*2*M11,IF(M10="押三",M6*M8*M7/12*3*M11,J11*M11))),0)</f>
        <v>0</v>
      </c>
      <c r="K10" s="3240" t="s">
        <v>2995</v>
      </c>
      <c r="L10" s="3234" t="s">
        <v>2994</v>
      </c>
      <c r="M10" s="3239"/>
    </row>
    <row r="11" spans="1:37" ht="18" customHeight="1">
      <c r="A11" s="3241"/>
      <c r="B11" s="3242" t="s">
        <v>2996</v>
      </c>
      <c r="C11" s="3243"/>
      <c r="D11" s="3229"/>
      <c r="E11" s="3234" t="s">
        <v>2997</v>
      </c>
      <c r="F11" s="3235">
        <f>'[1]数据-取费表'!B39</f>
        <v>0</v>
      </c>
      <c r="G11" s="3213"/>
      <c r="H11" s="3244"/>
      <c r="I11" s="3242" t="s">
        <v>2998</v>
      </c>
      <c r="J11" s="3243"/>
      <c r="K11" s="3245"/>
      <c r="L11" s="3234" t="s">
        <v>2997</v>
      </c>
      <c r="M11" s="3246">
        <f>'[1]数据-取费表'!B39</f>
        <v>0</v>
      </c>
    </row>
    <row r="12" spans="1:37" ht="18" customHeight="1" thickBot="1">
      <c r="A12" s="3247" t="s">
        <v>2999</v>
      </c>
      <c r="B12" s="3248" t="s">
        <v>3000</v>
      </c>
      <c r="C12" s="3249"/>
      <c r="D12" s="3250"/>
      <c r="E12" s="3251"/>
      <c r="F12" s="3252"/>
      <c r="G12" s="3213"/>
      <c r="H12" s="3247" t="s">
        <v>2999</v>
      </c>
      <c r="I12" s="3248" t="s">
        <v>3000</v>
      </c>
      <c r="J12" s="3249"/>
      <c r="K12" s="3253"/>
      <c r="L12" s="3251"/>
      <c r="M12" s="3254"/>
    </row>
    <row r="13" spans="1:37" ht="18" customHeight="1" thickTop="1">
      <c r="A13" s="3255">
        <v>2</v>
      </c>
      <c r="B13" s="3256" t="s">
        <v>3001</v>
      </c>
      <c r="C13" s="3257">
        <f ca="1">ROUND(C29*F13,0)</f>
        <v>0</v>
      </c>
      <c r="D13" s="3258" t="s">
        <v>3002</v>
      </c>
      <c r="E13" s="3258" t="s">
        <v>3003</v>
      </c>
      <c r="F13" s="3259">
        <f ca="1">INDIRECT("'数据-取费表'!y"&amp;$G$1)</f>
        <v>0</v>
      </c>
      <c r="G13" s="3213"/>
      <c r="H13" s="3255">
        <v>2</v>
      </c>
      <c r="I13" s="3256" t="s">
        <v>3001</v>
      </c>
      <c r="J13" s="3260">
        <f ca="1">ROUND(J14*J15,0)</f>
        <v>0</v>
      </c>
      <c r="K13" s="3261" t="s">
        <v>3002</v>
      </c>
      <c r="L13" s="3262"/>
      <c r="M13" s="3263"/>
    </row>
    <row r="14" spans="1:37" ht="18" customHeight="1">
      <c r="A14" s="3264" t="s">
        <v>3004</v>
      </c>
      <c r="B14" s="3223" t="s">
        <v>3005</v>
      </c>
      <c r="C14" s="3265">
        <f ca="1">ROUND(INDIRECT("'数据-取费表'!l"&amp;$G$1)*F43+'[1]数据-取费表'!L14*INDIRECT("'数据-取费表'!S"&amp;$G$1),0)</f>
        <v>304240000</v>
      </c>
      <c r="D14" s="3266" t="s">
        <v>3006</v>
      </c>
      <c r="E14" s="3267"/>
      <c r="F14" s="3268"/>
      <c r="G14" s="3213"/>
      <c r="H14" s="3264" t="s">
        <v>3007</v>
      </c>
      <c r="I14" s="3223" t="s">
        <v>3008</v>
      </c>
      <c r="J14" s="3269">
        <f ca="1">C29</f>
        <v>349876000</v>
      </c>
      <c r="K14" s="3270"/>
      <c r="L14" s="3271"/>
      <c r="M14" s="3272"/>
    </row>
    <row r="15" spans="1:37" s="3281" customFormat="1" ht="18" customHeight="1" thickBot="1">
      <c r="A15" s="3264" t="s">
        <v>3009</v>
      </c>
      <c r="B15" s="3223" t="s">
        <v>3010</v>
      </c>
      <c r="C15" s="3269">
        <f ca="1">ROUND(C14*F15,0)</f>
        <v>0</v>
      </c>
      <c r="D15" s="3273" t="s">
        <v>3011</v>
      </c>
      <c r="E15" s="3273" t="s">
        <v>3012</v>
      </c>
      <c r="F15" s="3274">
        <f>'[1]数据-取费表'!B33</f>
        <v>0</v>
      </c>
      <c r="G15" s="3275"/>
      <c r="H15" s="3276" t="s">
        <v>2991</v>
      </c>
      <c r="I15" s="3251" t="s">
        <v>3003</v>
      </c>
      <c r="J15" s="3254">
        <f ca="1">INDIRECT("'数据-取费表'!ad"&amp;$G$1)</f>
        <v>0</v>
      </c>
      <c r="K15" s="3277"/>
      <c r="L15" s="3278"/>
      <c r="M15" s="3279"/>
      <c r="N15" s="3280"/>
      <c r="O15" s="3280"/>
      <c r="P15" s="3280"/>
      <c r="Q15" s="3280"/>
      <c r="R15" s="3280"/>
      <c r="S15" s="3280"/>
      <c r="T15" s="3280"/>
      <c r="U15" s="3280"/>
      <c r="V15" s="3280"/>
      <c r="W15" s="3280"/>
      <c r="X15" s="3280"/>
      <c r="Y15" s="3280"/>
      <c r="Z15" s="3280"/>
      <c r="AA15" s="3280"/>
      <c r="AB15" s="3280"/>
      <c r="AC15" s="3280"/>
      <c r="AD15" s="3280"/>
      <c r="AE15" s="3280"/>
      <c r="AF15" s="3280"/>
      <c r="AG15" s="3280"/>
      <c r="AH15" s="3280"/>
      <c r="AI15" s="3280"/>
      <c r="AJ15" s="3280"/>
      <c r="AK15" s="3280"/>
    </row>
    <row r="16" spans="1:37" ht="18" customHeight="1" thickTop="1">
      <c r="A16" s="3264" t="s">
        <v>3013</v>
      </c>
      <c r="B16" s="3223" t="s">
        <v>3014</v>
      </c>
      <c r="C16" s="3269">
        <f ca="1">ROUND(INDIRECT("'数据-取费表'!l"&amp;$G$1)*F43*F16,0)</f>
        <v>0</v>
      </c>
      <c r="D16" s="3223" t="s">
        <v>3015</v>
      </c>
      <c r="E16" s="3223" t="s">
        <v>3016</v>
      </c>
      <c r="F16" s="3282">
        <f ca="1">IF(INDIRECT("'数据-取费表'!c"&amp;$G$1)="住宅",'[1]数据-取费表'!B34,0)</f>
        <v>0</v>
      </c>
      <c r="G16" s="3213"/>
      <c r="H16" s="3255" t="s">
        <v>3017</v>
      </c>
      <c r="I16" s="3256" t="s">
        <v>3018</v>
      </c>
      <c r="J16" s="3257">
        <f ca="1">ROUND(J17+J22+J23+J24,0)</f>
        <v>2938958</v>
      </c>
      <c r="K16" s="3261" t="s">
        <v>3019</v>
      </c>
      <c r="L16" s="3283"/>
      <c r="M16" s="3219"/>
    </row>
    <row r="17" spans="1:37" s="3281" customFormat="1" ht="18" customHeight="1">
      <c r="A17" s="3264" t="s">
        <v>3020</v>
      </c>
      <c r="B17" s="3223" t="s">
        <v>3021</v>
      </c>
      <c r="C17" s="3269">
        <f ca="1">ROUND(F17*(F43+INDIRECT("'数据-取费表'!S"&amp;$G$1)),0)</f>
        <v>0</v>
      </c>
      <c r="D17" s="3223" t="s">
        <v>3022</v>
      </c>
      <c r="E17" s="3223" t="s">
        <v>3023</v>
      </c>
      <c r="F17" s="3284">
        <f>'[1]数据-取费表'!B35</f>
        <v>0</v>
      </c>
      <c r="G17" s="3275"/>
      <c r="H17" s="3264" t="s">
        <v>2983</v>
      </c>
      <c r="I17" s="3223" t="s">
        <v>3024</v>
      </c>
      <c r="J17" s="3269">
        <f ca="1">ROUND(IF([1]项目基本情况!B11="自然人",J5*M17,J18+J19+J20),0)</f>
        <v>2938958</v>
      </c>
      <c r="K17" s="3266" t="s">
        <v>3025</v>
      </c>
      <c r="L17" s="3285" t="s">
        <v>3026</v>
      </c>
      <c r="M17" s="3286">
        <f ca="1">IF([1]项目基本情况!B11="企业","",IF(INDIRECT("'数据-取费表'!c"&amp;$G$1)="住宅",5%,IF(M6*M7*M8/12/(1+'[1]数据-取费表'!C42)&gt;20000,12%,7%)))</f>
        <v>0.05</v>
      </c>
      <c r="N17" s="3280"/>
      <c r="O17" s="3280"/>
      <c r="P17" s="3280"/>
      <c r="Q17" s="3280"/>
      <c r="R17" s="3280"/>
      <c r="S17" s="3280"/>
      <c r="T17" s="3280"/>
      <c r="U17" s="3280"/>
      <c r="V17" s="3280"/>
      <c r="W17" s="3280"/>
      <c r="X17" s="3280"/>
      <c r="Y17" s="3280"/>
      <c r="Z17" s="3280"/>
      <c r="AA17" s="3280"/>
      <c r="AB17" s="3280"/>
      <c r="AC17" s="3280"/>
      <c r="AD17" s="3280"/>
      <c r="AE17" s="3280"/>
      <c r="AF17" s="3280"/>
      <c r="AG17" s="3280"/>
      <c r="AH17" s="3280"/>
      <c r="AI17" s="3280"/>
      <c r="AJ17" s="3280"/>
      <c r="AK17" s="3280"/>
    </row>
    <row r="18" spans="1:37" s="3281" customFormat="1" ht="18" customHeight="1">
      <c r="A18" s="3264" t="s">
        <v>3027</v>
      </c>
      <c r="B18" s="3223" t="s">
        <v>3028</v>
      </c>
      <c r="C18" s="3269">
        <f ca="1">ROUND(C14*F18,0)</f>
        <v>0</v>
      </c>
      <c r="D18" s="3223" t="s">
        <v>3011</v>
      </c>
      <c r="E18" s="3223" t="s">
        <v>3012</v>
      </c>
      <c r="F18" s="3282">
        <f>'[1]数据-取费表'!B36</f>
        <v>0</v>
      </c>
      <c r="G18" s="3275"/>
      <c r="H18" s="3264" t="s">
        <v>3004</v>
      </c>
      <c r="I18" s="3223" t="s">
        <v>3029</v>
      </c>
      <c r="J18" s="3269">
        <f ca="1">ROUND(J5*M18/(1+'[1]数据-取费表'!C42),0)</f>
        <v>0</v>
      </c>
      <c r="K18" s="3285" t="s">
        <v>3030</v>
      </c>
      <c r="L18" s="3223" t="s">
        <v>3016</v>
      </c>
      <c r="M18" s="3282">
        <f>'[1]数据-取费表'!B41</f>
        <v>0</v>
      </c>
      <c r="N18" s="3280"/>
      <c r="O18" s="3280"/>
      <c r="P18" s="3280"/>
      <c r="Q18" s="3280"/>
      <c r="R18" s="3280"/>
      <c r="S18" s="3280"/>
      <c r="T18" s="3280"/>
      <c r="U18" s="3280"/>
      <c r="V18" s="3280"/>
      <c r="W18" s="3280"/>
      <c r="X18" s="3280"/>
      <c r="Y18" s="3280"/>
      <c r="Z18" s="3280"/>
      <c r="AA18" s="3280"/>
      <c r="AB18" s="3280"/>
      <c r="AC18" s="3280"/>
      <c r="AD18" s="3280"/>
      <c r="AE18" s="3280"/>
      <c r="AF18" s="3280"/>
      <c r="AG18" s="3280"/>
      <c r="AH18" s="3280"/>
      <c r="AI18" s="3280"/>
      <c r="AJ18" s="3280"/>
      <c r="AK18" s="3280"/>
    </row>
    <row r="19" spans="1:37" ht="18" customHeight="1">
      <c r="A19" s="3264" t="s">
        <v>3007</v>
      </c>
      <c r="B19" s="3223" t="s">
        <v>3031</v>
      </c>
      <c r="C19" s="3269">
        <f ca="1">SUM(C14:C18)</f>
        <v>304240000</v>
      </c>
      <c r="D19" s="3287" t="s">
        <v>3032</v>
      </c>
      <c r="E19" s="3288"/>
      <c r="F19" s="3284"/>
      <c r="G19" s="3213"/>
      <c r="H19" s="3264" t="s">
        <v>3009</v>
      </c>
      <c r="I19" s="3223" t="s">
        <v>3033</v>
      </c>
      <c r="J19" s="3269">
        <f ca="1">IF(K19="按租金收入计税",ROUND(J5*M19,0),ROUND(C29*M19*0.7,0))</f>
        <v>2938958</v>
      </c>
      <c r="K19" s="3289" t="s">
        <v>3034</v>
      </c>
      <c r="L19" s="3223" t="s">
        <v>3012</v>
      </c>
      <c r="M19" s="3282">
        <f>IF(K19="按租金收入计税",'[1]数据-取费表'!B51,'[1]数据-取费表'!B50)</f>
        <v>1.2E-2</v>
      </c>
    </row>
    <row r="20" spans="1:37" s="3281" customFormat="1" ht="18" customHeight="1">
      <c r="A20" s="3264" t="s">
        <v>2991</v>
      </c>
      <c r="B20" s="3223" t="s">
        <v>3035</v>
      </c>
      <c r="C20" s="3269">
        <f ca="1">ROUND(C19*F20,0)</f>
        <v>0</v>
      </c>
      <c r="D20" s="3290" t="s">
        <v>3036</v>
      </c>
      <c r="E20" s="3223" t="s">
        <v>3012</v>
      </c>
      <c r="F20" s="3282">
        <f>'[1]数据-取费表'!B37</f>
        <v>0</v>
      </c>
      <c r="G20" s="3275"/>
      <c r="H20" s="3264" t="s">
        <v>3013</v>
      </c>
      <c r="I20" s="3222" t="s">
        <v>3037</v>
      </c>
      <c r="J20" s="3291">
        <f ca="1">ROUND(M20*M21,0)</f>
        <v>0</v>
      </c>
      <c r="K20" s="3292" t="s">
        <v>3038</v>
      </c>
      <c r="L20" s="3223" t="s">
        <v>3039</v>
      </c>
      <c r="M20" s="3293">
        <f>'[1]数据-取费表'!B52</f>
        <v>0</v>
      </c>
      <c r="N20" s="3280"/>
      <c r="O20" s="3280"/>
      <c r="P20" s="3280"/>
      <c r="Q20" s="3280"/>
      <c r="R20" s="3280"/>
      <c r="S20" s="3280"/>
      <c r="T20" s="3280"/>
      <c r="U20" s="3280"/>
      <c r="V20" s="3280"/>
      <c r="W20" s="3280"/>
      <c r="X20" s="3280"/>
      <c r="Y20" s="3280"/>
      <c r="Z20" s="3280"/>
      <c r="AA20" s="3280"/>
      <c r="AB20" s="3280"/>
      <c r="AC20" s="3280"/>
      <c r="AD20" s="3280"/>
      <c r="AE20" s="3280"/>
      <c r="AF20" s="3280"/>
      <c r="AG20" s="3280"/>
      <c r="AH20" s="3280"/>
      <c r="AI20" s="3280"/>
      <c r="AJ20" s="3280"/>
      <c r="AK20" s="3280"/>
    </row>
    <row r="21" spans="1:37" s="3281" customFormat="1" ht="18" customHeight="1">
      <c r="A21" s="3264" t="s">
        <v>2999</v>
      </c>
      <c r="B21" s="3223" t="s">
        <v>3040</v>
      </c>
      <c r="C21" s="3269" t="s">
        <v>3041</v>
      </c>
      <c r="D21" s="3290" t="s">
        <v>3042</v>
      </c>
      <c r="E21" s="3223" t="s">
        <v>3043</v>
      </c>
      <c r="F21" s="3282">
        <f>'[1]数据-取费表'!B38</f>
        <v>0</v>
      </c>
      <c r="G21" s="3275"/>
      <c r="H21" s="3294"/>
      <c r="I21" s="3295"/>
      <c r="J21" s="3296"/>
      <c r="K21" s="3297"/>
      <c r="L21" s="3223" t="s">
        <v>3044</v>
      </c>
      <c r="M21" s="3224">
        <f ca="1">INDIRECT("'数据-取费表'!r"&amp;$G$1)</f>
        <v>25900.91</v>
      </c>
      <c r="N21" s="3280"/>
      <c r="O21" s="3280"/>
      <c r="P21" s="3280"/>
      <c r="Q21" s="3280"/>
      <c r="R21" s="3280"/>
      <c r="S21" s="3280"/>
      <c r="T21" s="3280"/>
      <c r="U21" s="3280"/>
      <c r="V21" s="3280"/>
      <c r="W21" s="3280"/>
      <c r="X21" s="3280"/>
      <c r="Y21" s="3280"/>
      <c r="Z21" s="3280"/>
      <c r="AA21" s="3280"/>
      <c r="AB21" s="3280"/>
      <c r="AC21" s="3280"/>
      <c r="AD21" s="3280"/>
      <c r="AE21" s="3280"/>
      <c r="AF21" s="3280"/>
      <c r="AG21" s="3280"/>
      <c r="AH21" s="3280"/>
      <c r="AI21" s="3280"/>
      <c r="AJ21" s="3280"/>
      <c r="AK21" s="3280"/>
    </row>
    <row r="22" spans="1:37" ht="18" customHeight="1">
      <c r="A22" s="3264" t="s">
        <v>3045</v>
      </c>
      <c r="B22" s="3223" t="s">
        <v>3046</v>
      </c>
      <c r="C22" s="3269"/>
      <c r="D22" s="3287" t="str">
        <f>IF(F23&lt;=1,"单利计息。","复利计息。")&amp;"建造成本、管理费用、销售费用产生的利息。"</f>
        <v>单利计息。建造成本、管理费用、销售费用产生的利息。</v>
      </c>
      <c r="E22" s="3288"/>
      <c r="F22" s="3284"/>
      <c r="G22" s="3213"/>
      <c r="H22" s="3264" t="s">
        <v>2991</v>
      </c>
      <c r="I22" s="3223" t="s">
        <v>3047</v>
      </c>
      <c r="J22" s="3269">
        <f ca="1">ROUND(J14*M22,0)</f>
        <v>0</v>
      </c>
      <c r="K22" s="3285" t="s">
        <v>3048</v>
      </c>
      <c r="L22" s="3223" t="s">
        <v>3012</v>
      </c>
      <c r="M22" s="3298">
        <f ca="1">INDIRECT("'数据-取费表'!Ak"&amp;$G$1)</f>
        <v>0</v>
      </c>
    </row>
    <row r="23" spans="1:37" s="3281" customFormat="1" ht="18" customHeight="1">
      <c r="A23" s="3264" t="s">
        <v>3004</v>
      </c>
      <c r="B23" s="3223" t="s">
        <v>3049</v>
      </c>
      <c r="C23" s="3269">
        <f ca="1">IF('[1]数据-取费表'!B22&lt;=1,ROUND(C19*F24*F23/2,0)+ROUND(C20*F24*F23/2,0),ROUND(C19*(POWER((1+F24),F23/2)-1),0)+ROUND(C20*(POWER((1+F24),F23/2)-1),0))</f>
        <v>0</v>
      </c>
      <c r="D23" s="3299" t="str">
        <f>IF(F23&lt;=1,"(建造成本+管理费用)×利率×(建设周期÷2)","(建造成本+管理费用)×((1+利率)^(建设周期÷2)-1)")</f>
        <v>(建造成本+管理费用)×利率×(建设周期÷2)</v>
      </c>
      <c r="E23" s="3223" t="s">
        <v>3050</v>
      </c>
      <c r="F23" s="3293">
        <f>'[1]数据-取费表'!B20</f>
        <v>0</v>
      </c>
      <c r="G23" s="3275"/>
      <c r="H23" s="3264" t="s">
        <v>2999</v>
      </c>
      <c r="I23" s="3223" t="s">
        <v>3051</v>
      </c>
      <c r="J23" s="3269">
        <f ca="1">ROUND(J13*M23,0)</f>
        <v>0</v>
      </c>
      <c r="K23" s="3285" t="s">
        <v>3052</v>
      </c>
      <c r="L23" s="3223" t="s">
        <v>3012</v>
      </c>
      <c r="M23" s="3300">
        <f ca="1">INDIRECT("'数据-取费表'!Al"&amp;$G$1)</f>
        <v>0</v>
      </c>
      <c r="N23" s="3280"/>
      <c r="O23" s="3280"/>
      <c r="P23" s="3280"/>
      <c r="Q23" s="3280"/>
      <c r="R23" s="3280"/>
      <c r="S23" s="3280"/>
      <c r="T23" s="3280"/>
      <c r="U23" s="3280"/>
      <c r="V23" s="3280"/>
      <c r="W23" s="3280"/>
      <c r="X23" s="3280"/>
      <c r="Y23" s="3280"/>
      <c r="Z23" s="3280"/>
      <c r="AA23" s="3280"/>
      <c r="AB23" s="3280"/>
      <c r="AC23" s="3280"/>
      <c r="AD23" s="3280"/>
      <c r="AE23" s="3280"/>
      <c r="AF23" s="3280"/>
      <c r="AG23" s="3280"/>
      <c r="AH23" s="3280"/>
      <c r="AI23" s="3280"/>
      <c r="AJ23" s="3280"/>
      <c r="AK23" s="3280"/>
    </row>
    <row r="24" spans="1:37" s="3281" customFormat="1" ht="18" customHeight="1" thickBot="1">
      <c r="A24" s="3264" t="s">
        <v>3053</v>
      </c>
      <c r="B24" s="3223" t="s">
        <v>3054</v>
      </c>
      <c r="C24" s="3269">
        <f>ROUND(IF('[1]数据-取费表'!B22&lt;=1,F21*F24*F23/2,F21*(POWER((1+F24),F23/2)-1)),4)</f>
        <v>0</v>
      </c>
      <c r="D24" s="3299" t="str">
        <f>IF(F23&lt;=1,"销售费用×利率×(建设周期÷2)","销售费用×((1+利率)^(建设周期÷2)-1)")</f>
        <v>销售费用×利率×(建设周期÷2)</v>
      </c>
      <c r="E24" s="3223" t="s">
        <v>3055</v>
      </c>
      <c r="F24" s="3301">
        <f>'[1]数据-取费表'!B40</f>
        <v>0</v>
      </c>
      <c r="G24" s="3275"/>
      <c r="H24" s="3276" t="s">
        <v>3045</v>
      </c>
      <c r="I24" s="3251" t="s">
        <v>3035</v>
      </c>
      <c r="J24" s="3302">
        <f ca="1">ROUND(J5*M24,0)</f>
        <v>0</v>
      </c>
      <c r="K24" s="3303" t="s">
        <v>3056</v>
      </c>
      <c r="L24" s="3251" t="s">
        <v>3012</v>
      </c>
      <c r="M24" s="3252">
        <f ca="1">INDIRECT("'数据-取费表'!Am"&amp;$G$1)</f>
        <v>0</v>
      </c>
      <c r="N24" s="3280"/>
      <c r="O24" s="3280"/>
      <c r="P24" s="3280"/>
      <c r="Q24" s="3280"/>
      <c r="R24" s="3280"/>
      <c r="S24" s="3280"/>
      <c r="T24" s="3280"/>
      <c r="U24" s="3280"/>
      <c r="V24" s="3280"/>
      <c r="W24" s="3280"/>
      <c r="X24" s="3280"/>
      <c r="Y24" s="3280"/>
      <c r="Z24" s="3280"/>
      <c r="AA24" s="3280"/>
      <c r="AB24" s="3280"/>
      <c r="AC24" s="3280"/>
      <c r="AD24" s="3280"/>
      <c r="AE24" s="3280"/>
      <c r="AF24" s="3280"/>
      <c r="AG24" s="3280"/>
      <c r="AH24" s="3280"/>
      <c r="AI24" s="3280"/>
      <c r="AJ24" s="3280"/>
      <c r="AK24" s="3280"/>
    </row>
    <row r="25" spans="1:37" ht="18" customHeight="1" thickTop="1">
      <c r="A25" s="3264" t="s">
        <v>3057</v>
      </c>
      <c r="B25" s="3223" t="s">
        <v>3058</v>
      </c>
      <c r="C25" s="3269"/>
      <c r="D25" s="3287" t="s">
        <v>3059</v>
      </c>
      <c r="E25" s="3288"/>
      <c r="F25" s="3284"/>
      <c r="G25" s="3213"/>
      <c r="H25" s="3255" t="s">
        <v>3060</v>
      </c>
      <c r="I25" s="3304" t="s">
        <v>3061</v>
      </c>
      <c r="J25" s="3257">
        <f ca="1">J5-J16</f>
        <v>-2938958</v>
      </c>
      <c r="K25" s="3305" t="s">
        <v>3062</v>
      </c>
      <c r="L25" s="3306"/>
      <c r="M25" s="3307"/>
    </row>
    <row r="26" spans="1:37" ht="18" customHeight="1">
      <c r="A26" s="3264" t="s">
        <v>3004</v>
      </c>
      <c r="B26" s="3223" t="s">
        <v>3063</v>
      </c>
      <c r="C26" s="3269">
        <f ca="1">ROUND((C19+C20)*F26,0)</f>
        <v>45636000</v>
      </c>
      <c r="D26" s="3290" t="s">
        <v>3064</v>
      </c>
      <c r="E26" s="3234" t="s">
        <v>3065</v>
      </c>
      <c r="F26" s="3233">
        <f ca="1">INDIRECT("'数据-取费表'!q"&amp;$G$1)</f>
        <v>0.15</v>
      </c>
      <c r="G26" s="3213"/>
      <c r="H26" s="3214" t="s">
        <v>3066</v>
      </c>
      <c r="I26" s="3215" t="s">
        <v>3067</v>
      </c>
      <c r="J26" s="3225">
        <f ca="1">IF(J5&lt;&gt;0,ROUND(J25*(1-((1+M28)/(1+M26))^M27)/(M26-M28),0),0)</f>
        <v>0</v>
      </c>
      <c r="K26" s="3292" t="s">
        <v>3068</v>
      </c>
      <c r="L26" s="3223" t="s">
        <v>3069</v>
      </c>
      <c r="M26" s="3233">
        <f ca="1">INDIRECT("'数据-取费表'!I"&amp;$G$1)</f>
        <v>5.5E-2</v>
      </c>
    </row>
    <row r="27" spans="1:37" ht="18" customHeight="1">
      <c r="A27" s="3264" t="s">
        <v>3053</v>
      </c>
      <c r="B27" s="3223" t="s">
        <v>3070</v>
      </c>
      <c r="C27" s="3269">
        <f ca="1">ROUND(F21*F26,4)</f>
        <v>0</v>
      </c>
      <c r="D27" s="3290" t="s">
        <v>3071</v>
      </c>
      <c r="E27" s="3273"/>
      <c r="F27" s="3274"/>
      <c r="G27" s="3213"/>
      <c r="H27" s="3231"/>
      <c r="I27" s="3308"/>
      <c r="J27" s="3232"/>
      <c r="K27" s="3309" t="s">
        <v>3072</v>
      </c>
      <c r="L27" s="3223" t="s">
        <v>3073</v>
      </c>
      <c r="M27" s="3310">
        <f ca="1">INDIRECT("'数据-取费表'!ag"&amp;$G$1)</f>
        <v>0</v>
      </c>
    </row>
    <row r="28" spans="1:37" s="3281" customFormat="1" ht="18" customHeight="1">
      <c r="A28" s="3264" t="s">
        <v>3074</v>
      </c>
      <c r="B28" s="3223" t="s">
        <v>3075</v>
      </c>
      <c r="C28" s="3269">
        <f>ROUND(F28/(1+'[1]数据-取费表'!C42),4)</f>
        <v>0</v>
      </c>
      <c r="D28" s="3290" t="s">
        <v>3076</v>
      </c>
      <c r="E28" s="3223" t="s">
        <v>3012</v>
      </c>
      <c r="F28" s="3282">
        <f>'[1]数据-取费表'!B41</f>
        <v>0</v>
      </c>
      <c r="G28" s="3275"/>
      <c r="H28" s="3241"/>
      <c r="I28" s="3311"/>
      <c r="J28" s="3257"/>
      <c r="K28" s="3297"/>
      <c r="L28" s="3223" t="s">
        <v>3077</v>
      </c>
      <c r="M28" s="3233">
        <f ca="1">INDIRECT("'数据-取费表'!aa"&amp;$G$1)</f>
        <v>0</v>
      </c>
      <c r="N28" s="3280"/>
      <c r="O28" s="3280"/>
      <c r="P28" s="3280"/>
      <c r="Q28" s="3280"/>
      <c r="R28" s="3280"/>
      <c r="S28" s="3280"/>
      <c r="T28" s="3280"/>
      <c r="U28" s="3280"/>
      <c r="V28" s="3280"/>
      <c r="W28" s="3280"/>
      <c r="X28" s="3280"/>
      <c r="Y28" s="3280"/>
      <c r="Z28" s="3280"/>
      <c r="AA28" s="3280"/>
      <c r="AB28" s="3280"/>
      <c r="AC28" s="3280"/>
      <c r="AD28" s="3280"/>
      <c r="AE28" s="3280"/>
      <c r="AF28" s="3280"/>
      <c r="AG28" s="3280"/>
      <c r="AH28" s="3280"/>
      <c r="AI28" s="3280"/>
      <c r="AJ28" s="3280"/>
      <c r="AK28" s="3280"/>
    </row>
    <row r="29" spans="1:37" s="3281" customFormat="1" ht="18" customHeight="1" thickBot="1">
      <c r="A29" s="3276" t="s">
        <v>3078</v>
      </c>
      <c r="B29" s="3251" t="s">
        <v>3079</v>
      </c>
      <c r="C29" s="3302">
        <f ca="1">ROUND((C19+C20+C23+C26)/(1-F21-C24-C27-C28),0)</f>
        <v>349876000</v>
      </c>
      <c r="D29" s="3303"/>
      <c r="E29" s="3251"/>
      <c r="F29" s="3312"/>
      <c r="G29" s="3275"/>
      <c r="H29" s="3313" t="s">
        <v>3080</v>
      </c>
      <c r="I29" s="3314" t="s">
        <v>3081</v>
      </c>
      <c r="J29" s="3315">
        <f ca="1">ROUND(J26/(1+F40)^F41,0)</f>
        <v>0</v>
      </c>
      <c r="K29" s="3316" t="s">
        <v>3082</v>
      </c>
      <c r="L29" s="3317"/>
      <c r="M29" s="3318">
        <f ca="1">INDIRECT("'数据-取费表'!k"&amp;$G$1)</f>
        <v>76060</v>
      </c>
      <c r="N29" s="3280"/>
      <c r="O29" s="3280"/>
      <c r="P29" s="3280"/>
      <c r="Q29" s="3280"/>
      <c r="R29" s="3280"/>
      <c r="S29" s="3280"/>
      <c r="T29" s="3280"/>
      <c r="U29" s="3280"/>
      <c r="V29" s="3280"/>
      <c r="W29" s="3280"/>
      <c r="X29" s="3280"/>
      <c r="Y29" s="3280"/>
      <c r="Z29" s="3280"/>
      <c r="AA29" s="3280"/>
      <c r="AB29" s="3280"/>
      <c r="AC29" s="3280"/>
      <c r="AD29" s="3280"/>
      <c r="AE29" s="3280"/>
      <c r="AF29" s="3280"/>
      <c r="AG29" s="3280"/>
      <c r="AH29" s="3280"/>
      <c r="AI29" s="3280"/>
      <c r="AJ29" s="3280"/>
      <c r="AK29" s="3280"/>
    </row>
    <row r="30" spans="1:37" ht="18" customHeight="1" thickTop="1">
      <c r="A30" s="3255" t="s">
        <v>3083</v>
      </c>
      <c r="B30" s="3256" t="s">
        <v>3018</v>
      </c>
      <c r="C30" s="3257">
        <f ca="1">ROUND(C31+C36+C37+C38,0)</f>
        <v>2938958</v>
      </c>
      <c r="D30" s="3261" t="s">
        <v>3019</v>
      </c>
      <c r="E30" s="3283"/>
      <c r="F30" s="3219"/>
      <c r="G30" s="3213"/>
      <c r="H30" s="3319"/>
      <c r="I30" s="3320"/>
      <c r="J30" s="3321"/>
      <c r="K30" s="3245"/>
      <c r="L30" s="3322"/>
      <c r="M30" s="3323"/>
    </row>
    <row r="31" spans="1:37" ht="18" customHeight="1">
      <c r="A31" s="3264" t="s">
        <v>2983</v>
      </c>
      <c r="B31" s="3223" t="s">
        <v>3024</v>
      </c>
      <c r="C31" s="3269">
        <f ca="1">ROUND(IF([1]项目基本情况!B11="自然人",C5*F31,C32+C33+C34),0)</f>
        <v>2938958</v>
      </c>
      <c r="D31" s="3266" t="s">
        <v>3025</v>
      </c>
      <c r="E31" s="3285" t="s">
        <v>3026</v>
      </c>
      <c r="F31" s="3286">
        <f ca="1">IF([1]项目基本情况!B11="企业","",IF(INDIRECT("'数据-取费表'!c"&amp;$G$1)="住宅",5%,IF(F6*F7*F8/12/(1+'[1]数据-取费表'!C42)&gt;20000,12%,7%)))</f>
        <v>0.05</v>
      </c>
      <c r="G31" s="3213"/>
      <c r="H31" s="3319"/>
      <c r="I31" s="3320"/>
      <c r="J31" s="3321"/>
      <c r="K31" s="3245"/>
      <c r="L31" s="3322"/>
      <c r="M31" s="3323"/>
    </row>
    <row r="32" spans="1:37" ht="18" customHeight="1">
      <c r="A32" s="3264" t="s">
        <v>3004</v>
      </c>
      <c r="B32" s="3223" t="s">
        <v>3084</v>
      </c>
      <c r="C32" s="3269">
        <f ca="1">IF([1]项目基本情况!B11="自然人","——",ROUND(C5*F32/(1+'[1]数据-取费表'!C42),0))</f>
        <v>0</v>
      </c>
      <c r="D32" s="3285" t="s">
        <v>3085</v>
      </c>
      <c r="E32" s="3223" t="s">
        <v>3012</v>
      </c>
      <c r="F32" s="3301">
        <f>'[1]数据-取费表'!B41</f>
        <v>0</v>
      </c>
      <c r="G32" s="3213"/>
      <c r="H32" s="3319"/>
      <c r="I32" s="3320"/>
      <c r="J32" s="3321"/>
      <c r="K32" s="3245"/>
      <c r="L32" s="3322"/>
      <c r="M32" s="3323"/>
    </row>
    <row r="33" spans="1:18" ht="18" customHeight="1">
      <c r="A33" s="3264" t="s">
        <v>3053</v>
      </c>
      <c r="B33" s="3223" t="s">
        <v>3033</v>
      </c>
      <c r="C33" s="3269">
        <f ca="1">IF([1]项目基本情况!B11="自然人","——",IF(D33="按租金收入计税",ROUND(C5*F33,0),IF(D33="按房产原值计税",ROUND(C29*F33*0.7,0),INDIRECT("'数据-取费表'!Aj"&amp;$G$1))))</f>
        <v>2938958</v>
      </c>
      <c r="D33" s="3289" t="s">
        <v>3034</v>
      </c>
      <c r="E33" s="3223" t="s">
        <v>3012</v>
      </c>
      <c r="F33" s="3282">
        <f>IF(D33="按票据","——",IF(D33="按租金收入计税",'[1]数据-取费表'!B51,'[1]数据-取费表'!B50))</f>
        <v>1.2E-2</v>
      </c>
      <c r="G33" s="3213"/>
      <c r="H33" s="3324"/>
      <c r="I33" s="3325"/>
      <c r="J33" s="3326"/>
      <c r="K33" s="3327"/>
      <c r="L33" s="3324"/>
      <c r="M33" s="3324"/>
    </row>
    <row r="34" spans="1:18" ht="18" customHeight="1">
      <c r="A34" s="3220" t="s">
        <v>3013</v>
      </c>
      <c r="B34" s="3222" t="s">
        <v>3037</v>
      </c>
      <c r="C34" s="3291">
        <f ca="1">IF([1]项目基本情况!B11="自然人","——",ROUND(F34*F35,))</f>
        <v>0</v>
      </c>
      <c r="D34" s="3292" t="s">
        <v>3038</v>
      </c>
      <c r="E34" s="3223" t="s">
        <v>3039</v>
      </c>
      <c r="F34" s="3293">
        <f>'[1]数据-取费表'!B52</f>
        <v>0</v>
      </c>
      <c r="G34" s="3213"/>
      <c r="H34" s="3319"/>
      <c r="I34" s="3325"/>
      <c r="J34" s="3326"/>
      <c r="K34" s="3328"/>
      <c r="L34" s="3329"/>
      <c r="M34" s="3329"/>
    </row>
    <row r="35" spans="1:18" ht="18" customHeight="1">
      <c r="A35" s="3330"/>
      <c r="B35" s="3331"/>
      <c r="C35" s="3296"/>
      <c r="D35" s="3297"/>
      <c r="E35" s="3223" t="s">
        <v>3044</v>
      </c>
      <c r="F35" s="3224">
        <f ca="1">INDIRECT("'数据-取费表'!r"&amp;$G$1)</f>
        <v>25900.91</v>
      </c>
      <c r="G35" s="3213"/>
      <c r="H35" s="3319"/>
      <c r="I35" s="3325"/>
      <c r="J35" s="3326"/>
      <c r="K35" s="3327"/>
      <c r="L35" s="3324"/>
      <c r="M35" s="3324"/>
    </row>
    <row r="36" spans="1:18" ht="18" customHeight="1">
      <c r="A36" s="3332" t="s">
        <v>2991</v>
      </c>
      <c r="B36" s="3223" t="s">
        <v>3047</v>
      </c>
      <c r="C36" s="3269">
        <f ca="1">ROUND(C29*F36,0)</f>
        <v>0</v>
      </c>
      <c r="D36" s="3285" t="s">
        <v>3086</v>
      </c>
      <c r="E36" s="3223" t="s">
        <v>3012</v>
      </c>
      <c r="F36" s="3298">
        <f ca="1">INDIRECT("'数据-取费表'!Ak"&amp;$G$1)</f>
        <v>0</v>
      </c>
      <c r="G36" s="3213"/>
      <c r="H36" s="3324"/>
      <c r="I36" s="3325"/>
      <c r="J36" s="3326"/>
      <c r="K36" s="3333"/>
      <c r="L36" s="3324"/>
      <c r="M36" s="3324"/>
    </row>
    <row r="37" spans="1:18" ht="18" customHeight="1">
      <c r="A37" s="3264" t="s">
        <v>2999</v>
      </c>
      <c r="B37" s="3223" t="s">
        <v>3051</v>
      </c>
      <c r="C37" s="3269">
        <f ca="1">ROUND(C13*F37,0)</f>
        <v>0</v>
      </c>
      <c r="D37" s="3285" t="s">
        <v>3052</v>
      </c>
      <c r="E37" s="3223" t="s">
        <v>3012</v>
      </c>
      <c r="F37" s="3300">
        <f ca="1">INDIRECT("'数据-取费表'!Al"&amp;$G$1)</f>
        <v>0</v>
      </c>
      <c r="G37" s="3213"/>
      <c r="H37" s="3324"/>
      <c r="I37" s="3325"/>
      <c r="J37" s="3326"/>
      <c r="K37" s="3333"/>
      <c r="L37" s="3324"/>
      <c r="M37" s="3324"/>
    </row>
    <row r="38" spans="1:18" ht="18" customHeight="1" thickBot="1">
      <c r="A38" s="3276" t="s">
        <v>3045</v>
      </c>
      <c r="B38" s="3251" t="s">
        <v>3035</v>
      </c>
      <c r="C38" s="3302">
        <f ca="1">ROUND(C5*F38,1)</f>
        <v>0</v>
      </c>
      <c r="D38" s="3303" t="s">
        <v>3056</v>
      </c>
      <c r="E38" s="3251" t="s">
        <v>3012</v>
      </c>
      <c r="F38" s="3252">
        <f ca="1">INDIRECT("'数据-取费表'!Am"&amp;$G$1)</f>
        <v>0</v>
      </c>
      <c r="G38" s="3213"/>
      <c r="H38" s="3324"/>
      <c r="I38" s="3325"/>
      <c r="J38" s="3326"/>
      <c r="K38" s="3334"/>
      <c r="L38" s="3324"/>
      <c r="M38" s="3324"/>
    </row>
    <row r="39" spans="1:18" ht="24.6" customHeight="1" thickTop="1">
      <c r="A39" s="3255" t="s">
        <v>3060</v>
      </c>
      <c r="B39" s="3304" t="s">
        <v>3061</v>
      </c>
      <c r="C39" s="3257">
        <f ca="1">C5-C30</f>
        <v>-2938958</v>
      </c>
      <c r="D39" s="3305" t="s">
        <v>3062</v>
      </c>
      <c r="E39" s="3306"/>
      <c r="F39" s="3307"/>
      <c r="G39" s="3213"/>
      <c r="H39" s="3324"/>
      <c r="I39" s="3325"/>
      <c r="J39" s="3326"/>
      <c r="K39" s="3334"/>
      <c r="L39" s="3324"/>
      <c r="M39" s="3324"/>
    </row>
    <row r="40" spans="1:18" ht="18" customHeight="1">
      <c r="A40" s="3214" t="s">
        <v>3066</v>
      </c>
      <c r="B40" s="3215" t="s">
        <v>3087</v>
      </c>
      <c r="C40" s="3225">
        <f ca="1">ROUND(C39*(1-((1+F42)/(1+F40))^F41)/(F40-F42),0)</f>
        <v>0</v>
      </c>
      <c r="D40" s="3292" t="s">
        <v>3068</v>
      </c>
      <c r="E40" s="3223" t="s">
        <v>3069</v>
      </c>
      <c r="F40" s="3233">
        <f ca="1">INDIRECT("'数据-取费表'!I"&amp;$G$1)</f>
        <v>5.5E-2</v>
      </c>
      <c r="G40" s="3213"/>
      <c r="H40" s="3335"/>
      <c r="I40" s="3325"/>
      <c r="J40" s="3326"/>
      <c r="K40" s="3334"/>
      <c r="L40" s="3335"/>
      <c r="M40" s="3335"/>
    </row>
    <row r="41" spans="1:18" ht="18" customHeight="1">
      <c r="A41" s="3231"/>
      <c r="B41" s="3308"/>
      <c r="C41" s="3232"/>
      <c r="D41" s="3309" t="s">
        <v>3072</v>
      </c>
      <c r="E41" s="3223" t="s">
        <v>3073</v>
      </c>
      <c r="F41" s="3310">
        <f ca="1">IF(INDIRECT("'数据-取费表'!af"&amp;$G$1)=0,INDIRECT("'数据-取费表'!ae"&amp;$G$1),INDIRECT("'数据-取费表'!af"&amp;$G$1))</f>
        <v>0</v>
      </c>
      <c r="G41" s="3213"/>
      <c r="H41" s="3336"/>
      <c r="I41" s="3325"/>
      <c r="J41" s="3326"/>
      <c r="K41" s="3333"/>
      <c r="L41" s="3336"/>
      <c r="M41" s="3336"/>
    </row>
    <row r="42" spans="1:18" ht="18" customHeight="1">
      <c r="A42" s="3241"/>
      <c r="B42" s="3311"/>
      <c r="C42" s="3257"/>
      <c r="D42" s="3297"/>
      <c r="E42" s="3223" t="s">
        <v>3077</v>
      </c>
      <c r="F42" s="3233">
        <f ca="1">INDIRECT("'数据-取费表'!v"&amp;$G$1)</f>
        <v>0</v>
      </c>
      <c r="G42" s="3213"/>
      <c r="H42" s="3336"/>
      <c r="I42" s="3325"/>
      <c r="J42" s="3326"/>
      <c r="K42" s="3333"/>
      <c r="L42" s="3336"/>
      <c r="M42" s="3336"/>
    </row>
    <row r="43" spans="1:18" ht="18" customHeight="1" thickBot="1">
      <c r="A43" s="3313" t="s">
        <v>3080</v>
      </c>
      <c r="B43" s="3314" t="s">
        <v>3088</v>
      </c>
      <c r="C43" s="3315">
        <f ca="1">ROUND(C40/F43,0)</f>
        <v>0</v>
      </c>
      <c r="D43" s="3316" t="s">
        <v>3089</v>
      </c>
      <c r="E43" s="3317" t="s">
        <v>3090</v>
      </c>
      <c r="F43" s="3318">
        <f ca="1">INDIRECT("'数据-取费表'!k"&amp;$G$1)</f>
        <v>76060</v>
      </c>
      <c r="G43" s="3213"/>
      <c r="H43" s="3336"/>
      <c r="I43" s="3336"/>
      <c r="J43" s="3336"/>
      <c r="K43" s="3333"/>
      <c r="L43" s="3336"/>
      <c r="M43" s="3336"/>
    </row>
    <row r="44" spans="1:18" s="3204" customFormat="1" ht="18" customHeight="1">
      <c r="A44" s="3337"/>
      <c r="B44" s="3337"/>
      <c r="C44" s="3338"/>
      <c r="D44" s="3337"/>
      <c r="E44" s="3337"/>
      <c r="F44" s="3337"/>
      <c r="K44" s="3339"/>
    </row>
    <row r="45" spans="1:18" s="3204" customFormat="1" ht="18" customHeight="1" thickBot="1">
      <c r="A45" s="3337"/>
      <c r="B45" s="3337"/>
      <c r="C45" s="3340">
        <f ca="1">C68-C40</f>
        <v>0</v>
      </c>
      <c r="D45" s="3341" t="s">
        <v>3091</v>
      </c>
      <c r="E45" s="3337"/>
      <c r="F45" s="3337"/>
      <c r="O45" s="3342" t="s">
        <v>3092</v>
      </c>
      <c r="P45" s="3335"/>
      <c r="Q45" s="3335"/>
      <c r="R45" s="3335"/>
    </row>
    <row r="46" spans="1:18" s="3204" customFormat="1" ht="13.5" thickBot="1">
      <c r="A46" s="3343" t="s">
        <v>3093</v>
      </c>
      <c r="C46" s="3344">
        <f ca="1">ROUND(C45/10000,0)</f>
        <v>0</v>
      </c>
      <c r="D46" s="3345" t="str">
        <f>C2</f>
        <v>万元</v>
      </c>
      <c r="I46" s="3346" t="s">
        <v>3094</v>
      </c>
      <c r="J46" s="3347"/>
      <c r="K46" s="3348"/>
      <c r="L46" s="3349" t="e">
        <f ca="1">IF(M47="住宅",0,IF(L48&gt;J51,L60,J60))</f>
        <v>#DIV/0!</v>
      </c>
      <c r="O46" s="3350" t="s">
        <v>3095</v>
      </c>
      <c r="P46" s="3351" t="s">
        <v>3096</v>
      </c>
      <c r="Q46" s="3352" t="s">
        <v>3097</v>
      </c>
      <c r="R46" s="3352" t="s">
        <v>3098</v>
      </c>
    </row>
    <row r="47" spans="1:18" s="3204" customFormat="1" ht="13.5" thickBot="1">
      <c r="A47" s="3353" t="s">
        <v>2977</v>
      </c>
      <c r="B47" s="3354" t="s">
        <v>2978</v>
      </c>
      <c r="C47" s="3354" t="s">
        <v>2979</v>
      </c>
      <c r="D47" s="3354" t="s">
        <v>2980</v>
      </c>
      <c r="E47" s="3355" t="s">
        <v>2976</v>
      </c>
      <c r="F47" s="3356"/>
      <c r="G47" s="3357"/>
      <c r="I47" s="3358" t="s">
        <v>3099</v>
      </c>
      <c r="J47" s="3359"/>
      <c r="K47" s="3360" t="s">
        <v>3100</v>
      </c>
      <c r="L47" s="3361">
        <f ca="1">INDIRECT("'数据-取费表'!d"&amp;$G$1)</f>
        <v>70</v>
      </c>
      <c r="M47" s="3362" t="str">
        <f>IF(ISNUMBER(FIND("住宅",C1)),"住宅","非住宅")</f>
        <v>非住宅</v>
      </c>
      <c r="O47" s="3363" t="s">
        <v>2377</v>
      </c>
      <c r="P47" s="3364" t="s">
        <v>3101</v>
      </c>
      <c r="Q47" s="3365">
        <f ca="1">C40+J29</f>
        <v>0</v>
      </c>
      <c r="R47" s="3365" t="s">
        <v>3102</v>
      </c>
    </row>
    <row r="48" spans="1:18" s="3204" customFormat="1" ht="28.5" thickBot="1">
      <c r="A48" s="3366" t="s">
        <v>3103</v>
      </c>
      <c r="B48" s="3215" t="s">
        <v>2981</v>
      </c>
      <c r="C48" s="3367">
        <f ca="1">C49+C53+C55</f>
        <v>0</v>
      </c>
      <c r="D48" s="3368"/>
      <c r="E48" s="3369"/>
      <c r="F48" s="3370"/>
      <c r="G48" s="3357"/>
      <c r="H48" s="3371"/>
      <c r="I48" s="3372" t="s">
        <v>3104</v>
      </c>
      <c r="J48" s="3373"/>
      <c r="K48" s="3374" t="s">
        <v>3105</v>
      </c>
      <c r="L48" s="3375">
        <f ca="1">INDIRECT("'数据-取费表'!f"&amp;$G$1)</f>
        <v>64.459999999999994</v>
      </c>
      <c r="O48" s="3363" t="s">
        <v>2379</v>
      </c>
      <c r="P48" s="3364" t="s">
        <v>3106</v>
      </c>
      <c r="Q48" s="3365" t="str">
        <f ca="1">J60</f>
        <v>0</v>
      </c>
      <c r="R48" s="3365" t="s">
        <v>3107</v>
      </c>
    </row>
    <row r="49" spans="1:18" s="3204" customFormat="1" ht="13.5" thickBot="1">
      <c r="A49" s="3376" t="s">
        <v>3108</v>
      </c>
      <c r="B49" s="3377" t="s">
        <v>3109</v>
      </c>
      <c r="C49" s="3378">
        <f ca="1">ROUND(F49*F51*F50*(1-F52),0)</f>
        <v>0</v>
      </c>
      <c r="D49" s="3379" t="s">
        <v>3110</v>
      </c>
      <c r="E49" s="3380" t="s">
        <v>3111</v>
      </c>
      <c r="F49" s="3381"/>
      <c r="G49" s="3382"/>
      <c r="H49" s="3371"/>
      <c r="I49" s="3372" t="s">
        <v>3112</v>
      </c>
      <c r="J49" s="3383"/>
      <c r="K49" s="3374" t="s">
        <v>3113</v>
      </c>
      <c r="L49" s="3384"/>
      <c r="O49" s="3385" t="s">
        <v>2381</v>
      </c>
      <c r="P49" s="3364" t="s">
        <v>3114</v>
      </c>
      <c r="Q49" s="3365">
        <f ca="1">C29</f>
        <v>349876000</v>
      </c>
      <c r="R49" s="3365" t="s">
        <v>3102</v>
      </c>
    </row>
    <row r="50" spans="1:18" s="3204" customFormat="1" ht="13.5" thickBot="1">
      <c r="A50" s="3386"/>
      <c r="B50" s="3387"/>
      <c r="C50" s="3388"/>
      <c r="D50" s="3389"/>
      <c r="E50" s="3390" t="s">
        <v>2988</v>
      </c>
      <c r="F50" s="3391">
        <f ca="1">F7</f>
        <v>76060</v>
      </c>
      <c r="H50" s="3371"/>
      <c r="I50" s="3372" t="s">
        <v>3115</v>
      </c>
      <c r="J50" s="3392">
        <f>SUMPRODUCT((I63:I65=J47)*(J62:L62=J48)*(J63:L65))</f>
        <v>0</v>
      </c>
      <c r="K50" s="3374" t="s">
        <v>3116</v>
      </c>
      <c r="L50" s="3384"/>
      <c r="M50" s="3393"/>
      <c r="O50" s="3385" t="s">
        <v>2382</v>
      </c>
      <c r="P50" s="3364" t="s">
        <v>3117</v>
      </c>
      <c r="Q50" s="3394" t="e">
        <f ca="1">J58</f>
        <v>#VALUE!</v>
      </c>
      <c r="R50" s="3365"/>
    </row>
    <row r="51" spans="1:18" s="3204" customFormat="1" ht="13.5" thickBot="1">
      <c r="A51" s="3395"/>
      <c r="B51" s="3387"/>
      <c r="C51" s="3388"/>
      <c r="D51" s="3389"/>
      <c r="E51" s="3396" t="s">
        <v>2989</v>
      </c>
      <c r="F51" s="3224">
        <f ca="1">F8</f>
        <v>0</v>
      </c>
      <c r="I51" s="3397" t="s">
        <v>3118</v>
      </c>
      <c r="J51" s="3398">
        <f>IF(J49="",J50,J49+J50-YEAR('[1]数据-取费表'!B2))</f>
        <v>0</v>
      </c>
      <c r="K51" s="3399" t="s">
        <v>3119</v>
      </c>
      <c r="L51" s="3400">
        <f ca="1">ROUND(-PV(INDIRECT("'数据-取费表'!h"&amp;$G$1),L48,(C39-C13*C76),0),0)</f>
        <v>-61484179</v>
      </c>
      <c r="M51" s="3401"/>
      <c r="O51" s="3385" t="s">
        <v>2384</v>
      </c>
      <c r="P51" s="3364" t="s">
        <v>3120</v>
      </c>
      <c r="Q51" s="3394">
        <f>J52</f>
        <v>0</v>
      </c>
      <c r="R51" s="3365"/>
    </row>
    <row r="52" spans="1:18" s="3204" customFormat="1" ht="13.5" thickBot="1">
      <c r="A52" s="3395"/>
      <c r="B52" s="3387"/>
      <c r="C52" s="3388"/>
      <c r="D52" s="3389"/>
      <c r="E52" s="3396" t="s">
        <v>2990</v>
      </c>
      <c r="F52" s="3402"/>
      <c r="I52" s="3403" t="s">
        <v>3121</v>
      </c>
      <c r="J52" s="3404"/>
      <c r="K52" s="3403" t="s">
        <v>3122</v>
      </c>
      <c r="L52" s="3404"/>
      <c r="O52" s="3385" t="s">
        <v>2386</v>
      </c>
      <c r="P52" s="3364" t="s">
        <v>3123</v>
      </c>
      <c r="Q52" s="3365" t="b">
        <f>J53</f>
        <v>0</v>
      </c>
      <c r="R52" s="3365" t="s">
        <v>3124</v>
      </c>
    </row>
    <row r="53" spans="1:18" s="3204" customFormat="1" ht="30.75" customHeight="1" thickBot="1">
      <c r="A53" s="3405" t="s">
        <v>3125</v>
      </c>
      <c r="B53" s="3290" t="s">
        <v>2992</v>
      </c>
      <c r="C53" s="3237">
        <f>ROUND(IF(F53="押一",F49*F51*F50/12*F11,IF(F53="押二",F49*F51*F50/12*2*F11,IF(F53="押三",F49*F51*F50/12*3*F11,C54*F11))),0)</f>
        <v>0</v>
      </c>
      <c r="D53" s="3238" t="s">
        <v>3126</v>
      </c>
      <c r="E53" s="3234" t="s">
        <v>2994</v>
      </c>
      <c r="F53" s="3239"/>
      <c r="I53" s="3406" t="s">
        <v>3127</v>
      </c>
      <c r="J53" s="3407" t="b">
        <f>IF(M47="住宅",J51,IF(D1="——",MIN(J51,L48),IF(D1="在建（套用方法）",MIN(J51,L48-'[1]数据-取费表'!B24),IF(D1="土地（套用方法）",MIN(J51,L48-'[1]数据-取费表'!B20)))))</f>
        <v>0</v>
      </c>
      <c r="K53" s="3546" t="s">
        <v>3128</v>
      </c>
      <c r="L53" s="3547"/>
      <c r="O53" s="3363" t="s">
        <v>2389</v>
      </c>
      <c r="P53" s="3364" t="s">
        <v>3129</v>
      </c>
      <c r="Q53" s="3365">
        <f ca="1">Q47+Q48</f>
        <v>0</v>
      </c>
      <c r="R53" s="3365" t="s">
        <v>2390</v>
      </c>
    </row>
    <row r="54" spans="1:18" s="3204" customFormat="1" ht="13.5" thickBot="1">
      <c r="A54" s="3376"/>
      <c r="B54" s="3408" t="s">
        <v>2998</v>
      </c>
      <c r="C54" s="3243"/>
      <c r="D54" s="3238"/>
      <c r="E54" s="3409"/>
      <c r="F54" s="3410"/>
      <c r="I54" s="34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2"/>
      <c r="K54" s="3412"/>
      <c r="L54" s="3412"/>
      <c r="M54" s="3382"/>
      <c r="O54" s="3342" t="s">
        <v>3130</v>
      </c>
      <c r="P54" s="3335"/>
      <c r="Q54" s="3335"/>
      <c r="R54" s="3335"/>
    </row>
    <row r="55" spans="1:18" s="3204" customFormat="1" ht="13.5" thickBot="1">
      <c r="A55" s="3247" t="s">
        <v>2999</v>
      </c>
      <c r="B55" s="3248" t="s">
        <v>3000</v>
      </c>
      <c r="C55" s="3249"/>
      <c r="D55" s="3238"/>
      <c r="E55" s="3409"/>
      <c r="F55" s="3410"/>
      <c r="I55" s="3413" t="s">
        <v>3131</v>
      </c>
      <c r="J55" s="3414" t="e">
        <f ca="1">ROUND(IF(J47="钢混",J57/J50,1-(1-2%)*(J50-J57)/J50),3)</f>
        <v>#VALUE!</v>
      </c>
      <c r="K55" s="3415" t="s">
        <v>3132</v>
      </c>
      <c r="L55" s="3416"/>
      <c r="O55" s="3350" t="s">
        <v>3095</v>
      </c>
      <c r="P55" s="3351" t="s">
        <v>3096</v>
      </c>
      <c r="Q55" s="3352" t="s">
        <v>3097</v>
      </c>
      <c r="R55" s="3352" t="s">
        <v>3098</v>
      </c>
    </row>
    <row r="56" spans="1:18" s="3204" customFormat="1" ht="36" customHeight="1" thickTop="1" thickBot="1">
      <c r="A56" s="3417">
        <v>2</v>
      </c>
      <c r="B56" s="3418" t="s">
        <v>3001</v>
      </c>
      <c r="C56" s="3419">
        <f ca="1">C13</f>
        <v>0</v>
      </c>
      <c r="D56" s="3420"/>
      <c r="E56" s="3421"/>
      <c r="F56" s="3410"/>
      <c r="I56" s="3422" t="s">
        <v>3133</v>
      </c>
      <c r="J56" s="3423"/>
      <c r="K56" s="3372" t="s">
        <v>3134</v>
      </c>
      <c r="L56" s="3375">
        <f ca="1">IF(L48&lt;J51,"——",L48-J51)</f>
        <v>64.459999999999994</v>
      </c>
      <c r="O56" s="3363" t="s">
        <v>2377</v>
      </c>
      <c r="P56" s="3364" t="s">
        <v>3101</v>
      </c>
      <c r="Q56" s="3365">
        <f ca="1">C40+J29</f>
        <v>0</v>
      </c>
      <c r="R56" s="3365" t="s">
        <v>3102</v>
      </c>
    </row>
    <row r="57" spans="1:18" s="3204" customFormat="1" ht="24.75" thickBot="1">
      <c r="A57" s="3424"/>
      <c r="B57" s="3425" t="s">
        <v>3079</v>
      </c>
      <c r="C57" s="3426">
        <f ca="1">C29</f>
        <v>349876000</v>
      </c>
      <c r="D57" s="3427"/>
      <c r="E57" s="3428"/>
      <c r="F57" s="3429"/>
      <c r="I57" s="3430" t="s">
        <v>3135</v>
      </c>
      <c r="J57" s="3431" t="str">
        <f ca="1">IF(OR(M47="住宅",J51&lt;L48,J56="是"),"——",J51-L48)</f>
        <v>——</v>
      </c>
      <c r="K57" s="3372" t="s">
        <v>3136</v>
      </c>
      <c r="L57" s="3375">
        <f ca="1">IF(L48&lt;J51,"——",IF(L55="比较法",L49,IF(L55="基准地价",L50,L51)))</f>
        <v>-61484179</v>
      </c>
      <c r="O57" s="3363" t="s">
        <v>2379</v>
      </c>
      <c r="P57" s="3364" t="s">
        <v>3137</v>
      </c>
      <c r="Q57" s="3365" t="e">
        <f ca="1">L60</f>
        <v>#DIV/0!</v>
      </c>
      <c r="R57" s="3365" t="s">
        <v>3138</v>
      </c>
    </row>
    <row r="58" spans="1:18" s="3204" customFormat="1" ht="24.75" thickBot="1">
      <c r="A58" s="3432" t="s">
        <v>3083</v>
      </c>
      <c r="B58" s="3418" t="s">
        <v>3018</v>
      </c>
      <c r="C58" s="3237">
        <f ca="1">ROUND(C59+C64+C65+C66,0)</f>
        <v>2938958</v>
      </c>
      <c r="D58" s="3433" t="s">
        <v>3019</v>
      </c>
      <c r="E58" s="3434"/>
      <c r="F58" s="3370"/>
      <c r="I58" s="3430" t="s">
        <v>3139</v>
      </c>
      <c r="J58" s="3435" t="e">
        <f ca="1">IF(J55&lt;0.4,0.4,J55)</f>
        <v>#VALUE!</v>
      </c>
      <c r="K58" s="3399" t="s">
        <v>3140</v>
      </c>
      <c r="L58" s="3375" t="e">
        <f ca="1">ROUND(POWER(1+L52,L47-L48)*(POWER(1+L52,L48)-1)/(POWER(1+L52,L47)-1),4)</f>
        <v>#DIV/0!</v>
      </c>
      <c r="O58" s="3385" t="s">
        <v>2381</v>
      </c>
      <c r="P58" s="3364" t="s">
        <v>3141</v>
      </c>
      <c r="Q58" s="3365">
        <f>IF(L55="比较法",L49,IF(L55="基准地价",L50,0))</f>
        <v>0</v>
      </c>
      <c r="R58" s="3365" t="s">
        <v>3102</v>
      </c>
    </row>
    <row r="59" spans="1:18" s="3204" customFormat="1" ht="24.75" thickBot="1">
      <c r="A59" s="3264" t="s">
        <v>2983</v>
      </c>
      <c r="B59" s="3425" t="s">
        <v>3024</v>
      </c>
      <c r="C59" s="3269">
        <f ca="1">ROUND(IF([1]项目基本情况!B11="自然人",C48*F59,C60+C61+C62),0)</f>
        <v>2938958</v>
      </c>
      <c r="D59" s="3436" t="s">
        <v>3025</v>
      </c>
      <c r="E59" s="3437" t="s">
        <v>3026</v>
      </c>
      <c r="F59" s="3286">
        <f ca="1">IF([1]项目基本情况!B11="企业","",IF(INDIRECT("'数据-取费表'!c"&amp;$G$1)="住宅",5%,IF(F49*F50*F51/12/(1+'[1]数据-取费表'!C42)&gt;20000,12%,7%)))</f>
        <v>0.05</v>
      </c>
      <c r="I59" s="3430" t="s">
        <v>3142</v>
      </c>
      <c r="J59" s="3431" t="str">
        <f ca="1">IF(OR(M47="住宅",J51&lt;L48,J56="是"),"——",ROUND(C29*J58,0))</f>
        <v>——</v>
      </c>
      <c r="K59" s="33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5" t="e">
        <f ca="1">ROUND(IF(D1="在建（套用方法）",M59,IF(D1="土地（套用方法）",N59,POWER(1+L52,L47-J51)*(POWER(1+L52,J51)-1)/(POWER(1+L52,L47)-1))),4)</f>
        <v>#DIV/0!</v>
      </c>
      <c r="M59" s="3335" t="e">
        <f ca="1">ROUND(POWER(1+L52,L47-(J51+'[1]数据-取费表'!B24))*(POWER(1+L52,(J51+'[1]数据-取费表'!B24))-1)/(POWER(1+L52,L47)-1),4)</f>
        <v>#DIV/0!</v>
      </c>
      <c r="N59" s="3335" t="e">
        <f ca="1">ROUND(POWER(1+L52,L47-(J51+'[1]数据-取费表'!B20))*(POWER(1+L52,(J51+'[1]数据-取费表'!B20))-1)/(POWER(1+L52,L47)-1),4)</f>
        <v>#DIV/0!</v>
      </c>
      <c r="O59" s="3385" t="s">
        <v>2382</v>
      </c>
      <c r="P59" s="3364" t="s">
        <v>3143</v>
      </c>
      <c r="Q59" s="3394">
        <f>L52</f>
        <v>0</v>
      </c>
      <c r="R59" s="3365"/>
    </row>
    <row r="60" spans="1:18" s="3204" customFormat="1" ht="16.5" thickBot="1">
      <c r="A60" s="3264" t="s">
        <v>3004</v>
      </c>
      <c r="B60" s="3425" t="s">
        <v>3084</v>
      </c>
      <c r="C60" s="3269">
        <f ca="1">IF([1]项目基本情况!B11="自然人","——",ROUND(C48*F60/(1+'[1]数据-取费表'!C42),0))</f>
        <v>0</v>
      </c>
      <c r="D60" s="3437" t="s">
        <v>3085</v>
      </c>
      <c r="E60" s="3425" t="s">
        <v>3012</v>
      </c>
      <c r="F60" s="3301">
        <f t="shared" ref="F60:F66" si="0">F32</f>
        <v>0</v>
      </c>
      <c r="I60" s="3438" t="s">
        <v>3144</v>
      </c>
      <c r="J60" s="3439" t="str">
        <f ca="1">IF(OR(M47="住宅",J51&lt;L48,J56="是"),"0",ROUND(J59/(1+J52)^J53,0))</f>
        <v>0</v>
      </c>
      <c r="K60" s="3440" t="s">
        <v>3145</v>
      </c>
      <c r="L60" s="3439" t="e">
        <f ca="1">IF(OR(M47="住宅",L48&lt;J51),0,ROUND(L57*(L58/L59-1),0))</f>
        <v>#DIV/0!</v>
      </c>
      <c r="O60" s="3385" t="s">
        <v>2384</v>
      </c>
      <c r="P60" s="3364" t="s">
        <v>3146</v>
      </c>
      <c r="Q60" s="3365" t="e">
        <f ca="1">L58</f>
        <v>#DIV/0!</v>
      </c>
      <c r="R60" s="3365" t="s">
        <v>3147</v>
      </c>
    </row>
    <row r="61" spans="1:18" s="3204" customFormat="1" ht="13.5" thickBot="1">
      <c r="A61" s="3264" t="s">
        <v>3148</v>
      </c>
      <c r="B61" s="3425" t="s">
        <v>3033</v>
      </c>
      <c r="C61" s="3269">
        <f ca="1">IF([1]项目基本情况!B11="自然人","——",IF(D61="按租金收入计税",ROUND(C48*F61,0),IF(D61="按房产原值计税",ROUND(C57*F61*0.7,0),INDIRECT("'数据-取费表'!Aj"&amp;$G$1))))</f>
        <v>2938958</v>
      </c>
      <c r="D61" s="3289" t="s">
        <v>3034</v>
      </c>
      <c r="E61" s="3425" t="s">
        <v>3012</v>
      </c>
      <c r="F61" s="3282">
        <f t="shared" si="0"/>
        <v>1.2E-2</v>
      </c>
      <c r="I61" s="3441"/>
      <c r="J61" s="3441"/>
      <c r="K61" s="3441"/>
      <c r="L61" s="3441"/>
      <c r="O61" s="3385" t="s">
        <v>2386</v>
      </c>
      <c r="P61" s="3364" t="str">
        <f>K59</f>
        <v>建设期及建筑物耐用年限下的土地年期修正系数Kn</v>
      </c>
      <c r="Q61" s="3365" t="e">
        <f ca="1">L59</f>
        <v>#DIV/0!</v>
      </c>
      <c r="R61" s="3365" t="s">
        <v>3149</v>
      </c>
    </row>
    <row r="62" spans="1:18" s="3204" customFormat="1" ht="13.5" thickBot="1">
      <c r="A62" s="3264" t="s">
        <v>3150</v>
      </c>
      <c r="B62" s="3442" t="s">
        <v>3037</v>
      </c>
      <c r="C62" s="3291">
        <f ca="1">IF([1]项目基本情况!B11="自然人","——",ROUND(F62*F63,0))</f>
        <v>0</v>
      </c>
      <c r="D62" s="3443" t="s">
        <v>3038</v>
      </c>
      <c r="E62" s="3425" t="s">
        <v>3039</v>
      </c>
      <c r="F62" s="3293">
        <f t="shared" si="0"/>
        <v>0</v>
      </c>
      <c r="I62" s="3444" t="s">
        <v>3151</v>
      </c>
      <c r="J62" s="3445" t="s">
        <v>3152</v>
      </c>
      <c r="K62" s="3445" t="s">
        <v>3153</v>
      </c>
      <c r="L62" s="3445" t="s">
        <v>3154</v>
      </c>
      <c r="M62" s="3446" t="s">
        <v>3155</v>
      </c>
      <c r="O62" s="3363" t="s">
        <v>2389</v>
      </c>
      <c r="P62" s="3364" t="s">
        <v>3129</v>
      </c>
      <c r="Q62" s="3365" t="e">
        <f ca="1">Q56+Q57</f>
        <v>#DIV/0!</v>
      </c>
      <c r="R62" s="3365" t="s">
        <v>2390</v>
      </c>
    </row>
    <row r="63" spans="1:18" s="3204" customFormat="1" ht="13.5" thickBot="1">
      <c r="A63" s="3294"/>
      <c r="B63" s="3447"/>
      <c r="C63" s="3296"/>
      <c r="D63" s="3448"/>
      <c r="E63" s="3425" t="s">
        <v>3044</v>
      </c>
      <c r="F63" s="3224">
        <f t="shared" ca="1" si="0"/>
        <v>25900.91</v>
      </c>
      <c r="I63" s="3444" t="s">
        <v>3156</v>
      </c>
      <c r="J63" s="3445">
        <v>70</v>
      </c>
      <c r="K63" s="3445">
        <v>50</v>
      </c>
      <c r="L63" s="3445">
        <v>80</v>
      </c>
      <c r="M63" s="3449">
        <v>0.02</v>
      </c>
      <c r="O63" s="3342" t="s">
        <v>3157</v>
      </c>
      <c r="P63" s="3335"/>
      <c r="Q63" s="3335"/>
      <c r="R63" s="3335"/>
    </row>
    <row r="64" spans="1:18" s="3204" customFormat="1" ht="13.5" thickBot="1">
      <c r="A64" s="3264" t="s">
        <v>2991</v>
      </c>
      <c r="B64" s="3425" t="s">
        <v>3047</v>
      </c>
      <c r="C64" s="3269">
        <f ca="1">ROUND(C57*F64,0)</f>
        <v>0</v>
      </c>
      <c r="D64" s="3437" t="s">
        <v>3086</v>
      </c>
      <c r="E64" s="3425" t="s">
        <v>3012</v>
      </c>
      <c r="F64" s="3298">
        <f t="shared" ca="1" si="0"/>
        <v>0</v>
      </c>
      <c r="I64" s="3444" t="s">
        <v>3158</v>
      </c>
      <c r="J64" s="3445">
        <v>50</v>
      </c>
      <c r="K64" s="3445">
        <v>35</v>
      </c>
      <c r="L64" s="3445">
        <v>60</v>
      </c>
      <c r="M64" s="3446">
        <v>0</v>
      </c>
      <c r="O64" s="3350" t="s">
        <v>3095</v>
      </c>
      <c r="P64" s="3351" t="s">
        <v>3096</v>
      </c>
      <c r="Q64" s="3352" t="s">
        <v>3097</v>
      </c>
      <c r="R64" s="3352" t="s">
        <v>3098</v>
      </c>
    </row>
    <row r="65" spans="1:18" s="3204" customFormat="1" ht="13.5" thickBot="1">
      <c r="A65" s="3264" t="s">
        <v>3159</v>
      </c>
      <c r="B65" s="3425" t="s">
        <v>3051</v>
      </c>
      <c r="C65" s="3269">
        <f ca="1">ROUND(C56*F65,0)</f>
        <v>0</v>
      </c>
      <c r="D65" s="3437" t="s">
        <v>3052</v>
      </c>
      <c r="E65" s="3425" t="s">
        <v>3012</v>
      </c>
      <c r="F65" s="3300">
        <f t="shared" ca="1" si="0"/>
        <v>0</v>
      </c>
      <c r="I65" s="3444" t="s">
        <v>3160</v>
      </c>
      <c r="J65" s="3445">
        <v>40</v>
      </c>
      <c r="K65" s="3445">
        <v>30</v>
      </c>
      <c r="L65" s="3445">
        <v>50</v>
      </c>
      <c r="M65" s="3449">
        <v>0.02</v>
      </c>
      <c r="O65" s="3363" t="s">
        <v>2377</v>
      </c>
      <c r="P65" s="3364" t="s">
        <v>3101</v>
      </c>
      <c r="Q65" s="3365">
        <f ca="1">C40+J29</f>
        <v>0</v>
      </c>
      <c r="R65" s="3365" t="s">
        <v>3102</v>
      </c>
    </row>
    <row r="66" spans="1:18" s="3204" customFormat="1" ht="16.5" thickBot="1">
      <c r="A66" s="3264" t="s">
        <v>3161</v>
      </c>
      <c r="B66" s="3425" t="s">
        <v>3035</v>
      </c>
      <c r="C66" s="3269">
        <f ca="1">ROUND(C48*F66,0)</f>
        <v>0</v>
      </c>
      <c r="D66" s="3437" t="s">
        <v>3056</v>
      </c>
      <c r="E66" s="3425" t="s">
        <v>3012</v>
      </c>
      <c r="F66" s="3233">
        <f t="shared" ca="1" si="0"/>
        <v>0</v>
      </c>
      <c r="O66" s="3363" t="s">
        <v>2379</v>
      </c>
      <c r="P66" s="3364" t="s">
        <v>3137</v>
      </c>
      <c r="Q66" s="3365" t="e">
        <f ca="1">L60</f>
        <v>#DIV/0!</v>
      </c>
      <c r="R66" s="3365" t="s">
        <v>3162</v>
      </c>
    </row>
    <row r="67" spans="1:18" s="3204" customFormat="1" ht="16.5" thickBot="1">
      <c r="A67" s="3417" t="s">
        <v>3060</v>
      </c>
      <c r="B67" s="3450" t="s">
        <v>3061</v>
      </c>
      <c r="C67" s="3237">
        <f ca="1">C48-C58</f>
        <v>-2938958</v>
      </c>
      <c r="D67" s="3436" t="s">
        <v>3062</v>
      </c>
      <c r="E67" s="3451"/>
      <c r="F67" s="3452"/>
      <c r="O67" s="3385" t="s">
        <v>2381</v>
      </c>
      <c r="P67" s="3364" t="s">
        <v>3141</v>
      </c>
      <c r="Q67" s="3453">
        <f ca="1">L51</f>
        <v>-61484179</v>
      </c>
      <c r="R67" s="3365" t="s">
        <v>3163</v>
      </c>
    </row>
    <row r="68" spans="1:18" s="3204" customFormat="1" ht="16.5" thickBot="1">
      <c r="A68" s="3454" t="s">
        <v>3066</v>
      </c>
      <c r="B68" s="3455" t="s">
        <v>3087</v>
      </c>
      <c r="C68" s="3225">
        <f ca="1">ROUND(C67*(1-((1+F70)/(1+F68))^F69)/(F68-F70),0)</f>
        <v>0</v>
      </c>
      <c r="D68" s="3443" t="s">
        <v>3068</v>
      </c>
      <c r="E68" s="3425" t="s">
        <v>3069</v>
      </c>
      <c r="F68" s="3233">
        <f ca="1">F40</f>
        <v>5.5E-2</v>
      </c>
      <c r="O68" s="3385" t="s">
        <v>2382</v>
      </c>
      <c r="P68" s="3456" t="s">
        <v>3164</v>
      </c>
      <c r="Q68" s="3365">
        <f ca="1">ROUND(Q69-Q70*Q71,0)</f>
        <v>-2938958</v>
      </c>
      <c r="R68" s="3365" t="s">
        <v>3165</v>
      </c>
    </row>
    <row r="69" spans="1:18" s="3204" customFormat="1" ht="13.5" thickBot="1">
      <c r="A69" s="3457"/>
      <c r="B69" s="3458"/>
      <c r="C69" s="3232"/>
      <c r="D69" s="3459" t="s">
        <v>3072</v>
      </c>
      <c r="E69" s="3425" t="s">
        <v>3073</v>
      </c>
      <c r="F69" s="3310">
        <f ca="1">F41</f>
        <v>0</v>
      </c>
      <c r="O69" s="3385" t="s">
        <v>2397</v>
      </c>
      <c r="P69" s="3456" t="s">
        <v>3166</v>
      </c>
      <c r="Q69" s="3365">
        <f ca="1">C39</f>
        <v>-2938958</v>
      </c>
      <c r="R69" s="3365" t="s">
        <v>3102</v>
      </c>
    </row>
    <row r="70" spans="1:18" s="3204" customFormat="1" ht="13.5" thickBot="1">
      <c r="A70" s="3460"/>
      <c r="B70" s="3461"/>
      <c r="C70" s="3257"/>
      <c r="D70" s="3448"/>
      <c r="E70" s="3425" t="s">
        <v>3077</v>
      </c>
      <c r="F70" s="3402">
        <f ca="1">F42</f>
        <v>0</v>
      </c>
      <c r="O70" s="3385" t="s">
        <v>2399</v>
      </c>
      <c r="P70" s="3456" t="s">
        <v>3167</v>
      </c>
      <c r="Q70" s="3365">
        <f ca="1">C13</f>
        <v>0</v>
      </c>
      <c r="R70" s="3365" t="s">
        <v>3102</v>
      </c>
    </row>
    <row r="71" spans="1:18" s="3204" customFormat="1" ht="13.5" thickBot="1">
      <c r="A71" s="3462" t="s">
        <v>3080</v>
      </c>
      <c r="B71" s="3463" t="s">
        <v>3088</v>
      </c>
      <c r="C71" s="3315">
        <f ca="1">ROUND(C68/F71,0)</f>
        <v>0</v>
      </c>
      <c r="D71" s="3464" t="s">
        <v>3089</v>
      </c>
      <c r="E71" s="3465" t="s">
        <v>3090</v>
      </c>
      <c r="F71" s="3318">
        <f ca="1">F43</f>
        <v>76060</v>
      </c>
      <c r="O71" s="3385" t="s">
        <v>2401</v>
      </c>
      <c r="P71" s="3456" t="s">
        <v>3168</v>
      </c>
      <c r="Q71" s="3394">
        <f ca="1">C76</f>
        <v>8.5000000000000006E-2</v>
      </c>
      <c r="R71" s="3365"/>
    </row>
    <row r="72" spans="1:18" s="3204" customFormat="1" ht="13.5" thickBot="1">
      <c r="B72" s="3466"/>
      <c r="C72" s="3466"/>
      <c r="O72" s="3385" t="s">
        <v>2384</v>
      </c>
      <c r="P72" s="3364" t="s">
        <v>3143</v>
      </c>
      <c r="Q72" s="3394">
        <f>L52</f>
        <v>0</v>
      </c>
      <c r="R72" s="3365"/>
    </row>
    <row r="73" spans="1:18" ht="16.5" thickBot="1">
      <c r="A73" s="3204"/>
      <c r="B73" s="3466"/>
      <c r="C73" s="3466"/>
      <c r="D73" s="3204"/>
      <c r="E73" s="3204"/>
      <c r="F73" s="3204"/>
      <c r="O73" s="3385" t="s">
        <v>2386</v>
      </c>
      <c r="P73" s="3364" t="s">
        <v>3146</v>
      </c>
      <c r="Q73" s="3365" t="e">
        <f ca="1">L58</f>
        <v>#DIV/0!</v>
      </c>
      <c r="R73" s="3365" t="s">
        <v>3147</v>
      </c>
    </row>
    <row r="74" spans="1:18" ht="13.5" thickBot="1">
      <c r="A74" s="3204"/>
      <c r="B74" s="3468" t="s">
        <v>3169</v>
      </c>
      <c r="C74" s="3469"/>
      <c r="D74" s="3204"/>
      <c r="E74" s="3204"/>
      <c r="F74" s="3204"/>
      <c r="O74" s="3385" t="s">
        <v>3170</v>
      </c>
      <c r="P74" s="3364" t="str">
        <f>K59</f>
        <v>建设期及建筑物耐用年限下的土地年期修正系数Kn</v>
      </c>
      <c r="Q74" s="3365" t="e">
        <f ca="1">L59</f>
        <v>#DIV/0!</v>
      </c>
      <c r="R74" s="3365" t="s">
        <v>3149</v>
      </c>
    </row>
    <row r="75" spans="1:18" ht="13.5" thickBot="1">
      <c r="A75" s="3204"/>
      <c r="B75" s="3470" t="s">
        <v>3171</v>
      </c>
      <c r="C75" s="3471">
        <f ca="1">ROUND(C13*C76,0)</f>
        <v>0</v>
      </c>
      <c r="D75" s="3204"/>
      <c r="E75" s="3204"/>
      <c r="F75" s="3204"/>
      <c r="K75" s="3339"/>
      <c r="L75" s="3204"/>
      <c r="O75" s="3363" t="s">
        <v>2389</v>
      </c>
      <c r="P75" s="3364" t="s">
        <v>3129</v>
      </c>
      <c r="Q75" s="3365" t="e">
        <f ca="1">Q65+Q66</f>
        <v>#DIV/0!</v>
      </c>
      <c r="R75" s="3365" t="s">
        <v>2390</v>
      </c>
    </row>
    <row r="76" spans="1:18">
      <c r="B76" s="3472" t="s">
        <v>3172</v>
      </c>
      <c r="C76" s="3473">
        <f ca="1">INDIRECT("'数据-取费表'!j"&amp;$G$1)</f>
        <v>8.5000000000000006E-2</v>
      </c>
      <c r="I76" s="3204"/>
      <c r="J76" s="3204"/>
      <c r="K76" s="3339"/>
      <c r="L76" s="3204"/>
    </row>
    <row r="77" spans="1:18">
      <c r="B77" s="3474" t="s">
        <v>3173</v>
      </c>
      <c r="C77" s="3475"/>
      <c r="I77" s="3204"/>
      <c r="J77" s="3204"/>
      <c r="K77" s="3339"/>
      <c r="L77" s="3204"/>
    </row>
    <row r="78" spans="1:18">
      <c r="B78" s="3476" t="s">
        <v>3174</v>
      </c>
      <c r="C78" s="3477"/>
    </row>
    <row r="79" spans="1:18">
      <c r="B79" s="3470" t="s">
        <v>3175</v>
      </c>
      <c r="C79" s="3478">
        <f ca="1">1-C80</f>
        <v>1</v>
      </c>
    </row>
    <row r="80" spans="1:18">
      <c r="B80" s="3470" t="s">
        <v>3176</v>
      </c>
      <c r="C80" s="3478">
        <f ca="1">ROUND(C75/C39,3)</f>
        <v>0</v>
      </c>
    </row>
    <row r="81" spans="2:3">
      <c r="B81" s="3476" t="s">
        <v>3177</v>
      </c>
      <c r="C81" s="3426"/>
    </row>
    <row r="82" spans="2:3">
      <c r="B82" s="3468" t="s">
        <v>3178</v>
      </c>
      <c r="C82" s="3479" t="e">
        <f ca="1">1-C83</f>
        <v>#DIV/0!</v>
      </c>
    </row>
    <row r="83" spans="2:3">
      <c r="B83" s="3468" t="s">
        <v>3179</v>
      </c>
      <c r="C83" s="3478"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13" priority="5">
      <formula>$L$48&gt;$J$51</formula>
    </cfRule>
  </conditionalFormatting>
  <conditionalFormatting sqref="I55 I60">
    <cfRule type="expression" dxfId="212" priority="4">
      <formula>$J$51&gt;$L$48</formula>
    </cfRule>
  </conditionalFormatting>
  <conditionalFormatting sqref="C11">
    <cfRule type="expression" dxfId="211" priority="3">
      <formula>$F$10="自定义"</formula>
    </cfRule>
  </conditionalFormatting>
  <conditionalFormatting sqref="J11">
    <cfRule type="expression" dxfId="210" priority="2">
      <formula>$M$10="自定义"</formula>
    </cfRule>
  </conditionalFormatting>
  <conditionalFormatting sqref="C54">
    <cfRule type="expression" dxfId="2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9" sqref="B29"/>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2545</v>
      </c>
      <c r="R1" s="2605" t="s">
        <v>2539</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2541</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547</v>
      </c>
      <c r="Q5" s="9" t="s">
        <v>97</v>
      </c>
      <c r="R5" s="1005" t="s">
        <v>2543</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40" t="s">
        <v>2946</v>
      </c>
      <c r="C18" s="1553"/>
    </row>
    <row r="19" spans="1:3">
      <c r="A19" s="8" t="s">
        <v>120</v>
      </c>
      <c r="B19" s="3140" t="s">
        <v>2954</v>
      </c>
      <c r="C19" s="1553"/>
    </row>
    <row r="20" spans="1:3">
      <c r="A20" s="8" t="s">
        <v>121</v>
      </c>
      <c r="B20" s="3140" t="s">
        <v>3196</v>
      </c>
      <c r="C20" s="1553"/>
    </row>
    <row r="21" spans="1:3">
      <c r="A21" s="8" t="s">
        <v>122</v>
      </c>
      <c r="B21" s="3140" t="s">
        <v>3736</v>
      </c>
      <c r="C21" s="1553"/>
    </row>
    <row r="22" spans="1:3">
      <c r="A22" s="8" t="s">
        <v>123</v>
      </c>
      <c r="B22" s="3140" t="s">
        <v>3774</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3140" t="s">
        <v>3188</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西安迪雅置业有限公司拟使用陕西省西安市未央区凤城一路以南、百寰国际项目用地以北、先锋南北二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575"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及地下车库，剩余土地使用年限为的出让国有建设用地使用权价格。</v>
      </c>
      <c r="D53" s="1766"/>
      <c r="E53" s="1766"/>
    </row>
    <row r="54" spans="1:5">
      <c r="A54" s="3575"/>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575"/>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575"/>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575"/>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SheetLayoutView="90" workbookViewId="0">
      <selection activeCell="H8" sqref="H8"/>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578" t="str">
        <f>IF(B10="北京市","北京市",C10)&amp;F10&amp;B16&amp;"国有建设用地使用权"&amp;B9&amp;"预评估"</f>
        <v>陕西省西安市未央区凤城一路以南、百寰国际项目用地以北、先锋南北二路以西出让国有建设用地使用权市场价格预评估</v>
      </c>
      <c r="C1" s="3579"/>
      <c r="D1" s="3579"/>
      <c r="E1" s="3579"/>
      <c r="F1" s="3579"/>
      <c r="G1" s="3579"/>
      <c r="H1" s="3579"/>
      <c r="I1" s="3580"/>
      <c r="J1" s="1691"/>
      <c r="K1" s="2477" t="str">
        <f>IF(B10="北京市","北京市",C10)&amp;F10&amp;B16&amp;"国有建设用地使用权"&amp;B9</f>
        <v>陕西省西安市未央区凤城一路以南、百寰国际项目用地以北、先锋南北二路以西出让国有建设用地使用权市场价格</v>
      </c>
      <c r="L1" s="1720"/>
      <c r="M1" s="1720"/>
      <c r="N1" s="1691"/>
      <c r="O1" s="1692"/>
      <c r="P1" s="1691"/>
      <c r="Q1" s="1691"/>
      <c r="R1" s="1691"/>
      <c r="S1" s="1691"/>
      <c r="T1" s="1691"/>
      <c r="U1" s="1691"/>
    </row>
    <row r="2" spans="1:21">
      <c r="A2" s="1658" t="s">
        <v>1941</v>
      </c>
      <c r="B2" s="1839"/>
      <c r="D2" s="1691"/>
      <c r="E2" s="1691"/>
      <c r="F2" s="1691"/>
      <c r="G2" s="1691"/>
      <c r="H2" s="1658"/>
      <c r="I2" s="1692"/>
      <c r="J2" s="1691"/>
      <c r="K2" s="2477" t="str">
        <f>IF(B10="北京市","北京市",C10)&amp;F10&amp;B16&amp;"国有建设用地使用权"</f>
        <v>陕西省西安市未央区凤城一路以南、百寰国际项目用地以北、先锋南北二路以西出让国有建设用地使用权</v>
      </c>
      <c r="L2" s="1720"/>
      <c r="M2" s="1720"/>
      <c r="N2" s="1691"/>
      <c r="O2" s="1692"/>
      <c r="P2" s="1691"/>
      <c r="Q2" s="1691"/>
      <c r="R2" s="1691"/>
      <c r="S2" s="1691"/>
      <c r="T2" s="1691"/>
      <c r="U2" s="1691"/>
    </row>
    <row r="3" spans="1:21">
      <c r="A3" s="1659" t="s">
        <v>1942</v>
      </c>
      <c r="B3" s="1660">
        <v>43159</v>
      </c>
      <c r="C3" s="1661" t="s">
        <v>1996</v>
      </c>
      <c r="D3" s="1660">
        <v>43159</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3180</v>
      </c>
      <c r="C4" s="1843">
        <f ca="1">SUMIF(土地估价师,B4,估价师及机构信息!E3:E24)</f>
        <v>2002110030</v>
      </c>
      <c r="D4" s="1840" t="s">
        <v>3181</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77" t="str">
        <f>IF(AND(F4="——",H4="——"),B4&amp;"、"&amp;D4,IF(AND(F4&lt;&gt;"——",H4="——"),B4&amp;"、"&amp;D4&amp;"、"&amp;F4,B4&amp;"、"&amp;D4&amp;"、"&amp;F4&amp;"、"&amp;H4))</f>
        <v>王鹏、郑燚</v>
      </c>
      <c r="L4" s="1720"/>
      <c r="M4" s="1720"/>
      <c r="N4" s="1691"/>
      <c r="O4" s="1692"/>
      <c r="P4" s="1691"/>
      <c r="Q4" s="1691"/>
      <c r="R4" s="1691"/>
      <c r="S4" s="1691"/>
      <c r="T4" s="1691"/>
      <c r="U4" s="1691"/>
    </row>
    <row r="5" spans="1:21" ht="15" thickTop="1">
      <c r="A5" s="1663" t="s">
        <v>1944</v>
      </c>
      <c r="B5" s="1786" t="str">
        <f>B6</f>
        <v>五矿国际信托有限公司</v>
      </c>
      <c r="C5" s="1664"/>
      <c r="D5" s="1665"/>
      <c r="E5" s="1691"/>
      <c r="F5" s="1691"/>
      <c r="G5" s="1691"/>
      <c r="H5" s="1658"/>
      <c r="I5" s="1692"/>
      <c r="J5" s="1691"/>
      <c r="K5" s="1771"/>
      <c r="L5" s="1720"/>
      <c r="M5" s="1720"/>
      <c r="N5" s="1691"/>
      <c r="O5" s="1692"/>
      <c r="P5" s="1691"/>
      <c r="Q5" s="1691"/>
      <c r="R5" s="1691"/>
      <c r="S5" s="1691"/>
      <c r="T5" s="1691"/>
      <c r="U5" s="1691"/>
    </row>
    <row r="6" spans="1:21" ht="26.25">
      <c r="A6" s="1661" t="s">
        <v>2705</v>
      </c>
      <c r="B6" s="1786" t="s">
        <v>3777</v>
      </c>
      <c r="C6" s="1758"/>
      <c r="D6" s="1666"/>
      <c r="E6" s="1691"/>
      <c r="F6" s="1691"/>
      <c r="G6" s="1691"/>
      <c r="H6" s="1658"/>
      <c r="I6" s="1692"/>
      <c r="J6" s="1691"/>
      <c r="K6" s="3079" t="str">
        <f>IF(COUNTIF(B6,"*上海银行*"),"上海银行","")</f>
        <v/>
      </c>
      <c r="L6" s="1720"/>
      <c r="M6" s="1720"/>
      <c r="N6" s="1691"/>
      <c r="O6" s="1692"/>
      <c r="P6" s="1691"/>
      <c r="Q6" s="1691"/>
      <c r="R6" s="1691"/>
      <c r="S6" s="1691"/>
      <c r="T6" s="1691"/>
      <c r="U6" s="1691"/>
    </row>
    <row r="7" spans="1:21">
      <c r="A7" s="1667" t="s">
        <v>2706</v>
      </c>
      <c r="B7" s="1786" t="s">
        <v>3717</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3182</v>
      </c>
      <c r="C8" s="1669"/>
      <c r="D8" s="3584" t="s">
        <v>1947</v>
      </c>
      <c r="E8" s="1841" t="s">
        <v>3801</v>
      </c>
      <c r="F8" s="1670"/>
      <c r="G8" s="1658"/>
      <c r="H8" s="1658"/>
      <c r="I8" s="1704"/>
      <c r="J8" s="1691"/>
      <c r="K8" s="1771"/>
      <c r="L8" s="1720"/>
      <c r="M8" s="1720"/>
      <c r="N8" s="1691"/>
      <c r="O8" s="1692"/>
      <c r="P8" s="1691"/>
      <c r="Q8" s="1691"/>
      <c r="R8" s="1691"/>
      <c r="S8" s="1691"/>
      <c r="T8" s="1691"/>
      <c r="U8" s="1691"/>
    </row>
    <row r="9" spans="1:21" ht="15" thickBot="1">
      <c r="A9" s="1671" t="s">
        <v>1946</v>
      </c>
      <c r="B9" s="1672" t="s">
        <v>3715</v>
      </c>
      <c r="C9" s="1673"/>
      <c r="D9" s="3585"/>
      <c r="E9" s="1672"/>
      <c r="F9" s="1744"/>
      <c r="G9" s="1739"/>
      <c r="H9" s="1739"/>
      <c r="I9" s="1740"/>
      <c r="J9" s="1691"/>
      <c r="K9" s="1771"/>
      <c r="L9" s="1720"/>
      <c r="M9" s="1720"/>
      <c r="N9" s="1691"/>
      <c r="O9" s="1692"/>
      <c r="P9" s="1691"/>
      <c r="Q9" s="1691"/>
      <c r="R9" s="1691"/>
      <c r="S9" s="1691"/>
      <c r="T9" s="1691"/>
      <c r="U9" s="1691"/>
    </row>
    <row r="10" spans="1:21" ht="15" thickTop="1">
      <c r="A10" s="1741" t="s">
        <v>1999</v>
      </c>
      <c r="B10" s="1716" t="s">
        <v>3183</v>
      </c>
      <c r="C10" s="1674" t="s">
        <v>3776</v>
      </c>
      <c r="D10" s="1665"/>
      <c r="E10" s="1675" t="s">
        <v>1949</v>
      </c>
      <c r="F10" s="1676" t="s">
        <v>3716</v>
      </c>
      <c r="G10" s="1742"/>
      <c r="H10" s="1743"/>
      <c r="I10" s="1665"/>
      <c r="J10" s="1691"/>
      <c r="K10" s="1771"/>
      <c r="L10" s="1720"/>
      <c r="M10" s="1720"/>
      <c r="N10" s="1691"/>
      <c r="O10" s="1692"/>
      <c r="P10" s="1691"/>
      <c r="Q10" s="1691"/>
      <c r="R10" s="1691"/>
      <c r="S10" s="1691"/>
      <c r="T10" s="1691"/>
      <c r="U10" s="1691"/>
    </row>
    <row r="11" spans="1:21">
      <c r="A11" s="1694" t="s">
        <v>2000</v>
      </c>
      <c r="B11" s="1695" t="s">
        <v>3184</v>
      </c>
      <c r="C11" s="3511" t="str">
        <f>B7</f>
        <v>西安迪雅置业有限公司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581" t="s">
        <v>3720</v>
      </c>
      <c r="C12" s="3582"/>
      <c r="D12" s="3583"/>
      <c r="E12" s="1696" t="s">
        <v>2061</v>
      </c>
      <c r="F12" s="3599" t="s">
        <v>3719</v>
      </c>
      <c r="G12" s="3600"/>
      <c r="H12" s="3600"/>
      <c r="I12" s="3601"/>
      <c r="J12" s="1691"/>
      <c r="K12" s="1771"/>
      <c r="L12" s="1720"/>
      <c r="M12" s="1720"/>
      <c r="N12" s="1691"/>
      <c r="O12" s="1692"/>
      <c r="P12" s="1691"/>
      <c r="Q12" s="1691"/>
      <c r="R12" s="1691"/>
      <c r="S12" s="1691"/>
      <c r="T12" s="1691"/>
      <c r="U12" s="1691"/>
    </row>
    <row r="13" spans="1:21">
      <c r="A13" s="1684" t="s">
        <v>2059</v>
      </c>
      <c r="B13" s="3581" t="s">
        <v>3718</v>
      </c>
      <c r="C13" s="3582"/>
      <c r="D13" s="3583"/>
      <c r="E13" s="1696" t="s">
        <v>2061</v>
      </c>
      <c r="F13" s="3599" t="s">
        <v>3719</v>
      </c>
      <c r="G13" s="3600"/>
      <c r="H13" s="3600"/>
      <c r="I13" s="3601"/>
      <c r="J13" s="1691"/>
      <c r="K13" s="1771"/>
      <c r="L13" s="1720"/>
      <c r="M13" s="1720"/>
      <c r="N13" s="1691"/>
      <c r="O13" s="1692"/>
      <c r="P13" s="1691"/>
      <c r="Q13" s="1691"/>
      <c r="R13" s="1691"/>
      <c r="S13" s="1691"/>
      <c r="T13" s="1691"/>
      <c r="U13" s="1691"/>
    </row>
    <row r="14" spans="1:21">
      <c r="A14" s="1659" t="s">
        <v>2062</v>
      </c>
      <c r="B14" s="1696"/>
      <c r="C14" s="1842" t="s">
        <v>3721</v>
      </c>
      <c r="D14" s="1730" t="str">
        <f>IF(C14="不一致","是否符合证载地类范围","")</f>
        <v/>
      </c>
      <c r="E14" s="1696"/>
      <c r="F14" s="1787" t="s">
        <v>3722</v>
      </c>
      <c r="G14" s="1725"/>
      <c r="H14" s="1725"/>
      <c r="I14" s="1834"/>
      <c r="J14" s="1691"/>
      <c r="K14" s="1771"/>
      <c r="L14" s="1720"/>
      <c r="M14" s="1720"/>
      <c r="N14" s="1691"/>
      <c r="O14" s="1692"/>
      <c r="P14" s="1691"/>
      <c r="Q14" s="1691"/>
      <c r="R14" s="1691"/>
      <c r="S14" s="1691"/>
      <c r="T14" s="1691"/>
      <c r="U14" s="1691"/>
    </row>
    <row r="15" spans="1:21" hidden="1">
      <c r="A15" s="2668"/>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3670</v>
      </c>
      <c r="C16" s="1696" t="s">
        <v>1951</v>
      </c>
      <c r="D16" s="2669" t="s">
        <v>1952</v>
      </c>
      <c r="E16" s="1719" t="s">
        <v>3187</v>
      </c>
      <c r="F16" s="1719"/>
      <c r="G16" s="1719" t="s">
        <v>35</v>
      </c>
      <c r="H16" s="1719"/>
      <c r="I16" s="1683" t="s">
        <v>1957</v>
      </c>
      <c r="J16" s="1691"/>
      <c r="K16" s="2478" t="str">
        <f>IF(D17="","",D16&amp;TEXT(D17,"yyyy年m月d日;;"))</f>
        <v>住宅2082年7月31日</v>
      </c>
      <c r="L16" s="1696" t="str">
        <f>IF(OR(K16="",M16=""),"","、")</f>
        <v>、</v>
      </c>
      <c r="M16" s="2478" t="str">
        <f>IF(E17="","",E16&amp;TEXT(E17,"yyyy年m月d日;;"))</f>
        <v>商业2052年7月31日</v>
      </c>
      <c r="N16" s="1696" t="str">
        <f>IF(OR(M16="",O16=""),"","、")</f>
        <v/>
      </c>
      <c r="O16" s="2478" t="str">
        <f>IF(F17="","",F16&amp;TEXT(F17,"yyyy年m月d日;;"))</f>
        <v/>
      </c>
      <c r="P16" s="1696" t="str">
        <f>IF(OR(O16="",Q16=""),"","、")</f>
        <v/>
      </c>
      <c r="Q16" s="2478" t="str">
        <f>IF(G17="","",G16&amp;TEXT(G17,"yyyy年m月d日;;"))</f>
        <v>地下车库2062年7月31日</v>
      </c>
      <c r="R16" s="1696" t="str">
        <f>IF(OR(Q16="",S16=""),"","、")</f>
        <v/>
      </c>
      <c r="S16" s="2478" t="str">
        <f>IF(H17="","",H16&amp;TEXT(H17,"yyyy年m月d日;;"))</f>
        <v/>
      </c>
      <c r="T16" s="1696" t="str">
        <f>IF(OR(S16="",U16=""),"","、")</f>
        <v/>
      </c>
      <c r="U16" s="2478" t="str">
        <f>IF(I17="","",I16&amp;TEXT(I17,"yyyy年m月d日;;"))</f>
        <v/>
      </c>
    </row>
    <row r="17" spans="1:21">
      <c r="A17" s="1760"/>
      <c r="B17" s="1679"/>
      <c r="C17" s="1680" t="s">
        <v>1958</v>
      </c>
      <c r="D17" s="1697">
        <v>66688</v>
      </c>
      <c r="E17" s="1697">
        <v>55731</v>
      </c>
      <c r="F17" s="1697"/>
      <c r="G17" s="1697">
        <v>59383</v>
      </c>
      <c r="H17" s="1697"/>
      <c r="I17" s="1697"/>
      <c r="J17" s="1691"/>
      <c r="K17" s="2477" t="str">
        <f>CONCATENATE(K16,L16,M16,N16,O16,P16,Q16,R16,S16,T16,,U16)</f>
        <v>住宅2082年7月31日、商业2052年7月31日地下车库2062年7月31日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64.459999999999994</v>
      </c>
      <c r="E19" s="1682">
        <f>IF(B16="出让",IF(E17="","",ROUNDDOWN(MIN((E17-$D$3)/365,E18),2)),E18)</f>
        <v>34.44</v>
      </c>
      <c r="F19" s="1682" t="str">
        <f>IF(B16="出让",IF(F17="","",ROUNDDOWN(MIN((F17-$D$3)/365,F18),2)),F18)</f>
        <v/>
      </c>
      <c r="G19" s="1682">
        <f>IF(B16="出让",IF(G17="","",ROUNDDOWN(MIN((G17-$D$3)/365,G18),2)),G18)</f>
        <v>44.44</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596"/>
      <c r="E20" s="3597"/>
      <c r="F20" s="3597"/>
      <c r="G20" s="3597"/>
      <c r="H20" s="3597"/>
      <c r="I20" s="3598"/>
      <c r="J20" s="1691"/>
      <c r="K20" s="1771"/>
      <c r="L20" s="1720"/>
      <c r="M20" s="1720"/>
      <c r="N20" s="1691"/>
      <c r="O20" s="1692"/>
      <c r="P20" s="1691"/>
      <c r="Q20" s="1691"/>
      <c r="R20" s="1691"/>
      <c r="S20" s="1691"/>
      <c r="T20" s="1691"/>
      <c r="U20" s="1691"/>
    </row>
    <row r="21" spans="1:21">
      <c r="A21" s="1760" t="s">
        <v>1961</v>
      </c>
      <c r="B21" s="1761" t="s">
        <v>1962</v>
      </c>
      <c r="C21" s="1756">
        <f>'数据-汇总表'!E3</f>
        <v>113800</v>
      </c>
      <c r="D21" s="1757" t="s">
        <v>1963</v>
      </c>
      <c r="E21" s="3586" t="s">
        <v>3778</v>
      </c>
      <c r="F21" s="3587"/>
      <c r="G21" s="3587"/>
      <c r="H21" s="3587"/>
      <c r="I21" s="3588"/>
      <c r="J21" s="1691"/>
      <c r="K21" s="1771"/>
      <c r="L21" s="1720"/>
      <c r="M21" s="1720"/>
      <c r="N21" s="1691"/>
      <c r="O21" s="1692"/>
      <c r="P21" s="1691"/>
      <c r="Q21" s="1691"/>
      <c r="R21" s="1691"/>
      <c r="S21" s="1691"/>
      <c r="T21" s="1691"/>
      <c r="U21" s="1691"/>
    </row>
    <row r="22" spans="1:21">
      <c r="A22" s="2660" t="s">
        <v>952</v>
      </c>
      <c r="B22" s="1659" t="s">
        <v>1964</v>
      </c>
      <c r="C22" s="1683">
        <f>'数据-汇总表'!D3</f>
        <v>28172.14</v>
      </c>
      <c r="D22" s="1684" t="s">
        <v>1963</v>
      </c>
      <c r="E22" s="3586" t="s">
        <v>3738</v>
      </c>
      <c r="F22" s="3587"/>
      <c r="G22" s="3587"/>
      <c r="H22" s="3587"/>
      <c r="I22" s="3588"/>
      <c r="J22" s="1691"/>
      <c r="K22" s="1771"/>
      <c r="L22" s="1720"/>
      <c r="M22" s="1720"/>
      <c r="N22" s="1691"/>
      <c r="O22" s="1692"/>
      <c r="P22" s="1691"/>
      <c r="Q22" s="1691"/>
      <c r="R22" s="1691"/>
      <c r="S22" s="1691"/>
      <c r="T22" s="1691"/>
      <c r="U22" s="1691"/>
    </row>
    <row r="23" spans="1:21" ht="43.5"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589" t="s">
        <v>1969</v>
      </c>
      <c r="C24" s="3590"/>
      <c r="D24" s="3591" t="s">
        <v>1970</v>
      </c>
      <c r="E24" s="3592"/>
      <c r="F24" s="1705" t="s">
        <v>1971</v>
      </c>
      <c r="G24" s="1691"/>
      <c r="H24" s="1691"/>
      <c r="I24" s="1704"/>
      <c r="J24" s="1691"/>
      <c r="K24" s="3577" t="s">
        <v>1972</v>
      </c>
      <c r="L24" s="2479" t="str">
        <f>"根据估价对象"&amp;IF(B26="——",B25&amp;C25,B25&amp;C25&amp;"、"&amp;B26&amp;C26)&amp;"，"&amp;IF(C23="是","截至估价期日，估价对象已设定抵押。","截至估价期日，估价对象抵押权未见登记。")</f>
        <v>根据估价对象————，截至估价期日，估价对象抵押权未见登记。</v>
      </c>
      <c r="M24" s="1720"/>
      <c r="N24" s="1691"/>
      <c r="O24" s="1692"/>
      <c r="P24" s="1691"/>
      <c r="Q24" s="1691"/>
      <c r="R24" s="1691"/>
      <c r="S24" s="1691"/>
      <c r="T24" s="1691"/>
      <c r="U24" s="1691"/>
    </row>
    <row r="25" spans="1:21">
      <c r="A25" s="1748"/>
      <c r="B25" s="1745" t="s">
        <v>952</v>
      </c>
      <c r="C25" s="1706" t="s">
        <v>952</v>
      </c>
      <c r="D25" s="1707"/>
      <c r="E25" s="1708" t="s">
        <v>952</v>
      </c>
      <c r="F25" s="1709"/>
      <c r="G25" s="1691"/>
      <c r="H25" s="1691"/>
      <c r="I25" s="1704"/>
      <c r="J25" s="1691"/>
      <c r="K25" s="3577"/>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15" thickBot="1">
      <c r="A26" s="1749"/>
      <c r="B26" s="1746" t="s">
        <v>952</v>
      </c>
      <c r="C26" s="1706" t="s">
        <v>952</v>
      </c>
      <c r="D26" s="1658"/>
      <c r="E26" s="1658"/>
      <c r="F26" s="1685"/>
      <c r="G26" s="1691"/>
      <c r="H26" s="1691"/>
      <c r="I26" s="1704"/>
      <c r="J26" s="1691"/>
      <c r="K26" s="3577"/>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74"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75"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75"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76" t="s">
        <v>1977</v>
      </c>
      <c r="E30" s="1715"/>
      <c r="F30" s="1686"/>
      <c r="G30" s="1739"/>
      <c r="H30" s="1739"/>
      <c r="I30" s="1740"/>
      <c r="J30" s="1691"/>
      <c r="K30" s="1771"/>
      <c r="L30" s="1720"/>
      <c r="M30" s="1720"/>
      <c r="N30" s="1691"/>
      <c r="O30" s="1692"/>
      <c r="P30" s="1691"/>
      <c r="Q30" s="1691"/>
      <c r="R30" s="1691"/>
      <c r="S30" s="1691"/>
      <c r="T30" s="1691"/>
      <c r="U30" s="1691"/>
    </row>
    <row r="31" spans="1:21" ht="15" thickTop="1">
      <c r="A31" s="3604" t="s">
        <v>2001</v>
      </c>
      <c r="B31" s="1761" t="s">
        <v>2002</v>
      </c>
      <c r="C31" s="3602" t="s">
        <v>3723</v>
      </c>
      <c r="D31" s="3603"/>
      <c r="E31" s="1691"/>
      <c r="F31" s="1691"/>
      <c r="G31" s="1691"/>
      <c r="H31" s="1691"/>
      <c r="I31" s="1704"/>
      <c r="J31" s="1691"/>
      <c r="K31" s="2480"/>
      <c r="L31" s="1691"/>
      <c r="M31" s="1691"/>
      <c r="N31" s="1691"/>
      <c r="O31" s="1691"/>
      <c r="P31" s="1691"/>
      <c r="Q31" s="1691"/>
      <c r="R31" s="1691"/>
      <c r="S31" s="1691"/>
      <c r="T31" s="1691"/>
      <c r="U31" s="1691"/>
    </row>
    <row r="32" spans="1:21">
      <c r="A32" s="3604"/>
      <c r="B32" s="1659" t="s">
        <v>2003</v>
      </c>
      <c r="C32" s="1716"/>
      <c r="D32" s="1717"/>
      <c r="E32" s="1691"/>
      <c r="F32" s="1691"/>
      <c r="G32" s="1691"/>
      <c r="H32" s="1691"/>
      <c r="I32" s="1704"/>
      <c r="J32" s="1691"/>
      <c r="K32" s="2480"/>
      <c r="L32" s="1691"/>
      <c r="M32" s="1691"/>
      <c r="N32" s="1691"/>
      <c r="O32" s="1691"/>
      <c r="P32" s="1691"/>
      <c r="Q32" s="1691"/>
      <c r="R32" s="1691"/>
      <c r="S32" s="1691"/>
      <c r="T32" s="1691"/>
      <c r="U32" s="1691"/>
    </row>
    <row r="33" spans="1:21">
      <c r="A33" s="3604"/>
      <c r="B33" s="1659" t="s">
        <v>2004</v>
      </c>
      <c r="C33" s="1718" t="s">
        <v>3724</v>
      </c>
      <c r="D33" s="1835"/>
      <c r="E33" s="1691"/>
      <c r="F33" s="1691"/>
      <c r="G33" s="1691"/>
      <c r="H33" s="1691"/>
      <c r="I33" s="1704"/>
      <c r="J33" s="1691"/>
      <c r="K33" s="2480"/>
      <c r="L33" s="1691"/>
      <c r="M33" s="1691"/>
      <c r="N33" s="1691"/>
      <c r="O33" s="1691"/>
      <c r="P33" s="1691"/>
      <c r="Q33" s="1691"/>
      <c r="R33" s="1691"/>
      <c r="S33" s="1691"/>
      <c r="T33" s="1691"/>
      <c r="U33" s="1691"/>
    </row>
    <row r="34" spans="1:21">
      <c r="A34" s="3605"/>
      <c r="B34" s="1659" t="s">
        <v>2005</v>
      </c>
      <c r="C34" s="3606" t="s">
        <v>3725</v>
      </c>
      <c r="D34" s="3607"/>
      <c r="E34" s="1691"/>
      <c r="F34" s="1691"/>
      <c r="G34" s="1691"/>
      <c r="H34" s="1691"/>
      <c r="I34" s="1704"/>
      <c r="J34" s="1691"/>
      <c r="K34" s="2480"/>
      <c r="L34" s="1691"/>
      <c r="M34" s="1691"/>
      <c r="N34" s="1691"/>
      <c r="O34" s="1691"/>
      <c r="P34" s="1691"/>
      <c r="Q34" s="1691"/>
      <c r="R34" s="1691"/>
      <c r="S34" s="1691"/>
      <c r="T34" s="1691"/>
      <c r="U34" s="1691"/>
    </row>
    <row r="35" spans="1:21">
      <c r="A35" s="3608" t="s">
        <v>847</v>
      </c>
      <c r="B35" s="1719" t="s">
        <v>3726</v>
      </c>
      <c r="C35" s="1773" t="str">
        <f>IF(B35="场地平整","——","具体情况：")</f>
        <v>——</v>
      </c>
      <c r="D35" s="3610"/>
      <c r="E35" s="3611"/>
      <c r="F35" s="3611"/>
      <c r="G35" s="3611"/>
      <c r="H35" s="3611"/>
      <c r="I35" s="3612"/>
      <c r="J35" s="1691"/>
      <c r="K35" s="1772"/>
      <c r="L35" s="1720"/>
      <c r="M35" s="1720"/>
      <c r="N35" s="1691"/>
      <c r="O35" s="1692"/>
      <c r="P35" s="1691"/>
      <c r="Q35" s="1691"/>
      <c r="R35" s="1691"/>
      <c r="S35" s="1691"/>
      <c r="T35" s="1691"/>
      <c r="U35" s="1691"/>
    </row>
    <row r="36" spans="1:21">
      <c r="A36" s="3604"/>
      <c r="B36" s="3613" t="s">
        <v>2054</v>
      </c>
      <c r="C36" s="3614"/>
      <c r="D36" s="1789" t="s">
        <v>3727</v>
      </c>
      <c r="E36" s="3615"/>
      <c r="F36" s="3615"/>
      <c r="G36" s="1684" t="str">
        <f>IF(B35="场地未平整","估价结果处理","")</f>
        <v/>
      </c>
      <c r="H36" s="3616"/>
      <c r="I36" s="3616"/>
      <c r="J36" s="1691"/>
      <c r="K36" s="1772"/>
      <c r="L36" s="1720"/>
      <c r="M36" s="1720"/>
      <c r="N36" s="1691"/>
      <c r="O36" s="1692"/>
      <c r="P36" s="1691"/>
      <c r="Q36" s="1691"/>
      <c r="R36" s="1691"/>
      <c r="S36" s="1691"/>
      <c r="T36" s="1691"/>
      <c r="U36" s="1691"/>
    </row>
    <row r="37" spans="1:21" ht="28.5">
      <c r="A37" s="3604"/>
      <c r="B37" s="3593"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604"/>
      <c r="B38" s="3594"/>
      <c r="C38" s="1667" t="s">
        <v>850</v>
      </c>
      <c r="D38" s="1788">
        <f>ROUNDDOWN(MIN(('数据-取费表'!$B$2-D37)/365,D34),1)</f>
        <v>118.2</v>
      </c>
      <c r="E38" s="1724" t="s">
        <v>851</v>
      </c>
      <c r="F38" s="1691"/>
      <c r="G38" s="1691"/>
      <c r="H38" s="1691"/>
      <c r="I38" s="1704"/>
      <c r="J38" s="1691"/>
      <c r="K38" s="1772"/>
      <c r="L38" s="1691"/>
      <c r="M38" s="1691"/>
      <c r="N38" s="1691"/>
      <c r="O38" s="1691"/>
      <c r="P38" s="1691"/>
      <c r="Q38" s="1691"/>
      <c r="R38" s="1691"/>
      <c r="S38" s="1691"/>
      <c r="T38" s="1691"/>
      <c r="U38" s="1691"/>
    </row>
    <row r="39" spans="1:21">
      <c r="A39" s="3605"/>
      <c r="B39" s="359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3728</v>
      </c>
      <c r="C40" s="1687" t="s">
        <v>3729</v>
      </c>
      <c r="D40" s="1687" t="s">
        <v>3730</v>
      </c>
      <c r="E40" s="1687" t="s">
        <v>3731</v>
      </c>
      <c r="F40" s="1687" t="s">
        <v>3732</v>
      </c>
      <c r="G40" s="1687" t="s">
        <v>3733</v>
      </c>
      <c r="H40" s="1687" t="s">
        <v>3734</v>
      </c>
      <c r="I40" s="1704"/>
      <c r="J40" s="1691"/>
      <c r="K40" s="1727">
        <f>COUNTIF(B40:H40,"——")</f>
        <v>0</v>
      </c>
      <c r="L40" s="1696" t="s">
        <v>1979</v>
      </c>
      <c r="M40" s="1693" t="s">
        <v>1980</v>
      </c>
      <c r="N40" s="1693" t="s">
        <v>1981</v>
      </c>
      <c r="O40" s="1693" t="s">
        <v>1982</v>
      </c>
      <c r="P40" s="1693" t="s">
        <v>1983</v>
      </c>
      <c r="Q40" s="1693" t="s">
        <v>1984</v>
      </c>
      <c r="R40" s="1693" t="s">
        <v>1985</v>
      </c>
      <c r="S40" s="3576" t="s">
        <v>1986</v>
      </c>
      <c r="T40" s="1728" t="str">
        <f>NUMBERSTRING(7-K40,1)&amp;"通"</f>
        <v>七通</v>
      </c>
      <c r="U40" s="1691"/>
    </row>
    <row r="41" spans="1:21" ht="28.5">
      <c r="A41" s="1661"/>
      <c r="B41" s="3609" t="s">
        <v>1722</v>
      </c>
      <c r="C41" s="3609"/>
      <c r="D41" s="3609"/>
      <c r="E41" s="3609"/>
      <c r="F41" s="1729" t="str">
        <f>C10</f>
        <v>陕西省西安市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通路、通电、通讯、通上水、通下水、通热</v>
      </c>
      <c r="R41" s="1731" t="str">
        <f>B40&amp;"、"&amp;C40&amp;"、"&amp;D40&amp;"、"&amp;E40&amp;"、"&amp;F40&amp;"、"&amp;G40&amp;"、"&amp;H40</f>
        <v>通路、通电、通讯、通上水、通下水、通热、燃气</v>
      </c>
      <c r="S41" s="3576"/>
      <c r="T41" s="1730" t="str">
        <f>IF(T40="一通",L41,IF(T40="二通",M41,IF(T40="三通",N41,IF(T40="四通",O41,IF(T40="五通",P41,IF(T40="六通",Q41,R41))))))</f>
        <v>通路、通电、通讯、通上水、通下水、通热、燃气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6" customFormat="1" ht="21" thickBot="1">
      <c r="A45" s="3097" t="s">
        <v>2888</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H17" sqref="H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2331</v>
      </c>
      <c r="BA2" s="2359"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28172.14</v>
      </c>
      <c r="B3" s="22">
        <f>IF(C3="否",G5-AT5,G5)</f>
        <v>113800</v>
      </c>
      <c r="C3" s="23" t="s">
        <v>3185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113800</v>
      </c>
      <c r="H5" s="27">
        <f t="shared" ref="H5:AT5" si="0">SUM(H13:H641)</f>
        <v>82826</v>
      </c>
      <c r="I5" s="27">
        <f t="shared" si="0"/>
        <v>76060</v>
      </c>
      <c r="J5" s="27">
        <f t="shared" si="0"/>
        <v>0</v>
      </c>
      <c r="K5" s="27">
        <f t="shared" si="0"/>
        <v>6766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30974</v>
      </c>
      <c r="AD5" s="27">
        <f t="shared" si="0"/>
        <v>1490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29484</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113800</v>
      </c>
      <c r="BA5" s="29">
        <f t="shared" si="1"/>
        <v>82826</v>
      </c>
      <c r="BB5" s="29">
        <f t="shared" si="1"/>
        <v>76060</v>
      </c>
      <c r="BC5" s="29">
        <f t="shared" si="1"/>
        <v>6766</v>
      </c>
      <c r="BD5" s="29">
        <f t="shared" si="1"/>
        <v>0</v>
      </c>
      <c r="BE5" s="29">
        <f t="shared" si="1"/>
        <v>0</v>
      </c>
      <c r="BF5" s="29">
        <f t="shared" si="1"/>
        <v>0</v>
      </c>
      <c r="BG5" s="29">
        <f t="shared" si="1"/>
        <v>0</v>
      </c>
      <c r="BH5" s="29">
        <f t="shared" si="1"/>
        <v>0</v>
      </c>
      <c r="BI5" s="29">
        <f t="shared" si="1"/>
        <v>0</v>
      </c>
      <c r="BJ5" s="29">
        <f t="shared" si="1"/>
        <v>0</v>
      </c>
      <c r="BK5" s="29">
        <f t="shared" si="1"/>
        <v>0</v>
      </c>
      <c r="BL5" s="29">
        <f t="shared" si="1"/>
        <v>30974</v>
      </c>
      <c r="BM5" s="29">
        <f t="shared" si="1"/>
        <v>1490</v>
      </c>
      <c r="BN5" s="29">
        <f t="shared" si="1"/>
        <v>0</v>
      </c>
      <c r="BO5" s="29">
        <f t="shared" si="1"/>
        <v>0</v>
      </c>
      <c r="BP5" s="29">
        <f t="shared" si="1"/>
        <v>0</v>
      </c>
      <c r="BQ5" s="29">
        <f t="shared" si="1"/>
        <v>0</v>
      </c>
      <c r="BR5" s="29">
        <f t="shared" si="1"/>
        <v>29484</v>
      </c>
      <c r="BS5" s="29">
        <f t="shared" si="1"/>
        <v>0</v>
      </c>
      <c r="BT5" s="30">
        <f t="shared" si="1"/>
        <v>0</v>
      </c>
    </row>
    <row r="6" spans="1:72" s="37" customFormat="1" ht="12.75">
      <c r="A6" s="26" t="s">
        <v>169</v>
      </c>
      <c r="B6" s="31"/>
      <c r="C6" s="31"/>
      <c r="D6" s="32"/>
      <c r="E6" s="27">
        <f>H6+AC6+AT6</f>
        <v>28172.14</v>
      </c>
      <c r="F6" s="27" t="s">
        <v>1</v>
      </c>
      <c r="G6" s="27" t="s">
        <v>2</v>
      </c>
      <c r="H6" s="33">
        <f>SUMIF(I$12:AB$12,"总值",I6:AB6)</f>
        <v>20504.27</v>
      </c>
      <c r="I6" s="27">
        <f t="shared" ref="I6:AB6" si="2">ROUND($A$3*I5/$B$3,2)</f>
        <v>18829.29</v>
      </c>
      <c r="J6" s="27">
        <f t="shared" si="2"/>
        <v>0</v>
      </c>
      <c r="K6" s="27">
        <f t="shared" si="2"/>
        <v>1674.98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7667.87</v>
      </c>
      <c r="AD6" s="27">
        <f t="shared" ref="AD6:AS6" si="3">ROUND($A$3*AD5/$B$3,2)</f>
        <v>368.86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7299.01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28172.14</v>
      </c>
      <c r="AZ6" s="27" t="s">
        <v>3</v>
      </c>
      <c r="BA6" s="27">
        <f>ROUND($AY$6*BA5/$AZ$5,2)</f>
        <v>20504.27</v>
      </c>
      <c r="BB6" s="27">
        <f>ROUND($AY$6*BB5/$AZ$5,2)</f>
        <v>18829.29</v>
      </c>
      <c r="BC6" s="27">
        <f t="shared" ref="BC6:BH6" si="4">ROUND($AY$6*BC5/$AZ$5,2)</f>
        <v>1674.98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7667.87</v>
      </c>
      <c r="BM6" s="27">
        <f t="shared" si="5"/>
        <v>368.86</v>
      </c>
      <c r="BN6" s="27">
        <f t="shared" si="5"/>
        <v>0</v>
      </c>
      <c r="BO6" s="27">
        <f t="shared" si="5"/>
        <v>0</v>
      </c>
      <c r="BP6" s="27">
        <f t="shared" si="5"/>
        <v>0</v>
      </c>
      <c r="BQ6" s="27">
        <f t="shared" si="5"/>
        <v>0</v>
      </c>
      <c r="BR6" s="27">
        <f t="shared" si="5"/>
        <v>7299.01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3186</v>
      </c>
      <c r="J9" s="51"/>
      <c r="K9" s="3042" t="s">
        <v>3186</v>
      </c>
      <c r="L9" s="51"/>
      <c r="M9" s="3042" t="s">
        <v>3714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923</v>
      </c>
      <c r="J10" s="51"/>
      <c r="K10" s="3044" t="s">
        <v>3187</v>
      </c>
      <c r="L10" s="51"/>
      <c r="M10" s="3044" t="s">
        <v>3669</v>
      </c>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2329</v>
      </c>
      <c r="AK10" s="2331"/>
      <c r="AL10" s="2312" t="s">
        <v>2319</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c r="J11" s="71"/>
      <c r="K11" s="3043"/>
      <c r="L11" s="71"/>
      <c r="M11" s="70"/>
      <c r="N11" s="71"/>
      <c r="O11" s="70"/>
      <c r="P11" s="71"/>
      <c r="Q11" s="70"/>
      <c r="R11" s="71"/>
      <c r="S11" s="70"/>
      <c r="T11" s="71"/>
      <c r="U11" s="70"/>
      <c r="V11" s="71"/>
      <c r="W11" s="70"/>
      <c r="X11" s="71"/>
      <c r="Y11" s="70"/>
      <c r="Z11" s="71"/>
      <c r="AA11" s="70"/>
      <c r="AB11" s="71"/>
      <c r="AC11" s="55"/>
      <c r="AD11" s="2332" t="s">
        <v>2328</v>
      </c>
      <c r="AE11" s="1001"/>
      <c r="AF11" s="2332" t="s">
        <v>2328</v>
      </c>
      <c r="AG11" s="1001"/>
      <c r="AH11" s="2332" t="s">
        <v>2327</v>
      </c>
      <c r="AI11" s="2333"/>
      <c r="AJ11" s="2332" t="s">
        <v>2327</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c r="D13" s="3038" t="s">
        <v>1679</v>
      </c>
      <c r="E13" s="27">
        <f t="shared" ref="E13:E20" si="6">IF($C$3="是",ROUND($A$3*G13/$B$3,2),ROUND($A$3*(G13-AT13)/$B$3,2))</f>
        <v>28172.14</v>
      </c>
      <c r="F13" s="81"/>
      <c r="G13" s="82">
        <f t="shared" ref="G13:G20" si="7">H13+AC13+AT13</f>
        <v>113800</v>
      </c>
      <c r="H13" s="33">
        <f t="shared" ref="H13:H20" si="8">SUMIF(I$12:AB$12,"总值",I13:AB13)</f>
        <v>82826</v>
      </c>
      <c r="I13" s="3041">
        <v>76060</v>
      </c>
      <c r="J13" s="3041"/>
      <c r="K13" s="3041">
        <v>6766</v>
      </c>
      <c r="L13" s="3041"/>
      <c r="M13" s="3041"/>
      <c r="N13" s="83"/>
      <c r="O13" s="83"/>
      <c r="P13" s="83"/>
      <c r="Q13" s="83"/>
      <c r="R13" s="83"/>
      <c r="S13" s="83"/>
      <c r="T13" s="83"/>
      <c r="U13" s="83"/>
      <c r="V13" s="83"/>
      <c r="W13" s="83"/>
      <c r="X13" s="83"/>
      <c r="Y13" s="83"/>
      <c r="Z13" s="83"/>
      <c r="AA13" s="83"/>
      <c r="AB13" s="83"/>
      <c r="AC13" s="27">
        <f t="shared" ref="AC13:AC20" si="9">SUMIF(AD$12:AS$12,"总值",AD13:AS13)</f>
        <v>30974</v>
      </c>
      <c r="AD13" s="3045">
        <v>1490</v>
      </c>
      <c r="AE13" s="3045"/>
      <c r="AF13" s="3045"/>
      <c r="AG13" s="3045"/>
      <c r="AH13" s="3045"/>
      <c r="AI13" s="3045"/>
      <c r="AJ13" s="3045"/>
      <c r="AK13" s="3045"/>
      <c r="AL13" s="3045"/>
      <c r="AM13" s="3045"/>
      <c r="AN13" s="3045">
        <v>29484</v>
      </c>
      <c r="AO13" s="3045"/>
      <c r="AP13" s="3045"/>
      <c r="AQ13" s="3045"/>
      <c r="AR13" s="3045"/>
      <c r="AS13" s="3045"/>
      <c r="AT13" s="3046"/>
      <c r="AU13" s="3047"/>
      <c r="AV13" s="17">
        <f t="shared" ref="AV13:AX20" si="10">A13</f>
        <v>0</v>
      </c>
      <c r="AW13" s="17">
        <f t="shared" si="10"/>
        <v>0</v>
      </c>
      <c r="AX13" s="17">
        <f t="shared" si="10"/>
        <v>0</v>
      </c>
      <c r="AY13" s="995">
        <f t="shared" ref="AY13:AY20" si="11">ROUND($AY$6*AZ13/$AZ$5,2)</f>
        <v>28172.14</v>
      </c>
      <c r="AZ13" s="27">
        <f t="shared" ref="AZ13:AZ20" si="12">BA13+BL13</f>
        <v>113800</v>
      </c>
      <c r="BA13" s="27">
        <f t="shared" ref="BA13:BA20" si="13">SUM(BB13:BK13)</f>
        <v>82826</v>
      </c>
      <c r="BB13" s="27">
        <f t="shared" ref="BB13:BB20" si="14">IF($D13="是",I13-J13,0)</f>
        <v>76060</v>
      </c>
      <c r="BC13" s="27">
        <f t="shared" ref="BC13:BC20" si="15">IF($D13="是",K13-L13,0)</f>
        <v>6766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30974</v>
      </c>
      <c r="BM13" s="27">
        <f t="shared" ref="BM13:BM20" si="25">IF($D13="是",AD13-AE13,0)</f>
        <v>1490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29484</v>
      </c>
      <c r="BS13" s="27">
        <f t="shared" ref="BS13:BS20" si="31">IF($D13="是",AP13-AQ13,0)</f>
        <v>0</v>
      </c>
      <c r="BT13" s="36">
        <f t="shared" ref="BT13:BT20" si="32">IF($D13="是",AR13-AS13,0)</f>
        <v>0</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t="s">
        <v>3737</v>
      </c>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7" t="s">
        <v>0</v>
      </c>
      <c r="B1" s="3617" t="s">
        <v>4</v>
      </c>
      <c r="C1" s="3617" t="s">
        <v>5</v>
      </c>
      <c r="D1" s="3618" t="s">
        <v>40</v>
      </c>
      <c r="E1" s="3618" t="s">
        <v>41</v>
      </c>
      <c r="F1" s="3618"/>
      <c r="G1" s="3618"/>
      <c r="H1" s="3618"/>
      <c r="I1" s="3618"/>
      <c r="J1" s="3618"/>
      <c r="K1" s="3618"/>
      <c r="L1" s="3618"/>
      <c r="M1" s="3618"/>
    </row>
    <row r="2" spans="1:13" ht="27" customHeight="1">
      <c r="A2" s="3617"/>
      <c r="B2" s="3617"/>
      <c r="C2" s="3617"/>
      <c r="D2" s="3618"/>
      <c r="E2" s="3618" t="s">
        <v>24</v>
      </c>
      <c r="F2" s="3618" t="s">
        <v>25</v>
      </c>
      <c r="G2" s="3618"/>
      <c r="H2" s="3618"/>
      <c r="I2" s="3618"/>
      <c r="J2" s="3618" t="s">
        <v>26</v>
      </c>
      <c r="K2" s="3618"/>
      <c r="L2" s="3618"/>
      <c r="M2" s="3618"/>
    </row>
    <row r="3" spans="1:13" ht="28.5">
      <c r="A3" s="3617"/>
      <c r="B3" s="3617"/>
      <c r="C3" s="3617"/>
      <c r="D3" s="3618"/>
      <c r="E3" s="361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18" t="s">
        <v>42</v>
      </c>
      <c r="B9" s="3618"/>
      <c r="C9" s="361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1" sqref="H31"/>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628" t="s">
        <v>203</v>
      </c>
      <c r="B2" s="3628"/>
      <c r="C2" s="3628"/>
      <c r="D2" s="1973" t="s">
        <v>204</v>
      </c>
      <c r="E2" s="106" t="s">
        <v>205</v>
      </c>
      <c r="F2" s="1982"/>
      <c r="G2" s="1197"/>
      <c r="H2" s="1198"/>
      <c r="I2" s="1199" t="s">
        <v>857</v>
      </c>
      <c r="J2" s="1982"/>
      <c r="K2" s="1982"/>
      <c r="L2" s="1982"/>
    </row>
    <row r="3" spans="1:16" ht="15.75" thickBot="1">
      <c r="A3" s="3629" t="s">
        <v>206</v>
      </c>
      <c r="B3" s="3629"/>
      <c r="C3" s="3629"/>
      <c r="D3" s="107">
        <f>'数据-基础表'!AY6</f>
        <v>28172.14</v>
      </c>
      <c r="E3" s="107">
        <f>'数据-基础表'!AZ5</f>
        <v>113800</v>
      </c>
      <c r="F3" s="1982"/>
      <c r="G3" s="279" t="s">
        <v>858</v>
      </c>
      <c r="H3" s="274" t="s">
        <v>859</v>
      </c>
      <c r="I3" s="1974">
        <f>ROUND('数据-基础表'!B3/'数据-基础表'!A3,2)</f>
        <v>4.04</v>
      </c>
      <c r="J3" s="1982"/>
      <c r="K3" s="1982"/>
      <c r="L3" s="1982"/>
    </row>
    <row r="4" spans="1:16" ht="15">
      <c r="A4" s="3630"/>
      <c r="B4" s="3631"/>
      <c r="C4" s="3632"/>
      <c r="D4" s="108" t="s">
        <v>204</v>
      </c>
      <c r="E4" s="109" t="s">
        <v>205</v>
      </c>
      <c r="F4" s="1982"/>
      <c r="G4" s="1200"/>
      <c r="H4" s="274" t="s">
        <v>860</v>
      </c>
      <c r="I4" s="1974">
        <f>ROUND(SUMIF('数据-基础表'!I9:AS9,"地上",'数据-基础表'!I5:AS5)/'数据-基础表'!A3,2)</f>
        <v>2.99</v>
      </c>
      <c r="J4" s="1982"/>
      <c r="K4" s="1982"/>
      <c r="L4" s="1982"/>
    </row>
    <row r="5" spans="1:16">
      <c r="A5" s="110" t="s">
        <v>207</v>
      </c>
      <c r="B5" s="3633" t="s">
        <v>230</v>
      </c>
      <c r="C5" s="3633"/>
      <c r="D5" s="111">
        <f>ROUND($D$3*E5/$E$3,2)</f>
        <v>18829.29</v>
      </c>
      <c r="E5" s="112">
        <f>SUMIF('数据-基础表'!$11:$11,"住宅",'数据-基础表'!$5:$5)</f>
        <v>76060</v>
      </c>
      <c r="F5" s="1982"/>
      <c r="G5" s="279" t="s">
        <v>861</v>
      </c>
      <c r="H5" s="274" t="s">
        <v>859</v>
      </c>
      <c r="I5" s="1974">
        <f>ROUND(E31/D31,2)</f>
        <v>4.04</v>
      </c>
      <c r="J5" s="1982"/>
      <c r="K5" s="1982"/>
      <c r="L5" s="1982"/>
    </row>
    <row r="6" spans="1:16" ht="15" thickBot="1">
      <c r="A6" s="113"/>
      <c r="B6" s="3633" t="s">
        <v>208</v>
      </c>
      <c r="C6" s="3633"/>
      <c r="D6" s="111">
        <f>ROUND($D$3*E6/$E$3,2)</f>
        <v>9342.85</v>
      </c>
      <c r="E6" s="112">
        <f>E3-E5</f>
        <v>37740</v>
      </c>
      <c r="F6" s="1982"/>
      <c r="G6" s="1200"/>
      <c r="H6" s="274" t="s">
        <v>860</v>
      </c>
      <c r="I6" s="1974">
        <f>ROUND(F31/D31,2)</f>
        <v>2.99</v>
      </c>
      <c r="J6" s="1982"/>
      <c r="K6" s="1982"/>
      <c r="L6" s="1982"/>
    </row>
    <row r="7" spans="1:16" ht="15">
      <c r="A7" s="3625"/>
      <c r="B7" s="3626"/>
      <c r="C7" s="3627"/>
      <c r="D7" s="108" t="s">
        <v>204</v>
      </c>
      <c r="E7" s="114" t="s">
        <v>231</v>
      </c>
      <c r="F7" s="1982"/>
      <c r="G7" s="1155" t="s">
        <v>1646</v>
      </c>
      <c r="H7" s="1156"/>
      <c r="I7" s="1844"/>
      <c r="J7" s="1982"/>
      <c r="K7" s="1982"/>
      <c r="L7" s="1982"/>
    </row>
    <row r="8" spans="1:16">
      <c r="A8" s="110" t="s">
        <v>209</v>
      </c>
      <c r="B8" s="115" t="s">
        <v>210</v>
      </c>
      <c r="C8" s="111" t="s">
        <v>211</v>
      </c>
      <c r="D8" s="111">
        <f t="shared" ref="D8:D15" si="0">ROUND($D$3*E8/$E$3,2)</f>
        <v>20504.27</v>
      </c>
      <c r="E8" s="116">
        <f>SUMIF('数据-基础表'!BB10:BK10,"地上",'数据-基础表'!BB5:BK5)</f>
        <v>82826</v>
      </c>
      <c r="F8" s="1982"/>
      <c r="G8" s="1984"/>
      <c r="H8" s="1984"/>
      <c r="I8" s="1982"/>
      <c r="J8" s="1982"/>
      <c r="K8" s="1982"/>
      <c r="L8" s="1982"/>
    </row>
    <row r="9" spans="1:16">
      <c r="A9" s="117"/>
      <c r="B9" s="118"/>
      <c r="C9" s="111" t="s">
        <v>212</v>
      </c>
      <c r="D9" s="111">
        <f t="shared" si="0"/>
        <v>368.86</v>
      </c>
      <c r="E9" s="119">
        <f>'数据-基础表'!AD13+'数据-基础表'!AL13</f>
        <v>1490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2325</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2332</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20873.13</v>
      </c>
      <c r="E16" s="120">
        <f>SUM(E8:E15)</f>
        <v>84316</v>
      </c>
      <c r="F16" s="1982"/>
      <c r="G16" s="1984"/>
      <c r="H16" s="967" t="s">
        <v>219</v>
      </c>
      <c r="I16" s="968"/>
      <c r="J16" s="1982"/>
      <c r="K16" s="3619" t="s">
        <v>2566</v>
      </c>
      <c r="L16" s="3620"/>
      <c r="M16" s="3620"/>
      <c r="N16" s="3620"/>
      <c r="O16" s="3620"/>
      <c r="P16" s="3621"/>
    </row>
    <row r="17" spans="1:19" ht="15">
      <c r="A17" s="121" t="s">
        <v>216</v>
      </c>
      <c r="B17" s="122" t="s">
        <v>217</v>
      </c>
      <c r="C17" s="2296" t="s">
        <v>2313</v>
      </c>
      <c r="D17" s="108" t="s">
        <v>204</v>
      </c>
      <c r="E17" s="124" t="s">
        <v>205</v>
      </c>
      <c r="F17" s="125"/>
      <c r="G17" s="1364"/>
      <c r="H17" s="969" t="s">
        <v>218</v>
      </c>
      <c r="I17" s="970" t="s">
        <v>2312</v>
      </c>
      <c r="J17" s="1982"/>
      <c r="K17" s="3622" t="s">
        <v>2567</v>
      </c>
      <c r="L17" s="3623"/>
      <c r="M17" s="3624"/>
      <c r="N17" s="3622" t="s">
        <v>2568</v>
      </c>
      <c r="O17" s="3623"/>
      <c r="P17" s="3624"/>
      <c r="R17" s="2297" t="s">
        <v>2311</v>
      </c>
      <c r="S17" s="144"/>
    </row>
    <row r="18" spans="1:19" ht="15">
      <c r="A18" s="117"/>
      <c r="B18" s="128"/>
      <c r="C18" s="129"/>
      <c r="D18" s="2665"/>
      <c r="E18" s="130" t="s">
        <v>220</v>
      </c>
      <c r="F18" s="131" t="s">
        <v>221</v>
      </c>
      <c r="G18" s="1365" t="s">
        <v>222</v>
      </c>
      <c r="H18" s="971" t="s">
        <v>223</v>
      </c>
      <c r="I18" s="972" t="s">
        <v>224</v>
      </c>
      <c r="J18" s="1982"/>
      <c r="K18" s="2627" t="s">
        <v>2569</v>
      </c>
      <c r="L18" s="2628" t="s">
        <v>2570</v>
      </c>
      <c r="M18" s="2629" t="s">
        <v>2571</v>
      </c>
      <c r="N18" s="2627" t="s">
        <v>2569</v>
      </c>
      <c r="O18" s="2628" t="s">
        <v>2570</v>
      </c>
      <c r="P18" s="2629" t="s">
        <v>2571</v>
      </c>
      <c r="R18" s="2298" t="s">
        <v>2309</v>
      </c>
      <c r="S18" s="2298" t="s">
        <v>2310</v>
      </c>
    </row>
    <row r="19" spans="1:19">
      <c r="A19" s="133"/>
      <c r="B19" s="115" t="s">
        <v>225</v>
      </c>
      <c r="C19" s="3048" t="s">
        <v>3189</v>
      </c>
      <c r="D19" s="111">
        <f t="shared" ref="D19:D26" si="1">ROUND($D$3*E19/$E$3,2)</f>
        <v>18829.29</v>
      </c>
      <c r="E19" s="134">
        <f t="shared" ref="E19:E26" si="2">SUM(F19:G19)</f>
        <v>76060</v>
      </c>
      <c r="F19" s="135">
        <f>'数据-基础表'!I13</f>
        <v>76060</v>
      </c>
      <c r="G19" s="1366"/>
      <c r="H19" s="973">
        <f>ROUND($D$3*I19/$E$3,2)</f>
        <v>7071.62</v>
      </c>
      <c r="I19" s="116">
        <f>IF($I$17="自定义",P19,M19)</f>
        <v>28565.47</v>
      </c>
      <c r="J19" s="1982"/>
      <c r="K19" s="2630">
        <f t="shared" ref="K19:K26" si="3">ROUND(E$28*E19/E$27,2)</f>
        <v>27075.47</v>
      </c>
      <c r="L19" s="274">
        <f t="shared" ref="L19:L26" si="4">ROUND(IF(COUNTIF(C19,"*住宅*")&gt;0,E$29*E19/E$32,0),2)</f>
        <v>1490</v>
      </c>
      <c r="M19" s="2631">
        <f>K19+L19</f>
        <v>28565.47</v>
      </c>
      <c r="N19" s="2632"/>
      <c r="O19" s="2633"/>
      <c r="P19" s="2634">
        <f>N19+O19</f>
        <v>0</v>
      </c>
      <c r="R19" s="274">
        <f t="shared" ref="R19:S26" si="5">D19+H19</f>
        <v>25900.91</v>
      </c>
      <c r="S19" s="2299">
        <f t="shared" si="5"/>
        <v>104625.47</v>
      </c>
    </row>
    <row r="20" spans="1:19">
      <c r="A20" s="138"/>
      <c r="B20" s="115" t="s">
        <v>226</v>
      </c>
      <c r="C20" s="3048" t="s">
        <v>3190</v>
      </c>
      <c r="D20" s="111">
        <f t="shared" si="1"/>
        <v>1674.98</v>
      </c>
      <c r="E20" s="134">
        <f t="shared" si="2"/>
        <v>6766</v>
      </c>
      <c r="F20" s="135">
        <f>'数据-基础表'!K13</f>
        <v>6766</v>
      </c>
      <c r="G20" s="1366"/>
      <c r="H20" s="973">
        <f t="shared" ref="H20:H26" si="6">ROUND($D$3*I20/$E$3,2)</f>
        <v>596.25</v>
      </c>
      <c r="I20" s="116">
        <f t="shared" ref="I20:I26" si="7">IF($I$17="自定义",P20,M20)</f>
        <v>2408.5300000000002</v>
      </c>
      <c r="J20" s="1982"/>
      <c r="K20" s="2630">
        <f t="shared" si="3"/>
        <v>2408.5300000000002</v>
      </c>
      <c r="L20" s="274">
        <f t="shared" si="4"/>
        <v>0</v>
      </c>
      <c r="M20" s="2631">
        <f t="shared" ref="M20:M26" si="8">K20+L20</f>
        <v>2408.5300000000002</v>
      </c>
      <c r="N20" s="2632"/>
      <c r="O20" s="2633"/>
      <c r="P20" s="2634">
        <f t="shared" ref="P20:P26" si="9">N20+O20</f>
        <v>0</v>
      </c>
      <c r="R20" s="274">
        <f t="shared" si="5"/>
        <v>2271.23</v>
      </c>
      <c r="S20" s="2299">
        <f t="shared" si="5"/>
        <v>9174.5300000000007</v>
      </c>
    </row>
    <row r="21" spans="1:19">
      <c r="A21" s="138"/>
      <c r="B21" s="115" t="s">
        <v>226</v>
      </c>
      <c r="C21" s="3048" t="s">
        <v>3735</v>
      </c>
      <c r="D21" s="111">
        <f t="shared" si="1"/>
        <v>0</v>
      </c>
      <c r="E21" s="134">
        <f t="shared" si="2"/>
        <v>0</v>
      </c>
      <c r="F21" s="135"/>
      <c r="G21" s="1366">
        <f>'数据-基础表'!M13</f>
        <v>0</v>
      </c>
      <c r="H21" s="973">
        <f t="shared" si="6"/>
        <v>0</v>
      </c>
      <c r="I21" s="116">
        <f t="shared" si="7"/>
        <v>0</v>
      </c>
      <c r="J21" s="1982"/>
      <c r="K21" s="2630">
        <f t="shared" si="3"/>
        <v>0</v>
      </c>
      <c r="L21" s="274">
        <f t="shared" si="4"/>
        <v>0</v>
      </c>
      <c r="M21" s="2631">
        <f t="shared" si="8"/>
        <v>0</v>
      </c>
      <c r="N21" s="2632"/>
      <c r="O21" s="2633"/>
      <c r="P21" s="2634">
        <f t="shared" si="9"/>
        <v>0</v>
      </c>
      <c r="R21" s="274">
        <f t="shared" si="5"/>
        <v>0</v>
      </c>
      <c r="S21" s="2299">
        <f t="shared" si="5"/>
        <v>0</v>
      </c>
    </row>
    <row r="22" spans="1:19">
      <c r="A22" s="138"/>
      <c r="B22" s="115" t="s">
        <v>226</v>
      </c>
      <c r="C22" s="3481"/>
      <c r="D22" s="111">
        <f t="shared" si="1"/>
        <v>0</v>
      </c>
      <c r="E22" s="134">
        <f t="shared" si="2"/>
        <v>0</v>
      </c>
      <c r="F22" s="140"/>
      <c r="G22" s="1367"/>
      <c r="H22" s="973">
        <f t="shared" si="6"/>
        <v>0</v>
      </c>
      <c r="I22" s="116">
        <f t="shared" si="7"/>
        <v>0</v>
      </c>
      <c r="J22" s="1982"/>
      <c r="K22" s="2630">
        <f t="shared" si="3"/>
        <v>0</v>
      </c>
      <c r="L22" s="274">
        <f t="shared" si="4"/>
        <v>0</v>
      </c>
      <c r="M22" s="2631">
        <f t="shared" si="8"/>
        <v>0</v>
      </c>
      <c r="N22" s="2632"/>
      <c r="O22" s="2633"/>
      <c r="P22" s="2634">
        <f t="shared" si="9"/>
        <v>0</v>
      </c>
      <c r="R22" s="274">
        <f t="shared" si="5"/>
        <v>0</v>
      </c>
      <c r="S22" s="2299">
        <f t="shared" si="5"/>
        <v>0</v>
      </c>
    </row>
    <row r="23" spans="1:19">
      <c r="A23" s="138"/>
      <c r="B23" s="115" t="s">
        <v>226</v>
      </c>
      <c r="C23" s="139"/>
      <c r="D23" s="111">
        <f>ROUND($D$3*E23/$E$3,2)</f>
        <v>0</v>
      </c>
      <c r="E23" s="134">
        <f>SUM(F23:G23)</f>
        <v>0</v>
      </c>
      <c r="F23" s="140"/>
      <c r="G23" s="1367"/>
      <c r="H23" s="973">
        <f>ROUND($D$3*I23/$E$3,2)</f>
        <v>0</v>
      </c>
      <c r="I23" s="116">
        <f t="shared" si="7"/>
        <v>0</v>
      </c>
      <c r="J23" s="1982"/>
      <c r="K23" s="2630">
        <f t="shared" si="3"/>
        <v>0</v>
      </c>
      <c r="L23" s="274">
        <f t="shared" si="4"/>
        <v>0</v>
      </c>
      <c r="M23" s="2631">
        <f t="shared" si="8"/>
        <v>0</v>
      </c>
      <c r="N23" s="2632"/>
      <c r="O23" s="2633"/>
      <c r="P23" s="2634">
        <f t="shared" si="9"/>
        <v>0</v>
      </c>
      <c r="R23" s="274">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30">
        <f t="shared" si="3"/>
        <v>0</v>
      </c>
      <c r="L24" s="274">
        <f t="shared" si="4"/>
        <v>0</v>
      </c>
      <c r="M24" s="2631">
        <f t="shared" si="8"/>
        <v>0</v>
      </c>
      <c r="N24" s="2632"/>
      <c r="O24" s="2633"/>
      <c r="P24" s="2634">
        <f t="shared" si="9"/>
        <v>0</v>
      </c>
      <c r="R24" s="274">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30">
        <f t="shared" si="3"/>
        <v>0</v>
      </c>
      <c r="L25" s="274">
        <f t="shared" si="4"/>
        <v>0</v>
      </c>
      <c r="M25" s="2631">
        <f t="shared" si="8"/>
        <v>0</v>
      </c>
      <c r="N25" s="2632"/>
      <c r="O25" s="2633"/>
      <c r="P25" s="2634">
        <f t="shared" si="9"/>
        <v>0</v>
      </c>
      <c r="R25" s="274">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35">
        <f t="shared" si="3"/>
        <v>0</v>
      </c>
      <c r="L26" s="279">
        <f t="shared" si="4"/>
        <v>0</v>
      </c>
      <c r="M26" s="146">
        <f t="shared" si="8"/>
        <v>0</v>
      </c>
      <c r="N26" s="2636"/>
      <c r="O26" s="2637"/>
      <c r="P26" s="2638">
        <f t="shared" si="9"/>
        <v>0</v>
      </c>
      <c r="R26" s="274">
        <f t="shared" si="5"/>
        <v>0</v>
      </c>
      <c r="S26" s="2299">
        <f t="shared" si="5"/>
        <v>0</v>
      </c>
    </row>
    <row r="27" spans="1:19" ht="15.75" thickBot="1">
      <c r="A27" s="138"/>
      <c r="B27" s="111"/>
      <c r="C27" s="127" t="s">
        <v>215</v>
      </c>
      <c r="D27" s="134">
        <f>SUM(D19:D26)</f>
        <v>20504.27</v>
      </c>
      <c r="E27" s="143">
        <f>IF(SUM(E19:E26)='数据-基础表'!BA5,SUM(E19:E26),IF(F27="地上面积有误","面积有误","地下面积有误"))</f>
        <v>82826</v>
      </c>
      <c r="F27" s="134">
        <f>IF(SUM(F19:F26)=E8,SUM(F19:F26),"地上面积有误")</f>
        <v>82826</v>
      </c>
      <c r="G27" s="112">
        <f>SUM(G19:G26)</f>
        <v>0</v>
      </c>
      <c r="H27" s="974">
        <f>SUM(H19:H26)</f>
        <v>7667.87</v>
      </c>
      <c r="I27" s="975">
        <f>SUM(I19:I26)</f>
        <v>30974</v>
      </c>
      <c r="J27" s="1982"/>
      <c r="K27" s="2639">
        <f>SUM(K19:K26)</f>
        <v>29484</v>
      </c>
      <c r="L27" s="2640">
        <f>SUM(L19:L26)</f>
        <v>1490</v>
      </c>
      <c r="M27" s="2641">
        <f>SUM(M19:M26)</f>
        <v>30974</v>
      </c>
      <c r="N27" s="2639">
        <f t="shared" ref="N27:O27" si="10">SUM(N19:N26)</f>
        <v>0</v>
      </c>
      <c r="O27" s="2640">
        <f t="shared" si="10"/>
        <v>0</v>
      </c>
      <c r="P27" s="2642">
        <f>SUM(P19:P26)</f>
        <v>0</v>
      </c>
      <c r="R27" s="2303">
        <f>IF(SUM(R19:R26)=$D$3,SUM(R19:R26),SUM(R19:R26)&amp;"误差"&amp;ROUND(SUM(R19:R26)-$D$3,2))</f>
        <v>28172.14</v>
      </c>
      <c r="S27" s="274">
        <f>IF(SUM(S19:S26)=$E$3,SUM(S19:S26),SUM(S19:S26)&amp;"误差"&amp;ROUND(SUM(S19:S26)-E3,2))</f>
        <v>113800</v>
      </c>
    </row>
    <row r="28" spans="1:19">
      <c r="A28" s="138"/>
      <c r="B28" s="115" t="s">
        <v>227</v>
      </c>
      <c r="C28" s="136" t="s">
        <v>228</v>
      </c>
      <c r="D28" s="111">
        <f>ROUND($D$3*E28/$E$3,2)</f>
        <v>7299.01</v>
      </c>
      <c r="E28" s="134">
        <f>SUM(F28:G28)</f>
        <v>29484</v>
      </c>
      <c r="F28" s="144">
        <f>'数据-基础表'!BQ5+'数据-基础表'!BS5</f>
        <v>0</v>
      </c>
      <c r="G28" s="145">
        <f>'数据-基础表'!BR5+'数据-基础表'!BT5</f>
        <v>29484</v>
      </c>
      <c r="H28" s="1982"/>
      <c r="I28" s="1982"/>
      <c r="J28" s="1982"/>
      <c r="K28" s="1982"/>
      <c r="L28" s="1982"/>
    </row>
    <row r="29" spans="1:19">
      <c r="A29" s="138"/>
      <c r="B29" s="115" t="s">
        <v>227</v>
      </c>
      <c r="C29" s="2311" t="s">
        <v>2320</v>
      </c>
      <c r="D29" s="111">
        <f>ROUND($D$3*E29/$E$3,2)</f>
        <v>368.86</v>
      </c>
      <c r="E29" s="134">
        <f>SUM(F29:G29)</f>
        <v>1490</v>
      </c>
      <c r="F29" s="144">
        <f>'数据-基础表'!BM5+'数据-基础表'!BO5</f>
        <v>1490</v>
      </c>
      <c r="G29" s="146">
        <f>'数据-基础表'!BN5+'数据-基础表'!BP5</f>
        <v>0</v>
      </c>
      <c r="H29" s="1982"/>
      <c r="I29" s="1982"/>
      <c r="J29" s="1982"/>
      <c r="K29" s="1982"/>
      <c r="L29" s="1982"/>
    </row>
    <row r="30" spans="1:19">
      <c r="A30" s="138"/>
      <c r="B30" s="111"/>
      <c r="C30" s="147" t="s">
        <v>215</v>
      </c>
      <c r="D30" s="134">
        <f>SUM(D28:D29)</f>
        <v>7667.87</v>
      </c>
      <c r="E30" s="134">
        <f>SUM(E28:E29)</f>
        <v>30974</v>
      </c>
      <c r="F30" s="134">
        <f>SUM(F28:F29)</f>
        <v>1490</v>
      </c>
      <c r="G30" s="112">
        <f>SUM(G28:G29)</f>
        <v>29484</v>
      </c>
      <c r="H30" s="1982"/>
      <c r="I30" s="1982"/>
      <c r="J30" s="1982"/>
      <c r="K30" s="1982"/>
      <c r="L30" s="1982"/>
    </row>
    <row r="31" spans="1:19" ht="32.25" customHeight="1" thickBot="1">
      <c r="A31" s="1368"/>
      <c r="B31" s="1369" t="s">
        <v>229</v>
      </c>
      <c r="C31" s="2328" t="s">
        <v>2322</v>
      </c>
      <c r="D31" s="1370">
        <f>D27+D30</f>
        <v>28172.14</v>
      </c>
      <c r="E31" s="1370">
        <f>E27+E30</f>
        <v>113800</v>
      </c>
      <c r="F31" s="1371">
        <f>F27+F30</f>
        <v>84316</v>
      </c>
      <c r="G31" s="1372">
        <f>G27+G30</f>
        <v>29484</v>
      </c>
      <c r="H31" s="1982"/>
      <c r="I31" s="1982"/>
      <c r="J31" s="1982"/>
      <c r="K31" s="1982"/>
      <c r="L31" s="1982"/>
    </row>
    <row r="32" spans="1:19">
      <c r="A32" s="1982"/>
      <c r="B32" s="2361" t="s">
        <v>2321</v>
      </c>
      <c r="C32" s="2670"/>
      <c r="D32" s="1200"/>
      <c r="E32" s="1200">
        <f>SUMIF(C19:C26,"*住宅*",E19:E26)</f>
        <v>76060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K6" sqref="K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43159</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2827</v>
      </c>
      <c r="O5" s="163" t="s">
        <v>246</v>
      </c>
      <c r="P5" s="165" t="s">
        <v>247</v>
      </c>
      <c r="Q5" s="166" t="s">
        <v>248</v>
      </c>
      <c r="R5" s="167" t="s">
        <v>249</v>
      </c>
      <c r="S5" s="2643" t="s">
        <v>2572</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2323</v>
      </c>
      <c r="AI5" s="171" t="s">
        <v>2292</v>
      </c>
      <c r="AJ5" s="171" t="s">
        <v>258</v>
      </c>
      <c r="AK5" s="159" t="s">
        <v>259</v>
      </c>
      <c r="AL5" s="159" t="s">
        <v>260</v>
      </c>
      <c r="AM5" s="172" t="s">
        <v>261</v>
      </c>
      <c r="AN5" s="2413" t="s">
        <v>2371</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66688</v>
      </c>
      <c r="F6" s="174">
        <f>SUMIF(项目基本情况!D$15:I$15,C6,项目基本情况!D$19:I$19)</f>
        <v>64.459999999999994</v>
      </c>
      <c r="G6" s="175">
        <f>IF(ISERROR(ROUND(POWER(1+H6,D6-F6)*(POWER(1+H6,F6)-1)/(POWER(1+H6,D6)-1),3)),0,ROUND(POWER(1+H6,D6-F6)*(POWER(1+H6,F6)-1)/(POWER(1+H6,D6)-1),3))</f>
        <v>0.98699999999999999</v>
      </c>
      <c r="H6" s="3049">
        <v>4.4999999999999998E-2</v>
      </c>
      <c r="I6" s="3049">
        <v>5.5E-2</v>
      </c>
      <c r="J6" s="176">
        <v>8.5000000000000006E-2</v>
      </c>
      <c r="K6" s="179">
        <f>SUMIF('数据-汇总表'!C$19:C$33,'数据-取费表'!A6,'数据-汇总表'!E$19:E$33)</f>
        <v>76060</v>
      </c>
      <c r="L6" s="3541">
        <v>4000</v>
      </c>
      <c r="M6" s="177">
        <f t="shared" ref="M6:M14" si="0">ROUND(K6*L6/10000,0)</f>
        <v>30424</v>
      </c>
      <c r="N6" s="3051">
        <v>0</v>
      </c>
      <c r="O6" s="177">
        <f>IF($N$5="成新度","——",ROUND(M6*N6,0))</f>
        <v>0</v>
      </c>
      <c r="P6" s="178">
        <f>IF($N$5="成新度","——",M6-O6)</f>
        <v>30424</v>
      </c>
      <c r="Q6" s="3052">
        <v>0.15</v>
      </c>
      <c r="R6" s="179">
        <f>SUMIF('数据-汇总表'!C$19:C$33,A6,'数据-汇总表'!R$19:R$33)</f>
        <v>25900.91</v>
      </c>
      <c r="S6" s="132">
        <f>IF('数据-汇总表'!$I$17="按面积比例",SUMIF('数据-汇总表'!C$19:C$33,A6,'数据-汇总表'!K$19:K$33),SUMIF('数据-汇总表'!C$19:C$33,A6,'数据-汇总表'!N$19:N$33))</f>
        <v>27075.47</v>
      </c>
      <c r="T6" s="2232">
        <f>IF($T$4="按面积比例",IF(ISERROR(ROUND($M$14*S6/S$16,0)),"0",ROUND($M$14*S6/S$16,0)),"需自行计算录入")</f>
        <v>4873</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63"/>
      <c r="AN6" s="2414"/>
      <c r="AO6" s="1998"/>
      <c r="AP6" s="1203">
        <f>ROUND(1-1/(1+H6)^F6,3)</f>
        <v>0.94099999999999995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3187</v>
      </c>
      <c r="D7" s="2306">
        <f>SUMIF(项目基本情况!D$15:I$15,C7,项目基本情况!D$18:I$18)</f>
        <v>40</v>
      </c>
      <c r="E7" s="2307">
        <f>IF(B7="","",SUMIF(项目基本情况!D$15:I$15,C7,项目基本情况!D$17:I$17))</f>
        <v>55731</v>
      </c>
      <c r="F7" s="174">
        <f>SUMIF(项目基本情况!D$15:I$15,C7,项目基本情况!D$19:I$19)</f>
        <v>34.44</v>
      </c>
      <c r="G7" s="175">
        <f t="shared" ref="G7:G11" si="2">IF(ISERROR(ROUND(POWER(1+H7,D7-F7)*(POWER(1+H7,F7)-1)/(POWER(1+H7,D7)-1),3)),0,ROUND(POWER(1+H7,D7-F7)*(POWER(1+H7,F7)-1)/(POWER(1+H7,D7)-1),3))</f>
        <v>0.94799999999999995</v>
      </c>
      <c r="H7" s="3049">
        <v>0.05</v>
      </c>
      <c r="I7" s="3049">
        <v>0.06</v>
      </c>
      <c r="J7" s="176">
        <v>8.5000000000000006E-2</v>
      </c>
      <c r="K7" s="179">
        <f>SUMIF('数据-汇总表'!C$19:C$33,'数据-取费表'!A7,'数据-汇总表'!E$19:E$33)</f>
        <v>6766</v>
      </c>
      <c r="L7" s="3050">
        <v>2000</v>
      </c>
      <c r="M7" s="177">
        <f t="shared" si="0"/>
        <v>1353</v>
      </c>
      <c r="N7" s="3051">
        <v>0</v>
      </c>
      <c r="O7" s="177">
        <f t="shared" ref="O7:O14" si="3">IF($N$5="成新度","——",ROUND(M7*N7,0))</f>
        <v>0</v>
      </c>
      <c r="P7" s="178">
        <f t="shared" ref="P7:P14" si="4">IF($N$5="成新度","——",M7-O7)</f>
        <v>1353</v>
      </c>
      <c r="Q7" s="3052">
        <v>0.2</v>
      </c>
      <c r="R7" s="179">
        <f>SUMIF('数据-汇总表'!C$19:C$33,A7,'数据-汇总表'!R$19:R$33)</f>
        <v>2271.23</v>
      </c>
      <c r="S7" s="132">
        <f>IF('数据-汇总表'!$I$17="按面积比例",SUMIF('数据-汇总表'!C$19:C$33,A7,'数据-汇总表'!K$19:K$33),SUMIF('数据-汇总表'!C$19:C$33,A7,'数据-汇总表'!N$19:N$33))</f>
        <v>2408.5300000000002</v>
      </c>
      <c r="T7" s="2232">
        <f t="shared" ref="T7:T13" si="5">IF($T$4="按面积比例",IF(ISERROR(ROUND($M$14*S7/S$16,0)),"0",ROUND($M$14*S7/S$16,0)),"需自行计算录入")</f>
        <v>434</v>
      </c>
      <c r="U7" s="180">
        <v>4.5</v>
      </c>
      <c r="V7" s="181">
        <v>0.03</v>
      </c>
      <c r="W7" s="181">
        <v>0.1</v>
      </c>
      <c r="X7" s="2319"/>
      <c r="Y7" s="182">
        <v>1</v>
      </c>
      <c r="Z7" s="183"/>
      <c r="AA7" s="176"/>
      <c r="AB7" s="176"/>
      <c r="AC7" s="2322"/>
      <c r="AD7" s="184"/>
      <c r="AE7" s="971">
        <f t="shared" ref="AE7:AE13" ca="1" si="6">IF(AN7="",0,SUMIF(INDIRECT("'"&amp;AN7&amp;"'"&amp;"!E:E"),$AE$5,INDIRECT("'"&amp;AN7&amp;"'"&amp;"!F:F")))</f>
        <v>32.44</v>
      </c>
      <c r="AF7" s="141"/>
      <c r="AG7" s="1212">
        <f t="shared" ref="AG7:AG13" si="7">IF(AF7="",0,AE7-AF7)</f>
        <v>0</v>
      </c>
      <c r="AH7" s="141"/>
      <c r="AI7" s="187">
        <v>365</v>
      </c>
      <c r="AJ7" s="188"/>
      <c r="AK7" s="189">
        <v>1.4999999999999999E-2</v>
      </c>
      <c r="AL7" s="190">
        <v>1.5E-3</v>
      </c>
      <c r="AM7" s="2412">
        <v>0.01</v>
      </c>
      <c r="AN7" s="2414" t="s">
        <v>3196</v>
      </c>
      <c r="AO7" s="1998"/>
      <c r="AP7" s="1203">
        <f t="shared" ref="AP7:AP13" si="8">ROUND(1-1/(1+H7)^F7,3)</f>
        <v>0.81399999999999995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hidden="1">
      <c r="A8" s="2300" t="str">
        <f>'数据-汇总表'!C21</f>
        <v>地下车库</v>
      </c>
      <c r="B8" s="2335" t="str">
        <f t="shared" si="1"/>
        <v>经营性</v>
      </c>
      <c r="C8" s="173"/>
      <c r="D8" s="2306">
        <f>SUMIF(项目基本情况!D$15:I$15,C8,项目基本情况!D$18:I$18)</f>
        <v>0</v>
      </c>
      <c r="E8" s="2307">
        <f>IF(B8="","",SUMIF(项目基本情况!D$15:I$15,C8,项目基本情况!D$17:I$17))</f>
        <v>0</v>
      </c>
      <c r="F8" s="174">
        <f>SUMIF(项目基本情况!D$15:I$15,C8,项目基本情况!D$19:I$19)</f>
        <v>0</v>
      </c>
      <c r="G8" s="175">
        <f t="shared" si="2"/>
        <v>0</v>
      </c>
      <c r="H8" s="3049"/>
      <c r="I8" s="3049"/>
      <c r="J8" s="176"/>
      <c r="K8" s="179">
        <f>SUMIF('数据-汇总表'!C$19:C$33,'数据-取费表'!A8,'数据-汇总表'!E$19:E$33)</f>
        <v>0</v>
      </c>
      <c r="L8" s="3050"/>
      <c r="M8" s="177">
        <f>ROUND(K8*L8/10000,0)</f>
        <v>0</v>
      </c>
      <c r="N8" s="3051"/>
      <c r="O8" s="177">
        <f t="shared" si="3"/>
        <v>0</v>
      </c>
      <c r="P8" s="178">
        <f t="shared" si="4"/>
        <v>0</v>
      </c>
      <c r="Q8" s="3052"/>
      <c r="R8" s="179">
        <f>SUMIF('数据-汇总表'!C$19:C$33,A8,'数据-汇总表'!R$19:R$33)</f>
        <v>0</v>
      </c>
      <c r="S8" s="132">
        <f>IF('数据-汇总表'!$I$17="按面积比例",SUMIF('数据-汇总表'!C$19:C$33,A8,'数据-汇总表'!K$19:K$33),SUMIF('数据-汇总表'!C$19:C$33,A8,'数据-汇总表'!N$19:N$33))</f>
        <v>0</v>
      </c>
      <c r="T8" s="2232">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412"/>
      <c r="AN8" s="2414"/>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hidden="1">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0">
        <v>2000</v>
      </c>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412"/>
      <c r="AN9" s="2414"/>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hidden="1">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0">
        <v>2000</v>
      </c>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412"/>
      <c r="AN10" s="2414"/>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hidden="1">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0">
        <v>2000</v>
      </c>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4"/>
      <c r="AA11" s="176"/>
      <c r="AB11" s="176"/>
      <c r="AC11" s="2322"/>
      <c r="AD11" s="184"/>
      <c r="AE11" s="971">
        <f t="shared" ca="1" si="6"/>
        <v>0</v>
      </c>
      <c r="AF11" s="141"/>
      <c r="AG11" s="1212">
        <f t="shared" si="7"/>
        <v>0</v>
      </c>
      <c r="AH11" s="141"/>
      <c r="AI11" s="187"/>
      <c r="AJ11" s="188"/>
      <c r="AK11" s="195"/>
      <c r="AL11" s="196"/>
      <c r="AM11" s="1815"/>
      <c r="AN11" s="2414"/>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hidden="1">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0">
        <v>2000</v>
      </c>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4"/>
      <c r="AA12" s="176"/>
      <c r="AB12" s="176"/>
      <c r="AC12" s="2322"/>
      <c r="AD12" s="184"/>
      <c r="AE12" s="971">
        <f t="shared" ca="1" si="6"/>
        <v>0</v>
      </c>
      <c r="AF12" s="141"/>
      <c r="AG12" s="1212">
        <f t="shared" si="7"/>
        <v>0</v>
      </c>
      <c r="AH12" s="141"/>
      <c r="AI12" s="187"/>
      <c r="AJ12" s="188"/>
      <c r="AK12" s="195"/>
      <c r="AL12" s="196"/>
      <c r="AM12" s="1815"/>
      <c r="AN12" s="2414"/>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hidden="1">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0">
        <v>2000</v>
      </c>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412"/>
      <c r="AN13" s="2414"/>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1680</v>
      </c>
      <c r="C14" s="2305" t="s">
        <v>2314</v>
      </c>
      <c r="D14" s="2306"/>
      <c r="E14" s="2307"/>
      <c r="F14" s="174"/>
      <c r="G14" s="175"/>
      <c r="H14" s="2308"/>
      <c r="I14" s="2308"/>
      <c r="J14" s="2308"/>
      <c r="K14" s="179">
        <f>SUMIF('数据-汇总表'!C$19:C$33,'数据-取费表'!A14,'数据-汇总表'!E$19:E$33)</f>
        <v>29484</v>
      </c>
      <c r="L14" s="3050">
        <v>1800</v>
      </c>
      <c r="M14" s="177">
        <f t="shared" si="0"/>
        <v>5307</v>
      </c>
      <c r="N14" s="193">
        <v>0</v>
      </c>
      <c r="O14" s="177">
        <f t="shared" si="3"/>
        <v>0</v>
      </c>
      <c r="P14" s="178">
        <f t="shared" si="4"/>
        <v>5307</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1680</v>
      </c>
      <c r="C15" s="2305" t="s">
        <v>2315</v>
      </c>
      <c r="D15" s="2306"/>
      <c r="E15" s="2307"/>
      <c r="F15" s="174"/>
      <c r="G15" s="175"/>
      <c r="H15" s="2308"/>
      <c r="I15" s="2308"/>
      <c r="J15" s="2308"/>
      <c r="K15" s="179">
        <f>SUMIF('数据-汇总表'!C$19:C$33,'数据-取费表'!A15,'数据-汇总表'!E$19:E$33)</f>
        <v>1490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7" t="s">
        <v>262</v>
      </c>
      <c r="B16" s="198"/>
      <c r="C16" s="199"/>
      <c r="D16" s="200"/>
      <c r="E16" s="198"/>
      <c r="F16" s="198"/>
      <c r="G16" s="201">
        <f>ROUND(SUMPRODUCT(G6:G13,K6:K13)/SUMPRODUCT((G6:G13&gt;0)*(K6:K13)),3)</f>
        <v>0.98399999999999999</v>
      </c>
      <c r="H16" s="202">
        <f>ROUND(SUMPRODUCT(H6:H13,K6:K13)/SUMPRODUCT((H6:H13&gt;0)*(K6:K13)),3)</f>
        <v>4.4999999999999998E-2</v>
      </c>
      <c r="I16" s="203"/>
      <c r="J16" s="203"/>
      <c r="K16" s="204">
        <f>SUM(K6:K15)</f>
        <v>113800</v>
      </c>
      <c r="L16" s="205">
        <f>ROUND(M16*10000/SUM(K6:K14),0)</f>
        <v>3302</v>
      </c>
      <c r="M16" s="205">
        <f>SUM(M6:M14)</f>
        <v>37084</v>
      </c>
      <c r="N16" s="206">
        <f>ROUND(SUMPRODUCT(M6:M14,N6:N14)/M16,3)</f>
        <v>0</v>
      </c>
      <c r="O16" s="205">
        <f>SUM(O6:O14)</f>
        <v>0</v>
      </c>
      <c r="P16" s="205">
        <f>SUM(P6:P14)</f>
        <v>37084</v>
      </c>
      <c r="Q16" s="207">
        <f>ROUND(SUMPRODUCT(Q6:Q13,K6:K13)/SUMPRODUCT((Q6:Q13&gt;0)*(K6:K13)),2)</f>
        <v>0.15</v>
      </c>
      <c r="R16" s="2309">
        <f>SUM(R6:R13)</f>
        <v>28172.14</v>
      </c>
      <c r="S16" s="208">
        <f>SUM(S6:S13)</f>
        <v>29484</v>
      </c>
      <c r="T16" s="209">
        <f>IF(SUMIF(T6:T13,"&lt;9E307")=M14,SUMIF(T6:T13,"&lt;9E307"),"有误，请检查")</f>
        <v>5307</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3">
        <f>ROUND(SUMPRODUCT(AP6:AP13,K6:K13)/SUMPRODUCT((AP6:AP13&gt;0)*(K6:K13)),3)</f>
        <v>0.93100000000000005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264</v>
      </c>
      <c r="B19" s="217">
        <v>0</v>
      </c>
      <c r="C19" s="2362" t="s">
        <v>2334</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265</v>
      </c>
      <c r="B20" s="219">
        <v>2</v>
      </c>
      <c r="C20" s="2362" t="s">
        <v>2333</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266</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267</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268</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269</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4"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5" t="s">
        <v>2336</v>
      </c>
      <c r="B27" s="226">
        <v>240</v>
      </c>
      <c r="C27" s="3098" t="s">
        <v>3742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7" t="s">
        <v>2337</v>
      </c>
      <c r="B28" s="228">
        <v>240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0" t="s">
        <v>2335</v>
      </c>
      <c r="B29" s="231">
        <v>0</v>
      </c>
      <c r="C29" s="1551"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4"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7" t="s">
        <v>274</v>
      </c>
      <c r="B31" s="229">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6" t="s">
        <v>275</v>
      </c>
      <c r="B32" s="137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5" t="s">
        <v>278</v>
      </c>
      <c r="B33" s="1377">
        <v>0.03</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279</v>
      </c>
      <c r="B34" s="232">
        <v>0.03</v>
      </c>
      <c r="C34" s="2363" t="s">
        <v>2890</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276</v>
      </c>
      <c r="B35" s="228">
        <v>200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3" t="s">
        <v>2892</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235">
        <v>1.4999999999999999E-2</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281</v>
      </c>
      <c r="B38" s="232">
        <v>1.4999999999999999E-2</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2455</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2456</v>
      </c>
      <c r="B40" s="2503">
        <f ca="1">存贷款利率!E2</f>
        <v>4.7500000000000001E-2</v>
      </c>
      <c r="C40" s="2363"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282</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39">
        <v>0.05</v>
      </c>
      <c r="C42" s="312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285</v>
      </c>
      <c r="B44" s="241">
        <v>7.0000000000000007E-2</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286</v>
      </c>
      <c r="B45" s="239">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287</v>
      </c>
      <c r="B46" s="239">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v>0</v>
      </c>
      <c r="C47" s="3098"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99"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99"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16</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294</v>
      </c>
      <c r="B53" s="250" t="s">
        <v>925</v>
      </c>
      <c r="C53" s="3100" t="s">
        <v>2900</v>
      </c>
      <c r="D53" s="3101"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3" t="s">
        <v>2902</v>
      </c>
      <c r="B54" s="186"/>
      <c r="C54" s="1992">
        <v>30</v>
      </c>
      <c r="D54" s="310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3" t="s">
        <v>2903</v>
      </c>
      <c r="B55" s="186"/>
      <c r="C55" s="1992">
        <v>24</v>
      </c>
      <c r="D55" s="310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3" t="s">
        <v>2904</v>
      </c>
      <c r="B56" s="186"/>
      <c r="C56" s="1992">
        <v>18</v>
      </c>
      <c r="D56" s="310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3" t="s">
        <v>2905</v>
      </c>
      <c r="B57" s="186">
        <v>16</v>
      </c>
      <c r="C57" s="1992">
        <v>12</v>
      </c>
      <c r="D57" s="310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3" t="s">
        <v>2906</v>
      </c>
      <c r="B58" s="186"/>
      <c r="C58" s="1992">
        <v>3</v>
      </c>
      <c r="D58" s="310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3" t="s">
        <v>2907</v>
      </c>
      <c r="B59" s="186"/>
      <c r="C59" s="1992">
        <v>1.5</v>
      </c>
      <c r="D59" s="310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3"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3"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3"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4" t="s">
        <v>2911</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634" t="s">
        <v>1664</v>
      </c>
      <c r="B1" s="3635"/>
      <c r="C1" s="3635"/>
      <c r="D1" s="3635"/>
      <c r="E1" s="3635"/>
      <c r="F1" s="3635"/>
      <c r="G1" s="3635"/>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54">
      <c r="A3" s="1226" t="s">
        <v>1667</v>
      </c>
      <c r="B3" s="1227" t="s">
        <v>1654</v>
      </c>
      <c r="C3" s="3504" t="s">
        <v>3671</v>
      </c>
      <c r="D3" s="2007"/>
      <c r="E3" s="1228" t="s">
        <v>1667</v>
      </c>
      <c r="F3" s="1229" t="s">
        <v>1655</v>
      </c>
      <c r="G3" s="3108"/>
      <c r="H3" s="2006"/>
      <c r="I3" s="2006"/>
      <c r="J3" s="2006"/>
      <c r="K3" s="2006"/>
      <c r="L3" s="2006"/>
      <c r="M3" s="2006"/>
      <c r="N3" s="2006"/>
      <c r="O3" s="2006"/>
      <c r="P3" s="2006"/>
      <c r="Q3" s="2006"/>
      <c r="R3" s="2006"/>
    </row>
    <row r="4" spans="1:18" ht="56.25">
      <c r="A4" s="1228"/>
      <c r="B4" s="1230" t="s">
        <v>1668</v>
      </c>
      <c r="C4" s="3105" t="s">
        <v>3672</v>
      </c>
      <c r="D4" s="2007"/>
      <c r="E4" s="1231"/>
      <c r="F4" s="1232" t="s">
        <v>1669</v>
      </c>
      <c r="G4" s="3106"/>
      <c r="H4" s="2006"/>
      <c r="I4" s="2006"/>
      <c r="J4" s="2006"/>
      <c r="K4" s="2006"/>
      <c r="L4" s="2006"/>
      <c r="M4" s="2006"/>
      <c r="N4" s="2006"/>
      <c r="O4" s="2006"/>
      <c r="P4" s="2006"/>
      <c r="Q4" s="2006"/>
      <c r="R4" s="2006"/>
    </row>
    <row r="5" spans="1:18" ht="14.25">
      <c r="A5" s="1228"/>
      <c r="B5" s="1230" t="s">
        <v>1670</v>
      </c>
      <c r="C5" s="3105"/>
      <c r="D5" s="2007"/>
      <c r="E5" s="1231"/>
      <c r="F5" s="1230" t="s">
        <v>2546</v>
      </c>
      <c r="G5" s="3106"/>
      <c r="H5" s="2006"/>
      <c r="I5" s="2006"/>
      <c r="J5" s="2006"/>
      <c r="K5" s="2006"/>
      <c r="L5" s="2006"/>
      <c r="M5" s="2006"/>
      <c r="N5" s="2006"/>
      <c r="O5" s="2006"/>
      <c r="P5" s="2006"/>
      <c r="Q5" s="2006"/>
      <c r="R5" s="2006"/>
    </row>
    <row r="6" spans="1:18" ht="67.5">
      <c r="A6" s="1228"/>
      <c r="B6" s="1230" t="s">
        <v>1656</v>
      </c>
      <c r="C6" s="3505" t="s">
        <v>3673</v>
      </c>
      <c r="D6" s="2007"/>
      <c r="E6" s="1231"/>
      <c r="F6" s="1230" t="s">
        <v>2547</v>
      </c>
      <c r="G6" s="3106"/>
      <c r="H6" s="2006"/>
      <c r="I6" s="2006"/>
      <c r="J6" s="2006"/>
      <c r="K6" s="2006"/>
      <c r="L6" s="2006"/>
      <c r="M6" s="2006"/>
      <c r="N6" s="2006"/>
      <c r="O6" s="2006"/>
      <c r="P6" s="2006"/>
      <c r="Q6" s="2006"/>
      <c r="R6" s="2006"/>
    </row>
    <row r="7" spans="1:18" ht="95.25" thickBot="1">
      <c r="A7" s="1228"/>
      <c r="B7" s="1230" t="s">
        <v>2546</v>
      </c>
      <c r="C7" s="3505" t="s">
        <v>3675</v>
      </c>
      <c r="D7" s="2008"/>
      <c r="E7" s="1233"/>
      <c r="F7" s="1234" t="s">
        <v>1671</v>
      </c>
      <c r="G7" s="3109"/>
      <c r="H7" s="2006"/>
      <c r="I7" s="2006"/>
      <c r="J7" s="2006"/>
      <c r="K7" s="2006"/>
      <c r="L7" s="2006"/>
      <c r="M7" s="2006"/>
      <c r="N7" s="2006"/>
      <c r="O7" s="2006"/>
      <c r="P7" s="2006"/>
      <c r="Q7" s="2006"/>
      <c r="R7" s="2006"/>
    </row>
    <row r="8" spans="1:18" ht="14.25">
      <c r="A8" s="1228"/>
      <c r="B8" s="1230" t="s">
        <v>2547</v>
      </c>
      <c r="C8" s="3106"/>
      <c r="D8" s="2008"/>
      <c r="E8" s="2008"/>
      <c r="F8" s="1552"/>
      <c r="G8" s="1552"/>
      <c r="H8" s="2006"/>
      <c r="I8" s="2006"/>
      <c r="J8" s="2006"/>
      <c r="K8" s="2006"/>
      <c r="L8" s="2006"/>
      <c r="M8" s="2006"/>
      <c r="N8" s="2006"/>
      <c r="O8" s="2006"/>
      <c r="P8" s="2006"/>
      <c r="Q8" s="2006"/>
      <c r="R8" s="2006"/>
    </row>
    <row r="9" spans="1:18">
      <c r="A9" s="1228"/>
      <c r="B9" s="1230" t="s">
        <v>1657</v>
      </c>
      <c r="C9" s="3506" t="s">
        <v>3674</v>
      </c>
      <c r="D9" s="2007"/>
      <c r="E9" s="2008"/>
      <c r="F9" s="1552"/>
      <c r="G9" s="1552"/>
      <c r="H9" s="2006"/>
      <c r="I9" s="2006"/>
      <c r="J9" s="2006"/>
      <c r="K9" s="2006"/>
      <c r="L9" s="2006"/>
      <c r="M9" s="2006"/>
      <c r="N9" s="2006"/>
      <c r="O9" s="2006"/>
      <c r="P9" s="2006"/>
      <c r="Q9" s="2006"/>
      <c r="R9" s="2006"/>
    </row>
    <row r="10" spans="1:18" s="2014" customFormat="1" ht="15" thickBot="1">
      <c r="A10" s="1235"/>
      <c r="B10" s="1236" t="s">
        <v>1672</v>
      </c>
      <c r="C10" s="3107"/>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1673</v>
      </c>
      <c r="B13" s="2600"/>
      <c r="C13" s="2600"/>
      <c r="D13" s="1223"/>
      <c r="E13" s="2600"/>
      <c r="F13" s="2600"/>
      <c r="G13" s="2600"/>
    </row>
    <row r="14" spans="1:18" ht="14.25" thickBot="1">
      <c r="A14" s="1237"/>
      <c r="B14" s="1238"/>
      <c r="C14" s="1239" t="s">
        <v>1665</v>
      </c>
      <c r="D14" s="2007"/>
      <c r="E14" s="1240"/>
      <c r="F14" s="1240"/>
      <c r="G14" s="1222" t="s">
        <v>1666</v>
      </c>
    </row>
    <row r="15" spans="1:18" ht="54">
      <c r="A15" s="2610" t="s">
        <v>1658</v>
      </c>
      <c r="B15" s="1241" t="s">
        <v>1654</v>
      </c>
      <c r="C15" s="1242" t="str">
        <f>C3</f>
        <v>周边居住用地比例、居住小区规模和社区发展完善程度（先锋花园 金科天籁城 华远锦悦）</v>
      </c>
      <c r="D15" s="2007"/>
      <c r="E15" s="2607" t="s">
        <v>1659</v>
      </c>
      <c r="F15" s="1241" t="s">
        <v>1674</v>
      </c>
      <c r="G15" s="1243">
        <f>G3</f>
        <v>0</v>
      </c>
    </row>
    <row r="16" spans="1:18" ht="54">
      <c r="A16" s="2611"/>
      <c r="B16" s="1244" t="s">
        <v>1668</v>
      </c>
      <c r="C16" s="1245" t="str">
        <f>C4</f>
        <v>XX商圈，商业氛围，人流量（万达广场 大明宫购物中心 大明宫中央广场 建材）</v>
      </c>
      <c r="D16" s="2007"/>
      <c r="E16" s="2608"/>
      <c r="F16" s="1246" t="s">
        <v>1669</v>
      </c>
      <c r="G16" s="1004">
        <f>G4</f>
        <v>0</v>
      </c>
    </row>
    <row r="17" spans="1:7" ht="14.25">
      <c r="A17" s="2611"/>
      <c r="B17" s="1244" t="s">
        <v>1670</v>
      </c>
      <c r="C17" s="1245">
        <f>C5</f>
        <v>0</v>
      </c>
      <c r="D17" s="2008"/>
      <c r="E17" s="2608"/>
      <c r="F17" s="1246" t="s">
        <v>1675</v>
      </c>
      <c r="G17" s="2817"/>
    </row>
    <row r="18" spans="1:7" ht="67.5">
      <c r="A18" s="2611"/>
      <c r="B18" s="1246" t="s">
        <v>1656</v>
      </c>
      <c r="C18" s="1004" t="str">
        <f>C6</f>
        <v>周边道路状况、公共交通通达情况、停车便捷程度（二环北路 17路 209路 245路 地铁3号线辛家庙站2公里</v>
      </c>
      <c r="D18" s="2008"/>
      <c r="E18" s="2608"/>
      <c r="F18" s="1246" t="s">
        <v>1671</v>
      </c>
      <c r="G18" s="1004">
        <f>G7</f>
        <v>0</v>
      </c>
    </row>
    <row r="19" spans="1:7" ht="14.25">
      <c r="A19" s="2611"/>
      <c r="B19" s="1246" t="s">
        <v>1660</v>
      </c>
      <c r="C19" s="2817"/>
      <c r="D19" s="2007"/>
      <c r="E19" s="2608"/>
      <c r="F19" s="1230" t="s">
        <v>2546</v>
      </c>
      <c r="G19" s="1004">
        <f>G5</f>
        <v>0</v>
      </c>
    </row>
    <row r="20" spans="1:7">
      <c r="A20" s="2611"/>
      <c r="B20" s="1246" t="s">
        <v>1661</v>
      </c>
      <c r="C20" s="1245" t="str">
        <f>C9</f>
        <v>大明宫国家遗址公园</v>
      </c>
      <c r="D20" s="2008"/>
      <c r="E20" s="2608"/>
      <c r="F20" s="1230" t="s">
        <v>2547</v>
      </c>
      <c r="G20" s="1004">
        <f>G6</f>
        <v>0</v>
      </c>
    </row>
    <row r="21" spans="1:7" ht="94.5">
      <c r="A21" s="2611"/>
      <c r="B21" s="1230" t="s">
        <v>2546</v>
      </c>
      <c r="C21" s="1004" t="str">
        <f>C7</f>
        <v>1.5公里 西安市第三医院 中国工商银行(西安北二环东段支行) 中国农业银行(太华北路支行) 西安市未央区幼儿园 大明宫小学 陕西师范大学锦园国际中学 永辉超市</v>
      </c>
      <c r="D21" s="2007"/>
      <c r="E21" s="2608"/>
      <c r="F21" s="1246" t="s">
        <v>1662</v>
      </c>
      <c r="G21" s="3110"/>
    </row>
    <row r="22" spans="1:7" ht="14.25">
      <c r="A22" s="2611"/>
      <c r="B22" s="1230" t="s">
        <v>2547</v>
      </c>
      <c r="C22" s="1004">
        <f>C8</f>
        <v>0</v>
      </c>
      <c r="D22" s="2007"/>
      <c r="E22" s="2608"/>
      <c r="F22" s="1246" t="s">
        <v>1672</v>
      </c>
      <c r="G22" s="2817"/>
    </row>
    <row r="23" spans="1:7" ht="15" thickBot="1">
      <c r="A23" s="2611"/>
      <c r="B23" s="1246" t="s">
        <v>1662</v>
      </c>
      <c r="C23" s="3110"/>
      <c r="E23" s="2609"/>
      <c r="F23" s="1247" t="s">
        <v>1676</v>
      </c>
      <c r="G23" s="3111"/>
    </row>
    <row r="24" spans="1:7" ht="14.25" thickBot="1">
      <c r="A24" s="2612"/>
      <c r="B24" s="1247" t="s">
        <v>1663</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2843</v>
      </c>
      <c r="B1" s="3069">
        <f>SUM(B14:B23)</f>
        <v>113800</v>
      </c>
      <c r="C1" s="3070"/>
      <c r="D1" s="3070"/>
      <c r="E1" s="3070"/>
      <c r="F1" s="3070"/>
    </row>
    <row r="2" spans="1:9" ht="16.5">
      <c r="A2" s="3069" t="s">
        <v>2844</v>
      </c>
      <c r="B2" s="3069">
        <f>SUM(C14:C23)</f>
        <v>28172.14</v>
      </c>
      <c r="C2" s="3070"/>
      <c r="D2" s="3070"/>
      <c r="E2" s="3070"/>
      <c r="F2" s="3070"/>
    </row>
    <row r="3" spans="1:9" ht="16.5">
      <c r="A3" s="3069" t="s">
        <v>2845</v>
      </c>
      <c r="B3" s="3071">
        <f>项目基本情况!D3</f>
        <v>43159</v>
      </c>
      <c r="C3" s="3070"/>
      <c r="D3" s="3070"/>
      <c r="E3" s="3070"/>
      <c r="F3" s="3070"/>
    </row>
    <row r="4" spans="1:9" ht="33">
      <c r="A4" s="3069" t="s">
        <v>2846</v>
      </c>
      <c r="B4" s="3069" t="s">
        <v>2847</v>
      </c>
      <c r="C4" s="3069" t="s">
        <v>2848</v>
      </c>
      <c r="D4" s="3069" t="s">
        <v>2849</v>
      </c>
      <c r="E4" s="3070"/>
      <c r="F4" s="3070"/>
    </row>
    <row r="5" spans="1:9" ht="16.5">
      <c r="A5" s="3069" t="s">
        <v>2850</v>
      </c>
      <c r="B5" s="3069">
        <f ca="1">SUM(D14:D23)</f>
        <v>66666</v>
      </c>
      <c r="C5" s="3069">
        <f ca="1">ROUND(B5*10000/$B$1,0)</f>
        <v>5858</v>
      </c>
      <c r="D5" s="3069">
        <f ca="1">ROUND(B5*10000/$B$2,0)</f>
        <v>23664</v>
      </c>
      <c r="E5" s="3070"/>
      <c r="F5" s="3070"/>
    </row>
    <row r="6" spans="1:9" ht="16.5">
      <c r="A6" s="3069" t="s">
        <v>2851</v>
      </c>
      <c r="B6" s="3069">
        <f ca="1">SUM(G14:G23)</f>
        <v>65259</v>
      </c>
      <c r="C6" s="3069">
        <f t="shared" ref="C6:C8" ca="1" si="0">ROUND(B6*10000/$B$1,0)</f>
        <v>5735</v>
      </c>
      <c r="D6" s="3069">
        <f t="shared" ref="D6:D8" ca="1" si="1">ROUND(B6*10000/$B$2,0)</f>
        <v>23164</v>
      </c>
      <c r="E6" s="3070"/>
      <c r="F6" s="3070"/>
    </row>
    <row r="7" spans="1:9" ht="16.5">
      <c r="A7" s="3069" t="s">
        <v>2852</v>
      </c>
      <c r="B7" s="3069">
        <f>SUM(H14:H23)</f>
        <v>0</v>
      </c>
      <c r="C7" s="3069">
        <f t="shared" si="0"/>
        <v>0</v>
      </c>
      <c r="D7" s="3069">
        <f t="shared" si="1"/>
        <v>0</v>
      </c>
      <c r="E7" s="3070"/>
      <c r="F7" s="3070"/>
    </row>
    <row r="8" spans="1:9" ht="16.5">
      <c r="A8" s="3069" t="s">
        <v>2853</v>
      </c>
      <c r="B8" s="3069">
        <f>SUM(I14:I23)</f>
        <v>0</v>
      </c>
      <c r="C8" s="3069">
        <f t="shared" si="0"/>
        <v>0</v>
      </c>
      <c r="D8" s="3069">
        <f t="shared" si="1"/>
        <v>0</v>
      </c>
      <c r="E8" s="3070"/>
      <c r="F8" s="3070"/>
    </row>
    <row r="9" spans="1:9" ht="16.5">
      <c r="A9" s="3069" t="s">
        <v>2854</v>
      </c>
      <c r="B9" s="3072"/>
      <c r="C9" s="3070"/>
      <c r="D9" s="3070"/>
      <c r="E9" s="3070"/>
      <c r="F9" s="3070"/>
    </row>
    <row r="10" spans="1:9" ht="16.5">
      <c r="A10" s="3069" t="s">
        <v>2855</v>
      </c>
      <c r="B10" s="3072"/>
      <c r="C10" s="3070"/>
      <c r="D10" s="3070"/>
      <c r="E10" s="3070"/>
      <c r="F10" s="3070"/>
    </row>
    <row r="11" spans="1:9" ht="16.5">
      <c r="A11" s="3069" t="s">
        <v>2872</v>
      </c>
      <c r="B11" s="3072"/>
      <c r="C11" s="3070"/>
      <c r="D11" s="3070"/>
      <c r="E11" s="3070"/>
      <c r="F11" s="3070"/>
    </row>
    <row r="12" spans="1:9" ht="16.5">
      <c r="A12" s="3070"/>
      <c r="B12" s="3070"/>
      <c r="C12" s="3070"/>
      <c r="D12" s="3070"/>
      <c r="E12" s="3070"/>
      <c r="F12" s="3070"/>
    </row>
    <row r="13" spans="1:9" ht="33">
      <c r="A13" s="3075" t="s">
        <v>2871</v>
      </c>
      <c r="B13" s="3073" t="s">
        <v>2843</v>
      </c>
      <c r="C13" s="3073" t="s">
        <v>2844</v>
      </c>
      <c r="D13" s="3073" t="s">
        <v>2856</v>
      </c>
      <c r="E13" s="3069" t="s">
        <v>2870</v>
      </c>
      <c r="F13" s="3069" t="s">
        <v>2849</v>
      </c>
      <c r="G13" s="3073" t="s">
        <v>2857</v>
      </c>
      <c r="H13" s="3073" t="s">
        <v>2858</v>
      </c>
      <c r="I13" s="3073" t="s">
        <v>2859</v>
      </c>
    </row>
    <row r="14" spans="1:9" ht="16.5">
      <c r="A14" s="3076" t="s">
        <v>2869</v>
      </c>
      <c r="B14" s="3073">
        <f>结果表!L38</f>
        <v>113800</v>
      </c>
      <c r="C14" s="3073">
        <f>结果表!K38</f>
        <v>28172.14</v>
      </c>
      <c r="D14" s="3073">
        <f ca="1">结果表!C42</f>
        <v>66666</v>
      </c>
      <c r="E14" s="3073">
        <f ca="1">ROUND(D14*10000/B14,0)</f>
        <v>5858</v>
      </c>
      <c r="F14" s="3073">
        <f ca="1">ROUND(D14*10000/C14,0)</f>
        <v>23664</v>
      </c>
      <c r="G14" s="3073">
        <f ca="1">结果表!C44</f>
        <v>65259</v>
      </c>
      <c r="H14" s="3073" t="str">
        <f>结果表!C45</f>
        <v>——</v>
      </c>
      <c r="I14" s="3073" t="str">
        <f>结果表!C46</f>
        <v>——</v>
      </c>
    </row>
    <row r="15" spans="1:9" ht="16.5">
      <c r="A15" s="3076" t="s">
        <v>2860</v>
      </c>
      <c r="B15" s="3077"/>
      <c r="C15" s="3077"/>
      <c r="D15" s="3077"/>
      <c r="E15" s="3073" t="e">
        <f t="shared" ref="E15:E23" si="2">ROUND(D15*10000/B15,0)</f>
        <v>#DIV/0!</v>
      </c>
      <c r="F15" s="3073" t="e">
        <f t="shared" ref="F15:F23" si="3">ROUND(D15*10000/C15,0)</f>
        <v>#DIV/0!</v>
      </c>
      <c r="G15" s="3074"/>
      <c r="H15" s="3074"/>
      <c r="I15" s="3077"/>
    </row>
    <row r="16" spans="1:9" ht="16.5">
      <c r="A16" s="3076" t="s">
        <v>2861</v>
      </c>
      <c r="B16" s="3077"/>
      <c r="C16" s="3077"/>
      <c r="D16" s="3077"/>
      <c r="E16" s="3073" t="e">
        <f t="shared" si="2"/>
        <v>#DIV/0!</v>
      </c>
      <c r="F16" s="3073" t="e">
        <f t="shared" si="3"/>
        <v>#DIV/0!</v>
      </c>
      <c r="G16" s="3074"/>
      <c r="H16" s="3074"/>
      <c r="I16" s="3077"/>
    </row>
    <row r="17" spans="1:9" ht="16.5">
      <c r="A17" s="3076" t="s">
        <v>2862</v>
      </c>
      <c r="B17" s="3077"/>
      <c r="C17" s="3077"/>
      <c r="D17" s="3077"/>
      <c r="E17" s="3073" t="e">
        <f t="shared" si="2"/>
        <v>#DIV/0!</v>
      </c>
      <c r="F17" s="3073" t="e">
        <f t="shared" si="3"/>
        <v>#DIV/0!</v>
      </c>
      <c r="G17" s="3074"/>
      <c r="H17" s="3074"/>
      <c r="I17" s="3077"/>
    </row>
    <row r="18" spans="1:9" ht="16.5">
      <c r="A18" s="3076" t="s">
        <v>2863</v>
      </c>
      <c r="B18" s="3077"/>
      <c r="C18" s="3077"/>
      <c r="D18" s="3077"/>
      <c r="E18" s="3073" t="e">
        <f t="shared" si="2"/>
        <v>#DIV/0!</v>
      </c>
      <c r="F18" s="3073" t="e">
        <f t="shared" si="3"/>
        <v>#DIV/0!</v>
      </c>
      <c r="G18" s="3077"/>
      <c r="H18" s="3077"/>
      <c r="I18" s="3077"/>
    </row>
    <row r="19" spans="1:9" ht="16.5">
      <c r="A19" s="3076" t="s">
        <v>2864</v>
      </c>
      <c r="B19" s="3077"/>
      <c r="C19" s="3077"/>
      <c r="D19" s="3077"/>
      <c r="E19" s="3073" t="e">
        <f t="shared" si="2"/>
        <v>#DIV/0!</v>
      </c>
      <c r="F19" s="3073" t="e">
        <f t="shared" si="3"/>
        <v>#DIV/0!</v>
      </c>
      <c r="G19" s="3077"/>
      <c r="H19" s="3077"/>
      <c r="I19" s="3077"/>
    </row>
    <row r="20" spans="1:9" ht="16.5">
      <c r="A20" s="3076" t="s">
        <v>2865</v>
      </c>
      <c r="B20" s="3077"/>
      <c r="C20" s="3077"/>
      <c r="D20" s="3077"/>
      <c r="E20" s="3073" t="e">
        <f t="shared" si="2"/>
        <v>#DIV/0!</v>
      </c>
      <c r="F20" s="3073" t="e">
        <f t="shared" si="3"/>
        <v>#DIV/0!</v>
      </c>
      <c r="G20" s="3077"/>
      <c r="H20" s="3077"/>
      <c r="I20" s="3077"/>
    </row>
    <row r="21" spans="1:9" ht="16.5">
      <c r="A21" s="3076" t="s">
        <v>2866</v>
      </c>
      <c r="B21" s="3077"/>
      <c r="C21" s="3077"/>
      <c r="D21" s="3077"/>
      <c r="E21" s="3073" t="e">
        <f t="shared" si="2"/>
        <v>#DIV/0!</v>
      </c>
      <c r="F21" s="3073" t="e">
        <f t="shared" si="3"/>
        <v>#DIV/0!</v>
      </c>
      <c r="G21" s="3077"/>
      <c r="H21" s="3077"/>
      <c r="I21" s="3077"/>
    </row>
    <row r="22" spans="1:9" ht="16.5">
      <c r="A22" s="3076" t="s">
        <v>2867</v>
      </c>
      <c r="B22" s="3077"/>
      <c r="C22" s="3077"/>
      <c r="D22" s="3077"/>
      <c r="E22" s="3073" t="e">
        <f t="shared" si="2"/>
        <v>#DIV/0!</v>
      </c>
      <c r="F22" s="3073" t="e">
        <f t="shared" si="3"/>
        <v>#DIV/0!</v>
      </c>
      <c r="G22" s="3077"/>
      <c r="H22" s="3077"/>
      <c r="I22" s="3077"/>
    </row>
    <row r="23" spans="1:9" ht="16.5">
      <c r="A23" s="3076" t="s">
        <v>2868</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16" zoomScaleSheetLayoutView="100" zoomScalePageLayoutView="80" workbookViewId="0">
      <selection activeCell="M30" sqref="M3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4" t="s">
        <v>2055</v>
      </c>
      <c r="B1" s="1775"/>
      <c r="C1" s="1803" t="s">
        <v>2056</v>
      </c>
      <c r="D1" s="1804" t="s">
        <v>3194</v>
      </c>
      <c r="E1" s="1803" t="s">
        <v>2057</v>
      </c>
      <c r="F1" s="1805" t="s">
        <v>3195</v>
      </c>
      <c r="G1" s="310"/>
      <c r="H1" s="310"/>
      <c r="I1" s="310"/>
      <c r="J1" s="2027"/>
      <c r="K1" s="2027"/>
      <c r="L1" s="2027"/>
      <c r="M1" s="2027"/>
      <c r="N1" s="2027"/>
      <c r="O1" s="2027"/>
      <c r="P1" s="2027"/>
      <c r="Q1" s="2027"/>
      <c r="R1" s="2027"/>
      <c r="S1" s="2027"/>
      <c r="T1" s="2027"/>
      <c r="U1" s="2027"/>
      <c r="V1" s="2027"/>
    </row>
    <row r="2" spans="1:22" ht="21.75" customHeight="1" thickBot="1">
      <c r="A2" s="3681" t="str">
        <f>项目基本情况!K2</f>
        <v>陕西省西安市未央区凤城一路以南、百寰国际项目用地以北、先锋南北二路以西出让国有建设用地使用权</v>
      </c>
      <c r="B2" s="3682"/>
      <c r="C2" s="3683"/>
      <c r="D2" s="3683"/>
      <c r="E2" s="3683"/>
      <c r="F2" s="3683"/>
      <c r="G2" s="3682"/>
      <c r="H2" s="3682"/>
      <c r="I2" s="3684"/>
      <c r="J2" s="2028"/>
      <c r="K2" s="2027"/>
      <c r="L2" s="2027"/>
      <c r="M2" s="2027"/>
      <c r="N2" s="2027"/>
      <c r="O2" s="2027"/>
      <c r="P2" s="2027"/>
      <c r="Q2" s="2027"/>
      <c r="R2" s="2027"/>
      <c r="S2" s="2027"/>
      <c r="T2" s="2027"/>
      <c r="U2" s="2027"/>
      <c r="V2" s="2027"/>
    </row>
    <row r="3" spans="1:22" ht="14.25">
      <c r="A3" s="3692" t="s">
        <v>298</v>
      </c>
      <c r="B3" s="3693"/>
      <c r="C3" s="3693"/>
      <c r="D3" s="3693"/>
      <c r="E3" s="3693"/>
      <c r="F3" s="3693"/>
      <c r="G3" s="3693"/>
      <c r="H3" s="3693"/>
      <c r="I3" s="3693"/>
      <c r="J3" s="2028"/>
      <c r="K3" s="2027"/>
      <c r="L3" s="2027"/>
      <c r="M3" s="2027"/>
      <c r="N3" s="2027"/>
      <c r="O3" s="2027"/>
      <c r="P3" s="2027"/>
      <c r="Q3" s="2027"/>
      <c r="R3" s="2027"/>
      <c r="S3" s="2027"/>
      <c r="T3" s="2027"/>
      <c r="U3" s="2027"/>
      <c r="V3" s="2027"/>
    </row>
    <row r="4" spans="1:22" ht="14.25">
      <c r="A4" s="257" t="s">
        <v>299</v>
      </c>
      <c r="B4" s="258" t="s">
        <v>300</v>
      </c>
      <c r="C4" s="259" t="s">
        <v>3773</v>
      </c>
      <c r="D4" s="259" t="s">
        <v>3193</v>
      </c>
      <c r="E4" s="3656" t="s">
        <v>301</v>
      </c>
      <c r="F4" s="3698"/>
      <c r="G4" s="3698"/>
      <c r="H4" s="3698"/>
      <c r="I4" s="3657"/>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685" t="s">
        <v>302</v>
      </c>
      <c r="B5" s="3686">
        <v>25</v>
      </c>
      <c r="C5" s="3694"/>
      <c r="D5" s="3697"/>
      <c r="E5" s="260" t="s">
        <v>303</v>
      </c>
      <c r="F5" s="261"/>
      <c r="G5" s="261"/>
      <c r="H5" s="261"/>
      <c r="I5" s="262"/>
      <c r="J5" s="2028"/>
      <c r="K5" s="2027"/>
      <c r="L5" s="2027"/>
      <c r="M5" s="2027"/>
      <c r="N5" s="2027"/>
      <c r="O5" s="2027"/>
      <c r="P5" s="2027"/>
      <c r="Q5" s="2027"/>
      <c r="R5" s="2027"/>
      <c r="S5" s="2027"/>
      <c r="T5" s="2027"/>
      <c r="U5" s="2027"/>
      <c r="V5" s="2027"/>
    </row>
    <row r="6" spans="1:22" ht="14.25">
      <c r="A6" s="3685"/>
      <c r="B6" s="3686"/>
      <c r="C6" s="3695"/>
      <c r="D6" s="3697"/>
      <c r="E6" s="260" t="s">
        <v>304</v>
      </c>
      <c r="F6" s="261"/>
      <c r="G6" s="261"/>
      <c r="H6" s="261"/>
      <c r="I6" s="262"/>
      <c r="J6" s="2028"/>
      <c r="K6" s="2027"/>
      <c r="L6" s="2027"/>
      <c r="M6" s="2027"/>
      <c r="N6" s="2027"/>
      <c r="O6" s="2027"/>
      <c r="P6" s="2027"/>
      <c r="Q6" s="2027"/>
      <c r="R6" s="2027"/>
      <c r="S6" s="2027"/>
      <c r="T6" s="2027"/>
      <c r="U6" s="2027"/>
      <c r="V6" s="2027"/>
    </row>
    <row r="7" spans="1:22" ht="14.25">
      <c r="A7" s="3685"/>
      <c r="B7" s="3686"/>
      <c r="C7" s="3696"/>
      <c r="D7" s="3697"/>
      <c r="E7" s="260" t="s">
        <v>305</v>
      </c>
      <c r="F7" s="261"/>
      <c r="G7" s="261"/>
      <c r="H7" s="261"/>
      <c r="I7" s="262"/>
      <c r="J7" s="2028"/>
      <c r="K7" s="2027"/>
      <c r="L7" s="2027"/>
      <c r="M7" s="2027"/>
      <c r="N7" s="2027"/>
      <c r="O7" s="2027"/>
      <c r="P7" s="2027"/>
      <c r="Q7" s="2027"/>
      <c r="R7" s="2027"/>
      <c r="S7" s="2027"/>
      <c r="T7" s="2027"/>
      <c r="U7" s="2027"/>
      <c r="V7" s="2027"/>
    </row>
    <row r="8" spans="1:22" ht="14.25">
      <c r="A8" s="3685" t="s">
        <v>306</v>
      </c>
      <c r="B8" s="3686">
        <v>15</v>
      </c>
      <c r="C8" s="3694"/>
      <c r="D8" s="3697"/>
      <c r="E8" s="260" t="s">
        <v>307</v>
      </c>
      <c r="F8" s="261"/>
      <c r="G8" s="261"/>
      <c r="H8" s="261"/>
      <c r="I8" s="262"/>
      <c r="J8" s="2028"/>
      <c r="K8" s="2027"/>
      <c r="L8" s="2027"/>
      <c r="M8" s="2027"/>
      <c r="N8" s="2027"/>
      <c r="O8" s="2027"/>
      <c r="P8" s="2027"/>
      <c r="Q8" s="2027"/>
      <c r="R8" s="2027"/>
      <c r="S8" s="2027"/>
      <c r="T8" s="2027"/>
      <c r="U8" s="2027"/>
      <c r="V8" s="2027"/>
    </row>
    <row r="9" spans="1:22" ht="14.25">
      <c r="A9" s="3685"/>
      <c r="B9" s="3686"/>
      <c r="C9" s="3696"/>
      <c r="D9" s="3697"/>
      <c r="E9" s="260" t="s">
        <v>308</v>
      </c>
      <c r="F9" s="261"/>
      <c r="G9" s="261"/>
      <c r="H9" s="261"/>
      <c r="I9" s="262"/>
      <c r="J9" s="2028"/>
      <c r="K9" s="2027"/>
      <c r="L9" s="2027"/>
      <c r="M9" s="2027"/>
      <c r="N9" s="2027"/>
      <c r="O9" s="2027"/>
      <c r="P9" s="2027"/>
      <c r="Q9" s="2027"/>
      <c r="R9" s="2027"/>
      <c r="S9" s="2027"/>
      <c r="T9" s="2027"/>
      <c r="U9" s="2027"/>
      <c r="V9" s="2027"/>
    </row>
    <row r="10" spans="1:22" ht="14.25">
      <c r="A10" s="3685" t="s">
        <v>309</v>
      </c>
      <c r="B10" s="3686">
        <v>15</v>
      </c>
      <c r="C10" s="3694"/>
      <c r="D10" s="3697"/>
      <c r="E10" s="260" t="s">
        <v>310</v>
      </c>
      <c r="F10" s="261"/>
      <c r="G10" s="261"/>
      <c r="H10" s="261"/>
      <c r="I10" s="262"/>
      <c r="J10" s="2028"/>
      <c r="K10" s="2027"/>
      <c r="L10" s="2027"/>
      <c r="M10" s="2027"/>
      <c r="N10" s="2027"/>
      <c r="O10" s="2027"/>
      <c r="P10" s="2027"/>
      <c r="Q10" s="2027"/>
      <c r="R10" s="2027"/>
      <c r="S10" s="2027"/>
      <c r="T10" s="2027"/>
      <c r="U10" s="2027"/>
      <c r="V10" s="2027"/>
    </row>
    <row r="11" spans="1:22" ht="14.25">
      <c r="A11" s="3685"/>
      <c r="B11" s="3686"/>
      <c r="C11" s="3696"/>
      <c r="D11" s="3697"/>
      <c r="E11" s="260" t="s">
        <v>311</v>
      </c>
      <c r="F11" s="261"/>
      <c r="G11" s="261"/>
      <c r="H11" s="261"/>
      <c r="I11" s="262"/>
      <c r="J11" s="2028"/>
      <c r="K11" s="2027"/>
      <c r="L11" s="2027"/>
      <c r="M11" s="2027"/>
      <c r="N11" s="2027"/>
      <c r="O11" s="2027"/>
      <c r="P11" s="2027"/>
      <c r="Q11" s="2027"/>
      <c r="R11" s="2027"/>
      <c r="S11" s="2027"/>
      <c r="T11" s="2027"/>
      <c r="U11" s="2027"/>
      <c r="V11" s="2027"/>
    </row>
    <row r="12" spans="1:22" ht="14.25">
      <c r="A12" s="3685" t="s">
        <v>312</v>
      </c>
      <c r="B12" s="3686">
        <v>15</v>
      </c>
      <c r="C12" s="3694"/>
      <c r="D12" s="3697"/>
      <c r="E12" s="260" t="s">
        <v>313</v>
      </c>
      <c r="F12" s="261"/>
      <c r="G12" s="261"/>
      <c r="H12" s="261"/>
      <c r="I12" s="262"/>
      <c r="J12" s="2028"/>
      <c r="K12" s="2027"/>
      <c r="L12" s="2027"/>
      <c r="M12" s="2027"/>
      <c r="N12" s="2027"/>
      <c r="O12" s="2027"/>
      <c r="P12" s="2027"/>
      <c r="Q12" s="2027"/>
      <c r="R12" s="2027"/>
      <c r="S12" s="2027"/>
      <c r="T12" s="2027"/>
      <c r="U12" s="2027"/>
      <c r="V12" s="2027"/>
    </row>
    <row r="13" spans="1:22" ht="14.25">
      <c r="A13" s="3685"/>
      <c r="B13" s="3686"/>
      <c r="C13" s="3696"/>
      <c r="D13" s="3697"/>
      <c r="E13" s="260" t="s">
        <v>314</v>
      </c>
      <c r="F13" s="261"/>
      <c r="G13" s="261"/>
      <c r="H13" s="261"/>
      <c r="I13" s="262"/>
      <c r="J13" s="2028"/>
      <c r="K13" s="2027"/>
      <c r="L13" s="2027"/>
      <c r="M13" s="2027"/>
      <c r="N13" s="2027"/>
      <c r="O13" s="2027"/>
      <c r="P13" s="2027"/>
      <c r="Q13" s="2027"/>
      <c r="R13" s="2027"/>
      <c r="S13" s="2027"/>
      <c r="T13" s="2027"/>
      <c r="U13" s="2027"/>
      <c r="V13" s="2027"/>
    </row>
    <row r="14" spans="1:22" ht="14.25">
      <c r="A14" s="3685" t="s">
        <v>315</v>
      </c>
      <c r="B14" s="3686">
        <v>30</v>
      </c>
      <c r="C14" s="3699">
        <v>5</v>
      </c>
      <c r="D14" s="3702">
        <v>5</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685"/>
      <c r="B15" s="3686"/>
      <c r="C15" s="3700"/>
      <c r="D15" s="3702"/>
      <c r="E15" s="260" t="s">
        <v>317</v>
      </c>
      <c r="F15" s="261"/>
      <c r="G15" s="261"/>
      <c r="H15" s="261"/>
      <c r="I15" s="262"/>
      <c r="J15" s="2028"/>
      <c r="K15" s="2027"/>
      <c r="L15" s="2027"/>
      <c r="M15" s="2027"/>
      <c r="N15" s="2027"/>
      <c r="O15" s="2027"/>
      <c r="P15" s="2027"/>
      <c r="Q15" s="2027"/>
      <c r="R15" s="2027"/>
      <c r="S15" s="2027"/>
      <c r="T15" s="2027"/>
      <c r="U15" s="2027"/>
      <c r="V15" s="2027"/>
    </row>
    <row r="16" spans="1:22" ht="14.25">
      <c r="A16" s="3685"/>
      <c r="B16" s="3686"/>
      <c r="C16" s="3701"/>
      <c r="D16" s="3702"/>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4"/>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5"/>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60320</v>
      </c>
      <c r="D19" s="270">
        <f ca="1">SUMIF(INDIRECT("'"&amp;D4&amp;"'"&amp;"!A:A"),结果表!B19,INDIRECT("'"&amp;D4&amp;"'"&amp;"!B:B"))</f>
        <v>73012</v>
      </c>
      <c r="E19" s="267" t="s">
        <v>323</v>
      </c>
      <c r="F19" s="268" t="s">
        <v>322</v>
      </c>
      <c r="G19" s="271">
        <f ca="1">ROUND(C19*$C$18+D19*$D$18,0)</f>
        <v>66666</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5301</v>
      </c>
      <c r="D20" s="276">
        <f ca="1">SUMIF(INDIRECT("'"&amp;D4&amp;"'"&amp;"!A:A"),结果表!B20,INDIRECT("'"&amp;D4&amp;"'"&amp;"!B:B"))</f>
        <v>6416</v>
      </c>
      <c r="E20" s="273"/>
      <c r="F20" s="274" t="s">
        <v>325</v>
      </c>
      <c r="G20" s="277">
        <f ca="1">ROUND(C20*$C$18+D20*$D$18,0)</f>
        <v>5859</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21411</v>
      </c>
      <c r="D21" s="151">
        <f ca="1">SUMIF(INDIRECT("'"&amp;D4&amp;"'"&amp;"!A:A"),结果表!B21,INDIRECT("'"&amp;D4&amp;"'"&amp;"!B:B"))</f>
        <v>25916</v>
      </c>
      <c r="E21" s="273"/>
      <c r="F21" s="279" t="s">
        <v>327</v>
      </c>
      <c r="G21" s="281">
        <f ca="1">ROUND(C21*$C$18+D21*$D$18,0)</f>
        <v>23664</v>
      </c>
      <c r="H21" s="1250" t="s">
        <v>326</v>
      </c>
      <c r="I21" s="310"/>
      <c r="J21" s="2027"/>
      <c r="K21" s="2027"/>
      <c r="L21" s="2027"/>
      <c r="M21" s="2027"/>
      <c r="N21" s="2027"/>
      <c r="O21" s="2027"/>
      <c r="P21" s="2027"/>
      <c r="Q21" s="2027"/>
      <c r="R21" s="2027"/>
      <c r="S21" s="2027"/>
      <c r="T21" s="2027"/>
      <c r="U21" s="2027"/>
      <c r="V21" s="2027"/>
    </row>
    <row r="22" spans="1:26" ht="15.75" thickBot="1">
      <c r="A22" s="126" t="s">
        <v>328</v>
      </c>
      <c r="B22" s="1251"/>
      <c r="C22" s="1252"/>
      <c r="D22" s="282">
        <f ca="1">IF(C19&lt;D19,D19/C19-1,C19/D19-1)</f>
        <v>0.21041114058355448</v>
      </c>
      <c r="E22" s="283"/>
      <c r="F22" s="284"/>
      <c r="G22" s="285">
        <f ca="1">ROUND(G19/('数据-汇总表'!D3/666.67),0)</f>
        <v>1578</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658"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704"/>
      <c r="B25" s="1320" t="s">
        <v>331</v>
      </c>
      <c r="C25" s="289">
        <f>IF(B30=0,0,C30)</f>
        <v>0</v>
      </c>
      <c r="D25" s="290"/>
      <c r="E25" s="310"/>
      <c r="F25" s="310"/>
      <c r="G25" s="310"/>
      <c r="H25" s="310"/>
      <c r="I25" s="310"/>
      <c r="J25" s="2027"/>
      <c r="K25" s="1254" t="str">
        <f ca="1">项目基本情况!B16&amp;"国有建设用地使用权价格："&amp;O38&amp;"万元"</f>
        <v>出让国有建设用地使用权价格：66666万元</v>
      </c>
      <c r="L25" s="1255"/>
      <c r="M25" s="1255"/>
      <c r="N25" s="1255"/>
      <c r="O25" s="1256"/>
      <c r="P25" s="2027"/>
      <c r="Q25" s="2027"/>
      <c r="R25" s="2027"/>
      <c r="S25" s="2027"/>
      <c r="T25" s="2027"/>
      <c r="U25" s="2027"/>
      <c r="V25" s="2027"/>
    </row>
    <row r="26" spans="1:26" s="1253" customFormat="1" ht="18">
      <c r="A26" s="292" t="s">
        <v>332</v>
      </c>
      <c r="B26" s="293" t="s">
        <v>333</v>
      </c>
      <c r="C26" s="293" t="s">
        <v>334</v>
      </c>
      <c r="D26" s="294" t="s">
        <v>335</v>
      </c>
      <c r="E26" s="310"/>
      <c r="F26" s="310"/>
      <c r="G26" s="310"/>
      <c r="H26" s="310"/>
      <c r="I26" s="310"/>
      <c r="J26" s="2027"/>
      <c r="K26" s="1257" t="str">
        <f ca="1">"大写金额：人民币"&amp;NUMBERSTRING(INT(O38*10000),2)&amp;"元整"</f>
        <v>大写金额：人民币陆亿陆仟陆佰陆拾陆万元整</v>
      </c>
      <c r="L26" s="1251"/>
      <c r="M26" s="1251"/>
      <c r="N26" s="1251"/>
      <c r="O26" s="1250"/>
      <c r="P26" s="2027"/>
      <c r="Q26" s="2027"/>
      <c r="R26" s="2027"/>
      <c r="S26" s="2027"/>
      <c r="T26" s="2027"/>
      <c r="U26" s="2027"/>
      <c r="V26" s="2027"/>
      <c r="W26" s="291"/>
      <c r="X26" s="291"/>
      <c r="Y26" s="291"/>
      <c r="Z26" s="291"/>
    </row>
    <row r="27" spans="1:26" ht="18">
      <c r="A27" s="3851" t="s">
        <v>3800</v>
      </c>
      <c r="B27" s="293">
        <v>3803</v>
      </c>
      <c r="C27" s="293">
        <v>3700</v>
      </c>
      <c r="D27" s="294">
        <f>ROUND(B27*C27/10000,0)</f>
        <v>1407</v>
      </c>
      <c r="E27" s="310"/>
      <c r="F27" s="310"/>
      <c r="G27" s="310"/>
      <c r="H27" s="310"/>
      <c r="I27" s="310"/>
      <c r="J27" s="2027"/>
      <c r="K27" s="1257" t="str">
        <f ca="1">"单位面积地价："&amp;M38&amp;"元/平方米"</f>
        <v>单位面积地价：23664元/平方米</v>
      </c>
      <c r="L27" s="1251"/>
      <c r="M27" s="1251"/>
      <c r="N27" s="1251"/>
      <c r="O27" s="1250"/>
      <c r="P27" s="2027"/>
      <c r="Q27" s="2027"/>
      <c r="R27" s="2027"/>
      <c r="S27" s="2027"/>
      <c r="T27" s="2027"/>
      <c r="U27" s="2027"/>
      <c r="V27" s="2027"/>
    </row>
    <row r="28" spans="1:26" ht="18.75" customHeight="1">
      <c r="A28" s="292"/>
      <c r="B28" s="293"/>
      <c r="C28" s="293"/>
      <c r="D28" s="294"/>
      <c r="E28" s="310"/>
      <c r="F28" s="310"/>
      <c r="G28" s="310"/>
      <c r="H28" s="310"/>
      <c r="I28" s="310"/>
      <c r="J28" s="2027"/>
      <c r="K28" s="1257" t="str">
        <f ca="1">"楼面地价："&amp;N38&amp;"元/平方米"</f>
        <v>楼面地价：5858元/平方米</v>
      </c>
      <c r="L28" s="1251"/>
      <c r="M28" s="1251"/>
      <c r="N28" s="1251"/>
      <c r="O28" s="1250"/>
      <c r="P28" s="2027"/>
      <c r="V28" s="2027"/>
    </row>
    <row r="29" spans="1:26" ht="18">
      <c r="A29" s="292"/>
      <c r="B29" s="293"/>
      <c r="C29" s="293"/>
      <c r="D29" s="294"/>
      <c r="E29" s="310"/>
      <c r="F29" s="310"/>
      <c r="G29" s="310"/>
      <c r="H29" s="310"/>
      <c r="I29" s="310"/>
      <c r="J29" s="2027"/>
      <c r="K29" s="1257" t="str">
        <f ca="1">IF(OR(项目基本情况!E8="抵押价格",项目基本情况!E8="已注销及未注销"),"抵押价格："&amp;O39&amp;"万元","——")</f>
        <v>抵押价格：65259万元</v>
      </c>
      <c r="L29" s="1251"/>
      <c r="M29" s="1251"/>
      <c r="N29" s="1251"/>
      <c r="O29" s="1250"/>
      <c r="P29" s="2027"/>
      <c r="V29" s="2027"/>
    </row>
    <row r="30" spans="1:26" ht="18.75" thickBot="1">
      <c r="A30" s="3159" t="s">
        <v>336</v>
      </c>
      <c r="B30" s="308"/>
      <c r="C30" s="308"/>
      <c r="D30" s="309"/>
      <c r="E30" s="3160" t="s">
        <v>2959</v>
      </c>
      <c r="F30" s="310"/>
      <c r="G30" s="310"/>
      <c r="H30" s="310"/>
      <c r="I30" s="310"/>
      <c r="J30" s="2027"/>
      <c r="K30" s="1257" t="str">
        <f ca="1">IF(K29="——","——","大写金额：人民币"&amp;NUMBERSTRING(INT(O39*10000),2)&amp;"元整")</f>
        <v>大写金额：人民币陆亿伍仟贰佰伍拾玖万元整</v>
      </c>
      <c r="L30" s="1251"/>
      <c r="M30" s="1251"/>
      <c r="N30" s="1251"/>
      <c r="O30" s="1250"/>
      <c r="P30" s="2027"/>
      <c r="V30" s="2027"/>
    </row>
    <row r="31" spans="1:26" ht="24" customHeight="1" thickBot="1">
      <c r="A31" s="310"/>
      <c r="B31" s="310"/>
      <c r="C31" s="310"/>
      <c r="D31" s="310"/>
      <c r="E31" s="310"/>
      <c r="F31" s="310"/>
      <c r="G31" s="310"/>
      <c r="H31" s="310"/>
      <c r="I31" s="310"/>
      <c r="J31" s="2027"/>
      <c r="K31" s="2491" t="str">
        <f>IF(项目基本情况!E8="抵押价格","——","抵押担保权已注销时的抵押价格："&amp;O40&amp;"万元")</f>
        <v>——</v>
      </c>
      <c r="L31" s="2487"/>
      <c r="M31" s="2487"/>
      <c r="N31" s="2487"/>
      <c r="O31" s="2488"/>
      <c r="P31" s="2027"/>
      <c r="V31" s="2027"/>
    </row>
    <row r="32" spans="1:26" ht="18.75" thickBot="1">
      <c r="A32" s="267" t="s">
        <v>337</v>
      </c>
      <c r="B32" s="1380" t="s">
        <v>1689</v>
      </c>
      <c r="C32" s="1381">
        <f ca="1">G19-C24</f>
        <v>66666</v>
      </c>
      <c r="D32" s="1382" t="s">
        <v>1690</v>
      </c>
      <c r="E32" s="310"/>
      <c r="F32" s="310"/>
      <c r="G32" s="310"/>
      <c r="H32" s="310"/>
      <c r="I32" s="310"/>
      <c r="J32" s="2027"/>
      <c r="K32" s="2486" t="str">
        <f>IF(K31="——","——","大写金额：人民币"&amp;NUMBERSTRING(INT(O40*10000),2)&amp;"元整")</f>
        <v>——</v>
      </c>
      <c r="L32" s="2489"/>
      <c r="M32" s="2489"/>
      <c r="N32" s="2489"/>
      <c r="O32" s="2490"/>
      <c r="P32" s="2027"/>
      <c r="V32" s="2027"/>
    </row>
    <row r="33" spans="1:26" ht="18.75" thickBot="1">
      <c r="A33" s="297" t="s">
        <v>340</v>
      </c>
      <c r="B33" s="1383" t="s">
        <v>1691</v>
      </c>
      <c r="C33" s="263">
        <f ca="1">ROUND(C32*10000/'数据-汇总表'!E3,0)</f>
        <v>5858</v>
      </c>
      <c r="D33" s="1384" t="s">
        <v>1692</v>
      </c>
      <c r="E33" s="3658" t="s">
        <v>338</v>
      </c>
      <c r="F33" s="295" t="s">
        <v>339</v>
      </c>
      <c r="G33" s="296"/>
      <c r="H33" s="979"/>
      <c r="I33" s="1258"/>
      <c r="J33" s="2027"/>
      <c r="K33" s="1257" t="str">
        <f>IF(项目基本情况!E9="——","——","抵押净值："&amp;C46&amp;"万元")</f>
        <v>抵押净值：——万元</v>
      </c>
      <c r="L33" s="1251"/>
      <c r="M33" s="1251"/>
      <c r="N33" s="1251"/>
      <c r="O33" s="1250"/>
      <c r="P33" s="2027"/>
      <c r="V33" s="2027"/>
    </row>
    <row r="34" spans="1:26" s="1253" customFormat="1" ht="18.75" thickBot="1">
      <c r="A34" s="299"/>
      <c r="B34" s="1385" t="s">
        <v>1693</v>
      </c>
      <c r="C34" s="263">
        <f ca="1">ROUND(C32*10000/'数据-汇总表'!D3,0)</f>
        <v>23664</v>
      </c>
      <c r="D34" s="1386" t="s">
        <v>1692</v>
      </c>
      <c r="E34" s="3659"/>
      <c r="F34" s="127" t="s">
        <v>341</v>
      </c>
      <c r="G34" s="298"/>
      <c r="H34" s="105"/>
      <c r="I34" s="310"/>
      <c r="J34" s="2027"/>
      <c r="K34" s="1260" t="e">
        <f>IF(K33="——","——","大写金额：人民币"&amp;NUMBERSTRING(INT(O41*10000),2)&amp;"元整")</f>
        <v>#VALUE!</v>
      </c>
      <c r="L34" s="1261"/>
      <c r="M34" s="1261"/>
      <c r="N34" s="1261"/>
      <c r="O34" s="1262"/>
      <c r="P34" s="2027"/>
      <c r="Q34" s="291"/>
      <c r="R34" s="291"/>
      <c r="S34" s="291"/>
      <c r="T34" s="291"/>
      <c r="U34" s="291"/>
      <c r="V34" s="2027"/>
      <c r="W34" s="291"/>
      <c r="X34" s="291"/>
      <c r="Y34" s="291"/>
      <c r="Z34" s="291"/>
    </row>
    <row r="35" spans="1:26" ht="15.75" thickBot="1">
      <c r="A35" s="283"/>
      <c r="B35" s="1387"/>
      <c r="C35" s="1388">
        <f ca="1">ROUND(C32/('数据-汇总表'!D3/666.67),0)</f>
        <v>1578</v>
      </c>
      <c r="D35" s="1389" t="s">
        <v>1694</v>
      </c>
      <c r="E35" s="3660"/>
      <c r="F35" s="300" t="s">
        <v>342</v>
      </c>
      <c r="G35" s="981">
        <f>D27</f>
        <v>1407</v>
      </c>
      <c r="H35" s="980" t="s">
        <v>343</v>
      </c>
      <c r="I35" s="310"/>
      <c r="J35" s="2027"/>
      <c r="K35" s="3664" t="s">
        <v>350</v>
      </c>
      <c r="L35" s="3664" t="s">
        <v>351</v>
      </c>
      <c r="M35" s="1263" t="s">
        <v>352</v>
      </c>
      <c r="N35" s="3664" t="s">
        <v>353</v>
      </c>
      <c r="O35" s="3664" t="s">
        <v>354</v>
      </c>
      <c r="P35" s="2027"/>
      <c r="V35" s="2027"/>
    </row>
    <row r="36" spans="1:26" ht="16.5" customHeight="1">
      <c r="A36" s="302" t="s">
        <v>344</v>
      </c>
      <c r="B36" s="303" t="s">
        <v>333</v>
      </c>
      <c r="C36" s="304" t="s">
        <v>345</v>
      </c>
      <c r="D36" s="304" t="s">
        <v>346</v>
      </c>
      <c r="E36" s="305" t="s">
        <v>347</v>
      </c>
      <c r="F36" s="310"/>
      <c r="G36" s="310"/>
      <c r="H36" s="310"/>
      <c r="I36" s="310"/>
      <c r="J36" s="2029"/>
      <c r="K36" s="3665"/>
      <c r="L36" s="3665"/>
      <c r="M36" s="1265" t="s">
        <v>355</v>
      </c>
      <c r="N36" s="3665"/>
      <c r="O36" s="3665"/>
      <c r="P36" s="2027"/>
      <c r="V36" s="2027"/>
    </row>
    <row r="37" spans="1:26" ht="16.5" customHeight="1" thickBot="1">
      <c r="A37" s="1259" t="s">
        <v>348</v>
      </c>
      <c r="B37" s="306"/>
      <c r="C37" s="293"/>
      <c r="D37" s="293"/>
      <c r="E37" s="294"/>
      <c r="F37" s="310"/>
      <c r="G37" s="310"/>
      <c r="H37" s="310"/>
      <c r="I37" s="310"/>
      <c r="J37" s="2029"/>
      <c r="K37" s="3666"/>
      <c r="L37" s="3666"/>
      <c r="M37" s="1266"/>
      <c r="N37" s="3666"/>
      <c r="O37" s="3666"/>
      <c r="P37" s="2027"/>
      <c r="V37" s="2027"/>
    </row>
    <row r="38" spans="1:26" ht="16.5" customHeight="1" thickBot="1">
      <c r="A38" s="1259" t="s">
        <v>349</v>
      </c>
      <c r="B38" s="306"/>
      <c r="C38" s="293"/>
      <c r="D38" s="293"/>
      <c r="E38" s="294"/>
      <c r="F38" s="310"/>
      <c r="G38" s="310"/>
      <c r="H38" s="310"/>
      <c r="I38" s="310"/>
      <c r="J38" s="2029"/>
      <c r="K38" s="1267">
        <f>'数据-汇总表'!D3</f>
        <v>28172.14</v>
      </c>
      <c r="L38" s="1268">
        <f>'数据-汇总表'!E3</f>
        <v>113800</v>
      </c>
      <c r="M38" s="1268">
        <f ca="1">C34</f>
        <v>23664</v>
      </c>
      <c r="N38" s="1268">
        <f ca="1">C33</f>
        <v>5858</v>
      </c>
      <c r="O38" s="1269">
        <f ca="1">C32</f>
        <v>66666</v>
      </c>
      <c r="P38" s="2027"/>
      <c r="V38" s="2027"/>
    </row>
    <row r="39" spans="1:26" ht="16.5" customHeight="1" thickBot="1">
      <c r="A39" s="1264"/>
      <c r="B39" s="307"/>
      <c r="C39" s="308"/>
      <c r="D39" s="308"/>
      <c r="E39" s="309"/>
      <c r="F39" s="310"/>
      <c r="G39" s="310"/>
      <c r="H39" s="310"/>
      <c r="I39" s="310"/>
      <c r="J39" s="2029"/>
      <c r="K39" s="3641" t="str">
        <f>MID(A44,3,LEN(A44)-2)</f>
        <v>抵押价格</v>
      </c>
      <c r="L39" s="3642"/>
      <c r="M39" s="3642"/>
      <c r="N39" s="3643"/>
      <c r="O39" s="1391">
        <f ca="1">C44</f>
        <v>65259</v>
      </c>
      <c r="P39" s="2027"/>
      <c r="V39" s="2027"/>
    </row>
    <row r="40" spans="1:26" ht="19.5" thickBot="1">
      <c r="A40" s="104" t="s">
        <v>873</v>
      </c>
      <c r="B40" s="310"/>
      <c r="C40" s="310"/>
      <c r="D40" s="310"/>
      <c r="E40" s="310"/>
      <c r="F40" s="310"/>
      <c r="G40" s="310"/>
      <c r="H40" s="310"/>
      <c r="I40" s="310"/>
      <c r="J40" s="2029"/>
      <c r="K40" s="3641" t="str">
        <f t="shared" ref="K40:K41" si="0">MID(A45,3,LEN(A45)-2)</f>
        <v/>
      </c>
      <c r="L40" s="3642"/>
      <c r="M40" s="3642"/>
      <c r="N40" s="3643"/>
      <c r="O40" s="1391" t="str">
        <f>C45</f>
        <v>——</v>
      </c>
      <c r="P40" s="2027"/>
      <c r="V40" s="2027"/>
    </row>
    <row r="41" spans="1:26" ht="16.5" thickBot="1">
      <c r="A41" s="311" t="s">
        <v>356</v>
      </c>
      <c r="B41" s="312"/>
      <c r="C41" s="313" t="s">
        <v>357</v>
      </c>
      <c r="D41" s="314" t="s">
        <v>358</v>
      </c>
      <c r="E41" s="314" t="s">
        <v>359</v>
      </c>
      <c r="F41" s="315" t="s">
        <v>360</v>
      </c>
      <c r="G41" s="310"/>
      <c r="H41" s="310"/>
      <c r="I41" s="310"/>
      <c r="J41" s="2029"/>
      <c r="K41" s="3641" t="str">
        <f t="shared" si="0"/>
        <v/>
      </c>
      <c r="L41" s="3642"/>
      <c r="M41" s="3642"/>
      <c r="N41" s="3643"/>
      <c r="O41" s="1391" t="str">
        <f>C46</f>
        <v>——</v>
      </c>
      <c r="P41" s="2027"/>
      <c r="V41" s="2027"/>
    </row>
    <row r="42" spans="1:26" ht="29.25">
      <c r="A42" s="3705" t="s">
        <v>2067</v>
      </c>
      <c r="B42" s="3706"/>
      <c r="C42" s="263">
        <f ca="1">C32</f>
        <v>66666</v>
      </c>
      <c r="D42" s="316">
        <f ca="1">C33</f>
        <v>5858</v>
      </c>
      <c r="E42" s="316">
        <f ca="1">C34</f>
        <v>23664</v>
      </c>
      <c r="F42" s="317">
        <f ca="1">C35</f>
        <v>1578</v>
      </c>
      <c r="G42" s="310"/>
      <c r="H42" s="310"/>
      <c r="I42" s="318"/>
      <c r="J42" s="2029"/>
      <c r="K42" s="1270" t="s">
        <v>361</v>
      </c>
      <c r="L42" s="2046" t="s">
        <v>362</v>
      </c>
      <c r="M42" s="1271" t="s">
        <v>363</v>
      </c>
      <c r="N42" s="2047" t="s">
        <v>364</v>
      </c>
      <c r="O42" s="2048" t="s">
        <v>365</v>
      </c>
      <c r="P42" s="2027"/>
      <c r="V42" s="2027"/>
    </row>
    <row r="43" spans="1:26" ht="45">
      <c r="A43" s="3715" t="s">
        <v>2729</v>
      </c>
      <c r="B43" s="3716"/>
      <c r="C43" s="263">
        <f>IF(H33="正常操作",G33+G34+G35,G34+G35)</f>
        <v>1407</v>
      </c>
      <c r="D43" s="316" t="s">
        <v>43</v>
      </c>
      <c r="E43" s="316" t="s">
        <v>44</v>
      </c>
      <c r="F43" s="317" t="s">
        <v>44</v>
      </c>
      <c r="G43" s="2890" t="s">
        <v>952</v>
      </c>
      <c r="H43" s="310"/>
      <c r="I43" s="318"/>
      <c r="J43" s="2029"/>
      <c r="K43" s="1272" t="str">
        <f>C4</f>
        <v>比较法-住宅、综合（6000+）</v>
      </c>
      <c r="L43" s="1273">
        <f ca="1">IF(L42="估价结果/万元",C19,C20)</f>
        <v>60320</v>
      </c>
      <c r="M43" s="1274">
        <f>C18</f>
        <v>0.5</v>
      </c>
      <c r="N43" s="1275">
        <f ca="1">IF(N42="测算结果/万元",G19,G20)</f>
        <v>66666</v>
      </c>
      <c r="O43" s="1276">
        <f ca="1">IF(O42="最终结果/万元",C32,C33)</f>
        <v>66666</v>
      </c>
      <c r="P43" s="2027"/>
      <c r="V43" s="2027"/>
    </row>
    <row r="44" spans="1:26" ht="30.75" thickBot="1">
      <c r="A44" s="3705" t="str">
        <f>IF(OR(项目基本情况!E8="抵押价格",项目基本情况!E8="已注销及未注销"),"3.抵押价格","——")</f>
        <v>3.抵押价格</v>
      </c>
      <c r="B44" s="3706"/>
      <c r="C44" s="263">
        <f ca="1">IF(A44="——","——",C42-C43)</f>
        <v>65259</v>
      </c>
      <c r="D44" s="316">
        <f ca="1">ROUND(C44*10000/'数据-汇总表'!E3,0)</f>
        <v>5735</v>
      </c>
      <c r="E44" s="316">
        <f ca="1">ROUND(C44*10000/'数据-汇总表'!D3,0)</f>
        <v>23164</v>
      </c>
      <c r="F44" s="317">
        <f ca="1">ROUND(C44/('数据-汇总表'!D3/666.67),0)</f>
        <v>1544</v>
      </c>
      <c r="G44" s="310"/>
      <c r="H44" s="310"/>
      <c r="I44" s="318"/>
      <c r="J44" s="2029"/>
      <c r="K44" s="1277" t="str">
        <f>D4</f>
        <v>剩余法-待开发</v>
      </c>
      <c r="L44" s="1278">
        <f ca="1">IF(L42="估价结果/万元",D19,D20)</f>
        <v>73012</v>
      </c>
      <c r="M44" s="1279">
        <f>D18</f>
        <v>0.5</v>
      </c>
      <c r="N44" s="1280"/>
      <c r="O44" s="1281"/>
      <c r="P44" s="2027"/>
      <c r="V44" s="2027"/>
    </row>
    <row r="45" spans="1:26" ht="15">
      <c r="A45" s="3710" t="str">
        <f>IF(项目基本情况!E8="已注销及未注销","4.抵押担保权已注销时的抵押价格",IF(项目基本情况!E8="已注销","3.抵押担保权已注销时的抵押价格","——"))</f>
        <v>——</v>
      </c>
      <c r="B45" s="3711"/>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707" t="str">
        <f>IF(项目基本情况!E9="抵押净值",IF(A45="——","4.抵押净值","5.抵押净值"),"——")</f>
        <v>——</v>
      </c>
      <c r="B46" s="3708"/>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366</v>
      </c>
      <c r="B47" s="1282"/>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本次评估估价师知悉的法定优先受偿款为人民币1407万元整。</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669" t="s">
        <v>374</v>
      </c>
      <c r="B63" s="3670"/>
      <c r="C63" s="3671"/>
      <c r="D63" s="340">
        <f ca="1">ROUND(C42*F63,0)</f>
        <v>40000</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712" t="s">
        <v>378</v>
      </c>
      <c r="B64" s="3713"/>
      <c r="C64" s="3713"/>
      <c r="D64" s="3713"/>
      <c r="E64" s="3713"/>
      <c r="F64" s="3713"/>
      <c r="G64" s="3714"/>
      <c r="H64" s="1287"/>
      <c r="I64" s="947"/>
      <c r="J64" s="1989"/>
      <c r="K64" s="1560"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7"/>
      <c r="I65" s="947"/>
      <c r="J65" s="1989"/>
      <c r="K65" s="1288"/>
      <c r="L65" s="1289"/>
      <c r="M65" s="1289"/>
      <c r="N65" s="1321" t="s">
        <v>379</v>
      </c>
      <c r="O65" s="1322"/>
      <c r="P65" s="1323"/>
      <c r="Q65" s="2027"/>
      <c r="R65" s="2027"/>
      <c r="S65" s="2027"/>
      <c r="T65" s="2027"/>
      <c r="U65" s="2027"/>
      <c r="V65" s="2027"/>
    </row>
    <row r="66" spans="1:22" ht="25.5">
      <c r="A66" s="3709" t="s">
        <v>386</v>
      </c>
      <c r="B66" s="3676"/>
      <c r="C66" s="3676"/>
      <c r="D66" s="260">
        <f ca="1">IF(H66="情况1",0,IF(H66="情况2",D70,IF(H66="情况3",D71,IF(H66="情况4",D72))))</f>
        <v>2133</v>
      </c>
      <c r="E66" s="992" t="str">
        <f>IF(H66="情况4","(销售额-原购置价)×税（费）率","销售额×税（费）率")</f>
        <v>销售额×税（费）率</v>
      </c>
      <c r="F66" s="349">
        <f>IF(H66="情况1","免征",'数据-取费表'!B41)</f>
        <v>5.6000000000000001E-2</v>
      </c>
      <c r="G66" s="350" t="s">
        <v>387</v>
      </c>
      <c r="H66" s="191" t="s">
        <v>388</v>
      </c>
      <c r="I66" s="1287"/>
      <c r="J66" s="2033"/>
      <c r="K66" s="1290">
        <v>1</v>
      </c>
      <c r="L66" s="3645" t="s">
        <v>385</v>
      </c>
      <c r="M66" s="3646"/>
      <c r="N66" s="2481"/>
      <c r="O66" s="2482"/>
      <c r="P66" s="2483"/>
      <c r="Q66" s="2027"/>
      <c r="R66" s="2027"/>
      <c r="S66" s="2027"/>
      <c r="T66" s="2027"/>
      <c r="U66" s="2027"/>
      <c r="V66" s="2027"/>
    </row>
    <row r="67" spans="1:22" ht="25.5" customHeight="1">
      <c r="A67" s="351" t="s">
        <v>390</v>
      </c>
      <c r="B67" s="3688" t="s">
        <v>391</v>
      </c>
      <c r="C67" s="3688"/>
      <c r="D67" s="352">
        <v>0</v>
      </c>
      <c r="E67" s="41" t="s">
        <v>392</v>
      </c>
      <c r="F67" s="62" t="s">
        <v>21</v>
      </c>
      <c r="G67" s="3672"/>
      <c r="H67" s="310"/>
      <c r="I67" s="1291"/>
      <c r="J67" s="2034"/>
      <c r="K67" s="1975">
        <v>2</v>
      </c>
      <c r="L67" s="3644" t="s">
        <v>389</v>
      </c>
      <c r="M67" s="3644"/>
      <c r="N67" s="1324">
        <f>'数据-取费表'!B2</f>
        <v>43159</v>
      </c>
      <c r="O67" s="1324"/>
      <c r="P67" s="1324"/>
      <c r="Q67" s="2027"/>
      <c r="R67" s="2027"/>
      <c r="S67" s="2027"/>
      <c r="T67" s="2027"/>
      <c r="U67" s="2027"/>
      <c r="V67" s="2027"/>
    </row>
    <row r="68" spans="1:22" ht="25.5" customHeight="1">
      <c r="A68" s="353"/>
      <c r="B68" s="3688" t="s">
        <v>394</v>
      </c>
      <c r="C68" s="3688"/>
      <c r="D68" s="354"/>
      <c r="E68" s="77"/>
      <c r="F68" s="355"/>
      <c r="G68" s="3673"/>
      <c r="H68" s="310"/>
      <c r="I68" s="1291"/>
      <c r="J68" s="2034"/>
      <c r="K68" s="1975">
        <v>3</v>
      </c>
      <c r="L68" s="3644" t="s">
        <v>393</v>
      </c>
      <c r="M68" s="3644"/>
      <c r="N68" s="1292">
        <f ca="1">C42</f>
        <v>66666</v>
      </c>
      <c r="O68" s="1292"/>
      <c r="P68" s="1292"/>
      <c r="Q68" s="2027"/>
      <c r="R68" s="2027"/>
      <c r="S68" s="2027"/>
      <c r="T68" s="2027"/>
      <c r="U68" s="2027"/>
      <c r="V68" s="2027"/>
    </row>
    <row r="69" spans="1:22" ht="12" customHeight="1">
      <c r="A69" s="356"/>
      <c r="B69" s="3688" t="s">
        <v>395</v>
      </c>
      <c r="C69" s="3688"/>
      <c r="D69" s="357"/>
      <c r="E69" s="73"/>
      <c r="F69" s="355"/>
      <c r="G69" s="3674"/>
      <c r="H69" s="310"/>
      <c r="I69" s="1291"/>
      <c r="J69" s="2034"/>
      <c r="K69" s="1293">
        <v>4</v>
      </c>
      <c r="L69" s="3650" t="s">
        <v>2882</v>
      </c>
      <c r="M69" s="3651"/>
      <c r="N69" s="1294">
        <f ca="1">C44</f>
        <v>65259</v>
      </c>
      <c r="O69" s="1294"/>
      <c r="P69" s="1294"/>
      <c r="Q69" s="2027"/>
      <c r="R69" s="2027"/>
      <c r="S69" s="2027"/>
      <c r="T69" s="2027"/>
      <c r="U69" s="2027"/>
      <c r="V69" s="2027"/>
    </row>
    <row r="70" spans="1:22" ht="24" customHeight="1">
      <c r="A70" s="358" t="s">
        <v>396</v>
      </c>
      <c r="B70" s="3688" t="s">
        <v>397</v>
      </c>
      <c r="C70" s="3688"/>
      <c r="D70" s="357">
        <f ca="1">ROUND(D63*'数据-取费表'!B41/(1+'数据-取费表'!C42),0)</f>
        <v>2133</v>
      </c>
      <c r="E70" s="17" t="s">
        <v>398</v>
      </c>
      <c r="F70" s="359">
        <f>'数据-取费表'!B41</f>
        <v>5.6000000000000001E-2</v>
      </c>
      <c r="G70" s="360"/>
      <c r="H70" s="310"/>
      <c r="I70" s="1291"/>
      <c r="J70" s="2034"/>
      <c r="K70" s="3086"/>
      <c r="L70" s="3087"/>
      <c r="M70" s="3087"/>
      <c r="N70" s="3088" t="s">
        <v>2887</v>
      </c>
      <c r="O70" s="3087"/>
      <c r="P70" s="3089"/>
      <c r="Q70" s="2027"/>
      <c r="R70" s="2027"/>
      <c r="S70" s="2027"/>
      <c r="T70" s="2027"/>
      <c r="U70" s="2027"/>
      <c r="V70" s="2027"/>
    </row>
    <row r="71" spans="1:22" ht="12" customHeight="1">
      <c r="A71" s="358" t="s">
        <v>404</v>
      </c>
      <c r="B71" s="3687" t="s">
        <v>405</v>
      </c>
      <c r="C71" s="3703"/>
      <c r="D71" s="357">
        <f ca="1">ROUND(D63*'数据-取费表'!B41/(1+'数据-取费表'!C42),0)</f>
        <v>2133</v>
      </c>
      <c r="E71" s="17" t="s">
        <v>398</v>
      </c>
      <c r="F71" s="359">
        <f>'数据-取费表'!B41</f>
        <v>5.6000000000000001E-2</v>
      </c>
      <c r="G71" s="360"/>
      <c r="H71" s="310"/>
      <c r="I71" s="1291"/>
      <c r="J71" s="2034"/>
      <c r="K71" s="3085" t="s">
        <v>399</v>
      </c>
      <c r="L71" s="3652" t="s">
        <v>400</v>
      </c>
      <c r="M71" s="3652"/>
      <c r="N71" s="3085" t="s">
        <v>401</v>
      </c>
      <c r="O71" s="3085" t="s">
        <v>402</v>
      </c>
      <c r="P71" s="3085" t="s">
        <v>403</v>
      </c>
      <c r="Q71" s="2027"/>
      <c r="R71" s="2027"/>
      <c r="S71" s="2027"/>
      <c r="T71" s="2027"/>
      <c r="U71" s="2027"/>
      <c r="V71" s="2027"/>
    </row>
    <row r="72" spans="1:22" ht="12" customHeight="1">
      <c r="A72" s="358" t="s">
        <v>407</v>
      </c>
      <c r="B72" s="3687" t="s">
        <v>408</v>
      </c>
      <c r="C72" s="3703"/>
      <c r="D72" s="357">
        <f ca="1">C86</f>
        <v>2021</v>
      </c>
      <c r="E72" s="73" t="s">
        <v>409</v>
      </c>
      <c r="F72" s="359">
        <f>'数据-取费表'!B41</f>
        <v>5.6000000000000001E-2</v>
      </c>
      <c r="G72" s="360"/>
      <c r="H72" s="1297"/>
      <c r="I72" s="1291"/>
      <c r="J72" s="2034"/>
      <c r="K72" s="1975">
        <v>1</v>
      </c>
      <c r="L72" s="3649" t="s">
        <v>406</v>
      </c>
      <c r="M72" s="3649"/>
      <c r="N72" s="1295">
        <f ca="1">D66</f>
        <v>2133</v>
      </c>
      <c r="O72" s="1858" t="str">
        <f>E66</f>
        <v>销售额×税（费）率</v>
      </c>
      <c r="P72" s="1296">
        <f>F66</f>
        <v>5.6000000000000001E-2</v>
      </c>
      <c r="Q72" s="2027"/>
      <c r="R72" s="2027"/>
      <c r="S72" s="2027"/>
      <c r="T72" s="2027"/>
      <c r="U72" s="2027"/>
      <c r="V72" s="2027"/>
    </row>
    <row r="73" spans="1:22" ht="24" customHeight="1">
      <c r="A73" s="3675" t="s">
        <v>411</v>
      </c>
      <c r="B73" s="3676"/>
      <c r="C73" s="3676"/>
      <c r="D73" s="361">
        <f>IF(H73="个人住宅",0,ROUND(D63*I73,0))</f>
        <v>0</v>
      </c>
      <c r="E73" s="17" t="s">
        <v>412</v>
      </c>
      <c r="F73" s="359" t="str">
        <f>IF(H73="正常",I73,"免征")</f>
        <v>免征</v>
      </c>
      <c r="G73" s="360"/>
      <c r="H73" s="191" t="s">
        <v>2454</v>
      </c>
      <c r="I73" s="359">
        <f>'数据-取费表'!B49</f>
        <v>5.0000000000000001E-4</v>
      </c>
      <c r="J73" s="2034"/>
      <c r="K73" s="1975">
        <v>2</v>
      </c>
      <c r="L73" s="3649" t="s">
        <v>410</v>
      </c>
      <c r="M73" s="3649"/>
      <c r="N73" s="1295">
        <f t="shared" ref="N73:P74" si="1">D73</f>
        <v>0</v>
      </c>
      <c r="O73" s="1858" t="str">
        <f t="shared" si="1"/>
        <v>销售额×税（费）率</v>
      </c>
      <c r="P73" s="1296" t="str">
        <f t="shared" si="1"/>
        <v>免征</v>
      </c>
      <c r="Q73" s="2027"/>
      <c r="R73" s="2027"/>
      <c r="S73" s="2027"/>
      <c r="T73" s="2027"/>
      <c r="U73" s="2027"/>
      <c r="V73" s="2027"/>
    </row>
    <row r="74" spans="1:22" ht="24.75">
      <c r="A74" s="3675" t="s">
        <v>415</v>
      </c>
      <c r="B74" s="3676"/>
      <c r="C74" s="3676"/>
      <c r="D74" s="361">
        <f ca="1">IF(H74="个人住宅",D75,D76)</f>
        <v>21984</v>
      </c>
      <c r="E74" s="17" t="s">
        <v>416</v>
      </c>
      <c r="F74" s="359" t="str">
        <f>IF(H74="正常",F76,"免征")</f>
        <v>——</v>
      </c>
      <c r="G74" s="982" t="s">
        <v>417</v>
      </c>
      <c r="H74" s="362" t="s">
        <v>413</v>
      </c>
      <c r="I74" s="42"/>
      <c r="J74" s="2034"/>
      <c r="K74" s="1975">
        <v>3</v>
      </c>
      <c r="L74" s="3649" t="s">
        <v>414</v>
      </c>
      <c r="M74" s="3649"/>
      <c r="N74" s="1295">
        <f t="shared" ca="1" si="1"/>
        <v>21984</v>
      </c>
      <c r="O74" s="1858" t="str">
        <f t="shared" si="1"/>
        <v>增值额×税（费）率</v>
      </c>
      <c r="P74" s="1298" t="str">
        <f t="shared" si="1"/>
        <v>——</v>
      </c>
      <c r="Q74" s="2027"/>
      <c r="R74" s="2027"/>
      <c r="S74" s="2027"/>
      <c r="T74" s="2027"/>
      <c r="U74" s="2027"/>
      <c r="V74" s="2027"/>
    </row>
    <row r="75" spans="1:22" ht="24">
      <c r="A75" s="358" t="s">
        <v>418</v>
      </c>
      <c r="B75" s="3656" t="s">
        <v>419</v>
      </c>
      <c r="C75" s="3657"/>
      <c r="D75" s="363">
        <v>0</v>
      </c>
      <c r="E75" s="41" t="s">
        <v>420</v>
      </c>
      <c r="F75" s="364"/>
      <c r="G75" s="360"/>
      <c r="H75" s="42"/>
      <c r="I75" s="42"/>
      <c r="J75" s="2034"/>
      <c r="K75" s="3078">
        <f>IF(H77="非个人房产","",4)</f>
        <v>4</v>
      </c>
      <c r="L75" s="3649" t="str">
        <f>IF(H77="非个人房产","——","个人所得税")</f>
        <v>个人所得税</v>
      </c>
      <c r="M75" s="3649"/>
      <c r="N75" s="1299">
        <f ca="1">D77</f>
        <v>400</v>
      </c>
      <c r="O75" s="1871" t="str">
        <f>E77</f>
        <v>销售额×税（费）率</v>
      </c>
      <c r="P75" s="1300">
        <f>F77</f>
        <v>0.01</v>
      </c>
      <c r="Q75" s="2027"/>
      <c r="R75" s="2027"/>
      <c r="S75" s="2027"/>
      <c r="T75" s="2027"/>
      <c r="U75" s="2027"/>
      <c r="V75" s="2027"/>
    </row>
    <row r="76" spans="1:22" ht="24.75">
      <c r="A76" s="358" t="s">
        <v>396</v>
      </c>
      <c r="B76" s="3656" t="s">
        <v>422</v>
      </c>
      <c r="C76" s="3698"/>
      <c r="D76" s="361">
        <f ca="1">IF(H76="转让取得",C99,C115)</f>
        <v>21984</v>
      </c>
      <c r="E76" s="17" t="s">
        <v>423</v>
      </c>
      <c r="F76" s="53" t="s">
        <v>21</v>
      </c>
      <c r="G76" s="360"/>
      <c r="H76" s="362" t="s">
        <v>424</v>
      </c>
      <c r="I76" s="42"/>
      <c r="J76" s="2034"/>
      <c r="K76" s="3078" t="str">
        <f>IF(项目基本情况!K6="上海银行",IF(K75="",4,K75+1),"")</f>
        <v/>
      </c>
      <c r="L76" s="3637" t="str">
        <f>IF(项目基本情况!K6="上海银行","其他处置费用","")</f>
        <v/>
      </c>
      <c r="M76" s="3638"/>
      <c r="N76" s="1295" t="str">
        <f>IF(项目基本情况!K6="上海银行",N89,"")</f>
        <v/>
      </c>
      <c r="O76" s="3639" t="str">
        <f>IF(项目基本情况!K6="上海银行","包含处置中涉及的律师、诉讼、拍卖、评估等费用","")</f>
        <v/>
      </c>
      <c r="P76" s="3640"/>
      <c r="Q76" s="2027"/>
      <c r="R76" s="2027"/>
      <c r="S76" s="2027"/>
      <c r="T76" s="2027"/>
      <c r="U76" s="2027"/>
      <c r="V76" s="2027"/>
    </row>
    <row r="77" spans="1:22" ht="26.25" thickBot="1">
      <c r="A77" s="3667" t="s">
        <v>426</v>
      </c>
      <c r="B77" s="3668"/>
      <c r="C77" s="3668"/>
      <c r="D77" s="365">
        <f ca="1">IF(H77="非个人房产","——",IF(H77="个人住宅",0,ROUND(D63*I77,0)))</f>
        <v>400</v>
      </c>
      <c r="E77" s="366" t="str">
        <f>IF(H77="非个人房产","——","销售额×税（费）率")</f>
        <v>销售额×税（费）率</v>
      </c>
      <c r="F77" s="367">
        <f>IF(H77="非个人房产","——",IF(H77="个人住宅","免征",I77))</f>
        <v>0.01</v>
      </c>
      <c r="G77" s="983" t="s">
        <v>417</v>
      </c>
      <c r="H77" s="362" t="s">
        <v>2883</v>
      </c>
      <c r="I77" s="368">
        <v>0.01</v>
      </c>
      <c r="J77" s="2034"/>
      <c r="K77" s="3663">
        <f>IF(AND(K75="",K76=""),4,IF(项目基本情况!K6="上海银行",K76+1,K75+1))</f>
        <v>5</v>
      </c>
      <c r="L77" s="3649" t="s">
        <v>2884</v>
      </c>
      <c r="M77" s="3084" t="s">
        <v>421</v>
      </c>
      <c r="N77" s="1301"/>
      <c r="O77" s="1302">
        <f ca="1">SUMIF(N72:N76,"&lt;9e307")</f>
        <v>24517</v>
      </c>
      <c r="P77" s="1303"/>
      <c r="Q77" s="3082">
        <f ca="1">O77/N69</f>
        <v>0.37568764461606829</v>
      </c>
      <c r="R77" s="2027"/>
      <c r="S77" s="2027"/>
      <c r="T77" s="2027"/>
      <c r="U77" s="2027"/>
      <c r="V77" s="2027"/>
    </row>
    <row r="78" spans="1:22" ht="12" customHeight="1">
      <c r="A78" s="1304"/>
      <c r="B78" s="310"/>
      <c r="C78" s="310"/>
      <c r="D78" s="310"/>
      <c r="E78" s="42"/>
      <c r="F78" s="42"/>
      <c r="G78" s="42"/>
      <c r="H78" s="1002"/>
      <c r="I78" s="310"/>
      <c r="J78" s="2034"/>
      <c r="K78" s="3663"/>
      <c r="L78" s="3649"/>
      <c r="M78" s="3084" t="s">
        <v>425</v>
      </c>
      <c r="N78" s="1301"/>
      <c r="O78" s="1302" t="str">
        <f ca="1">NUMBERSTRING(INT(O77*10000),2)&amp;"元整"</f>
        <v>贰亿肆仟伍佰壹拾柒万元整</v>
      </c>
      <c r="P78" s="1303"/>
      <c r="Q78" s="2027"/>
      <c r="R78" s="2027"/>
      <c r="S78" s="2027"/>
      <c r="T78" s="2027"/>
      <c r="U78" s="2027"/>
      <c r="V78" s="2027"/>
    </row>
    <row r="79" spans="1:22" ht="13.5" thickBot="1">
      <c r="A79" s="3653" t="s">
        <v>427</v>
      </c>
      <c r="B79" s="3653"/>
      <c r="C79" s="3653"/>
      <c r="D79" s="3653"/>
      <c r="E79" s="3653"/>
      <c r="F79" s="42"/>
      <c r="G79" s="42"/>
      <c r="H79" s="1002"/>
      <c r="I79" s="310"/>
      <c r="J79" s="2034"/>
      <c r="K79" s="3647">
        <f>K77+1</f>
        <v>6</v>
      </c>
      <c r="L79" s="3649" t="s">
        <v>2885</v>
      </c>
      <c r="M79" s="3084" t="s">
        <v>421</v>
      </c>
      <c r="N79" s="1301"/>
      <c r="O79" s="1302">
        <f ca="1">N69-O77</f>
        <v>40742</v>
      </c>
      <c r="P79" s="1303"/>
      <c r="Q79" s="2027"/>
      <c r="R79" s="2027"/>
      <c r="S79" s="2027"/>
      <c r="T79" s="2027"/>
      <c r="U79" s="2027"/>
      <c r="V79" s="2027"/>
    </row>
    <row r="80" spans="1:22" ht="12.75">
      <c r="A80" s="3654" t="s">
        <v>428</v>
      </c>
      <c r="B80" s="3655"/>
      <c r="C80" s="993"/>
      <c r="D80" s="993" t="s">
        <v>429</v>
      </c>
      <c r="E80" s="369" t="s">
        <v>430</v>
      </c>
      <c r="F80" s="42"/>
      <c r="G80" s="42"/>
      <c r="H80" s="1002"/>
      <c r="I80" s="310"/>
      <c r="J80" s="2027"/>
      <c r="K80" s="3648"/>
      <c r="L80" s="3649"/>
      <c r="M80" s="3084" t="s">
        <v>425</v>
      </c>
      <c r="N80" s="1301"/>
      <c r="O80" s="1302" t="str">
        <f ca="1">NUMBERSTRING(INT(O79*10000),2)&amp;"元整"</f>
        <v>肆亿零柒佰肆拾贰万元整</v>
      </c>
      <c r="P80" s="1303"/>
      <c r="Q80" s="2027"/>
      <c r="R80" s="2027"/>
      <c r="S80" s="2027"/>
      <c r="T80" s="2027"/>
      <c r="U80" s="2027"/>
      <c r="V80" s="2027"/>
    </row>
    <row r="81" spans="1:26" ht="13.5" thickBot="1">
      <c r="A81" s="380" t="s">
        <v>1824</v>
      </c>
      <c r="B81" s="370" t="s">
        <v>431</v>
      </c>
      <c r="C81" s="371">
        <f ca="1">ROUND((C82+C83)/(1+'数据-取费表'!C42),0)</f>
        <v>38095</v>
      </c>
      <c r="D81" s="372"/>
      <c r="E81" s="373"/>
      <c r="F81" s="42"/>
      <c r="G81" s="42"/>
      <c r="H81" s="1002"/>
      <c r="I81" s="310"/>
      <c r="J81" s="2027"/>
      <c r="K81" s="3078">
        <f>K79+1</f>
        <v>7</v>
      </c>
      <c r="L81" s="3661" t="s">
        <v>2886</v>
      </c>
      <c r="M81" s="3662"/>
      <c r="N81" s="1305"/>
      <c r="O81" s="1306">
        <f ca="1">ROUND(O79*10000/'数据-汇总表'!E3,0)</f>
        <v>3580</v>
      </c>
      <c r="P81" s="1307"/>
      <c r="Q81" s="2027"/>
      <c r="R81" s="2027"/>
      <c r="S81" s="2027"/>
      <c r="T81" s="2027"/>
      <c r="U81" s="2027"/>
      <c r="V81" s="2027"/>
    </row>
    <row r="82" spans="1:26" ht="13.5" thickTop="1">
      <c r="A82" s="374" t="s">
        <v>1825</v>
      </c>
      <c r="B82" s="375" t="s">
        <v>432</v>
      </c>
      <c r="C82" s="376">
        <f ca="1">D63</f>
        <v>40000</v>
      </c>
      <c r="D82" s="377" t="s">
        <v>19</v>
      </c>
      <c r="E82" s="378"/>
      <c r="F82" s="42"/>
      <c r="G82" s="42"/>
      <c r="H82" s="1002"/>
      <c r="I82" s="310"/>
      <c r="J82" s="2027"/>
      <c r="K82" s="2027"/>
      <c r="L82" s="2027"/>
      <c r="M82" s="2027"/>
      <c r="N82" s="2027"/>
      <c r="O82" s="2027"/>
      <c r="P82" s="2027"/>
      <c r="Q82" s="2027"/>
      <c r="R82" s="2027"/>
      <c r="S82" s="2027"/>
      <c r="T82" s="2027"/>
      <c r="U82" s="2027"/>
      <c r="V82" s="2027"/>
    </row>
    <row r="83" spans="1:26" ht="12.75">
      <c r="A83" s="374" t="s">
        <v>1826</v>
      </c>
      <c r="B83" s="375" t="s">
        <v>433</v>
      </c>
      <c r="C83" s="379">
        <v>0</v>
      </c>
      <c r="D83" s="377"/>
      <c r="E83" s="378"/>
      <c r="F83" s="42"/>
      <c r="G83" s="42"/>
      <c r="H83" s="1002"/>
      <c r="I83" s="310"/>
      <c r="J83" s="2027"/>
      <c r="K83" s="3636" t="s">
        <v>2873</v>
      </c>
      <c r="L83" s="3090" t="s">
        <v>2874</v>
      </c>
      <c r="M83" s="3080">
        <f ca="1">IF(N69&gt;10000,N69*0.5%,IF(AND(N69&gt;1000,N69&lt;=10000),N69*1%,IF(AND(N69&gt;100,N69&lt;=1000),N69*3%,IF(AND(N69&gt;10,N69&lt;=100),N69*5%,N69*8%))))</f>
        <v>326.29500000000002</v>
      </c>
      <c r="N83" s="53">
        <f ca="1">ROUND(M83,1)</f>
        <v>326.3</v>
      </c>
      <c r="O83" s="3083"/>
      <c r="P83" s="2027"/>
      <c r="Q83" s="2027"/>
      <c r="R83" s="2027"/>
      <c r="S83" s="2027"/>
      <c r="T83" s="2027"/>
      <c r="U83" s="2027"/>
      <c r="V83" s="2027"/>
    </row>
    <row r="84" spans="1:26" ht="12.75">
      <c r="A84" s="380" t="s">
        <v>1827</v>
      </c>
      <c r="B84" s="381" t="s">
        <v>434</v>
      </c>
      <c r="C84" s="382">
        <v>2000</v>
      </c>
      <c r="D84" s="383" t="s">
        <v>19</v>
      </c>
      <c r="E84" s="3124" t="s">
        <v>2930</v>
      </c>
      <c r="F84" s="42"/>
      <c r="G84" s="42"/>
      <c r="H84" s="1002"/>
      <c r="I84" s="310"/>
      <c r="J84" s="2027"/>
      <c r="K84" s="3636"/>
      <c r="L84" s="3090" t="s">
        <v>2875</v>
      </c>
      <c r="M84" s="3080">
        <f ca="1">IF(N69&gt;2000,N69*0.5%,IF(AND(N69&gt;1000,N69&lt;=2000),N69*0.6%,IF(AND(N69&gt;500,N69&lt;=1000),N69*0.7%,IF(AND(N69&gt;200,N69&lt;=500),N69*0.8%,IF(AND(N69&gt;100,N69&lt;=200),N69*0.9%,IF(AND(N69&gt;50,N69&lt;=100),N69*1%,IF(AND(N69&gt;20,N69&lt;=50),N69*1.5%,IF(AND(N69&gt;10,N69&lt;=20),N69*2%,IF(AND(N69&gt;1,N69&lt;=10),N69*2.5%)))))))))</f>
        <v>326.29500000000002</v>
      </c>
      <c r="N84" s="53">
        <f t="shared" ref="N84:N85" ca="1" si="2">ROUND(M84,1)</f>
        <v>326.3</v>
      </c>
      <c r="O84" s="2027" t="s">
        <v>2876</v>
      </c>
      <c r="P84" s="2027"/>
      <c r="Q84" s="2027"/>
      <c r="R84" s="2027"/>
      <c r="S84" s="2027"/>
      <c r="T84" s="2027"/>
      <c r="U84" s="2027"/>
      <c r="V84" s="2027"/>
    </row>
    <row r="85" spans="1:26" ht="12.75">
      <c r="A85" s="380" t="s">
        <v>1828</v>
      </c>
      <c r="B85" s="381" t="s">
        <v>435</v>
      </c>
      <c r="C85" s="384">
        <f ca="1">C81-C84</f>
        <v>36095</v>
      </c>
      <c r="D85" s="377" t="s">
        <v>19</v>
      </c>
      <c r="E85" s="378"/>
      <c r="F85" s="42"/>
      <c r="G85" s="42"/>
      <c r="H85" s="1002"/>
      <c r="I85" s="310"/>
      <c r="J85" s="2027"/>
      <c r="K85" s="3636"/>
      <c r="L85" s="3090" t="s">
        <v>2877</v>
      </c>
      <c r="M85" s="3080">
        <f ca="1">IF(N69&gt;1000,N69*0.1%,IF(AND(N69&gt;500,N69&lt;=1000),N69*0.5%,IF(AND(N69&gt;50,N69&lt;=500),N69*1%,IF(AND(N69&gt;1,N69&lt;=50),N69*1.5%))))</f>
        <v>65.259</v>
      </c>
      <c r="N85" s="53">
        <f t="shared" ca="1" si="2"/>
        <v>65.3</v>
      </c>
      <c r="O85" s="2027" t="s">
        <v>2876</v>
      </c>
      <c r="P85" s="2027"/>
      <c r="Q85" s="2027"/>
      <c r="R85" s="2027"/>
      <c r="S85" s="2027"/>
      <c r="T85" s="2027"/>
      <c r="U85" s="2027"/>
      <c r="V85" s="2027"/>
    </row>
    <row r="86" spans="1:26" ht="13.5" thickBot="1">
      <c r="A86" s="385" t="s">
        <v>1829</v>
      </c>
      <c r="B86" s="386" t="s">
        <v>436</v>
      </c>
      <c r="C86" s="387">
        <f ca="1">IF(C85&lt;=0,0,ROUND(C85*D86,0))</f>
        <v>2021</v>
      </c>
      <c r="D86" s="388">
        <f>'数据-取费表'!B41</f>
        <v>5.6000000000000001E-2</v>
      </c>
      <c r="E86" s="389"/>
      <c r="F86" s="42"/>
      <c r="G86" s="42"/>
      <c r="H86" s="1002"/>
      <c r="I86" s="310"/>
      <c r="J86" s="2027"/>
      <c r="K86" s="3636"/>
      <c r="L86" s="3090" t="s">
        <v>2878</v>
      </c>
      <c r="M86" s="3080">
        <f ca="1">N69*0.5%</f>
        <v>326.29500000000002</v>
      </c>
      <c r="N86" s="53">
        <f ca="1">IF(M86&gt;0.5,0.5,ROUND(M86,0))</f>
        <v>0.5</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0"/>
      <c r="J87" s="2027"/>
      <c r="K87" s="3636"/>
      <c r="L87" s="3090" t="s">
        <v>2880</v>
      </c>
      <c r="M87" s="3080">
        <f ca="1">IF(N69&gt;=10000,(8.25+(N69-10000)*0.01%),IF(AND(N69&gt;=8000,N69&lt;10000),(7.85+(N69-8000)*0.02%),IF(AND(N69&gt;=5000,N69&lt;8000),(6.65+(N69-5000)*0.04%),IF(AND(N69&gt;=2000,N69&lt;5000),(4.25+(PN69-2000)*0.08%),IF(AND(N69&gt;=1000,N69&lt;2000),(2.75+(N69-1000)*0.15%),IF(AND(N69&gt;=100,N69&lt;1000),(0.5+(N69-100)*0.25%),IF(AND(N69&gt;0,N69&lt;100),N69*0.5%)))))))</f>
        <v>13.7759</v>
      </c>
      <c r="N87" s="53">
        <f ca="1">ROUND(M87*0.9,1)</f>
        <v>12.4</v>
      </c>
      <c r="O87" s="3083"/>
      <c r="P87" s="310"/>
      <c r="Q87" s="2027"/>
      <c r="R87" s="2027"/>
      <c r="S87" s="2027"/>
      <c r="T87" s="2027"/>
      <c r="U87" s="2027"/>
      <c r="V87" s="2027"/>
      <c r="W87" s="291"/>
      <c r="X87" s="291"/>
      <c r="Y87" s="291"/>
      <c r="Z87" s="291"/>
    </row>
    <row r="88" spans="1:26" s="1313" customFormat="1" ht="15" thickBot="1">
      <c r="A88" s="3690" t="s">
        <v>437</v>
      </c>
      <c r="B88" s="3691"/>
      <c r="C88" s="3691"/>
      <c r="D88" s="3691"/>
      <c r="E88" s="3691"/>
      <c r="F88" s="3691"/>
      <c r="G88" s="3691"/>
      <c r="H88" s="3691"/>
      <c r="I88" s="1314"/>
      <c r="J88" s="2035"/>
      <c r="K88" s="3636"/>
      <c r="L88" s="3090" t="s">
        <v>2881</v>
      </c>
      <c r="M88" s="3080">
        <f ca="1">IF(N69&gt;10000,N69*0.5%,IF(AND(N69&gt;5000,N69&lt;=10000),N69*1%,IF(AND(N69&gt;1000,N69&lt;=5000),N69*2%,IF(AND(N69&gt;200,N69&lt;=1000),N69*3%,N69*5%))))</f>
        <v>326.29500000000002</v>
      </c>
      <c r="N88" s="53">
        <f ca="1">ROUND(M88,1)</f>
        <v>326.3</v>
      </c>
      <c r="O88" s="3083"/>
      <c r="P88" s="11"/>
      <c r="Q88" s="2032"/>
      <c r="R88" s="2032"/>
      <c r="S88" s="2032"/>
      <c r="T88" s="2032"/>
      <c r="U88" s="2032"/>
      <c r="V88" s="2032"/>
      <c r="W88" s="2036"/>
      <c r="X88" s="2036"/>
      <c r="Y88" s="2036"/>
      <c r="Z88" s="2036"/>
    </row>
    <row r="89" spans="1:26" s="1313" customFormat="1" ht="14.25">
      <c r="A89" s="3654" t="s">
        <v>428</v>
      </c>
      <c r="B89" s="3655"/>
      <c r="C89" s="993"/>
      <c r="D89" s="993" t="s">
        <v>429</v>
      </c>
      <c r="E89" s="390" t="s">
        <v>438</v>
      </c>
      <c r="F89" s="391"/>
      <c r="G89" s="391"/>
      <c r="H89" s="392"/>
      <c r="I89" s="1315"/>
      <c r="J89" s="2037"/>
      <c r="K89" s="3636"/>
      <c r="L89" s="3090" t="s">
        <v>27</v>
      </c>
      <c r="M89" s="3081"/>
      <c r="N89" s="53">
        <f ca="1">ROUND(SUM(N83:N88),0)</f>
        <v>1057</v>
      </c>
      <c r="O89" s="3091">
        <f ca="1">N89/N69</f>
        <v>1.6196999647558191E-2</v>
      </c>
      <c r="P89" s="2032"/>
      <c r="Q89" s="2032"/>
      <c r="R89" s="2032"/>
      <c r="S89" s="2032"/>
      <c r="T89" s="2032"/>
      <c r="U89" s="2032"/>
      <c r="V89" s="2032"/>
      <c r="W89" s="2036"/>
      <c r="X89" s="2036"/>
      <c r="Y89" s="2036"/>
      <c r="Z89" s="2036"/>
    </row>
    <row r="90" spans="1:26" s="1313" customFormat="1" ht="14.25">
      <c r="A90" s="380" t="s">
        <v>1824</v>
      </c>
      <c r="B90" s="381" t="s">
        <v>439</v>
      </c>
      <c r="C90" s="384">
        <f ca="1">ROUND(D63/(1+'数据-取费表'!C42),0)</f>
        <v>38095</v>
      </c>
      <c r="D90" s="377" t="s">
        <v>19</v>
      </c>
      <c r="E90" s="990"/>
      <c r="F90" s="989"/>
      <c r="G90" s="989"/>
      <c r="H90" s="393"/>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0" t="s">
        <v>1830</v>
      </c>
      <c r="B91" s="347" t="s">
        <v>440</v>
      </c>
      <c r="C91" s="384">
        <f ca="1">C92+C96</f>
        <v>2790</v>
      </c>
      <c r="D91" s="377" t="s">
        <v>19</v>
      </c>
      <c r="E91" s="990"/>
      <c r="F91" s="989"/>
      <c r="G91" s="989"/>
      <c r="H91" s="393"/>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4" t="s">
        <v>1832</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4" t="s">
        <v>1833</v>
      </c>
      <c r="B94" s="399" t="s">
        <v>446</v>
      </c>
      <c r="C94" s="377">
        <f>IF(F93="购房发票",ROUND(C93*H93*5%,0),0)</f>
        <v>500</v>
      </c>
      <c r="D94" s="400">
        <v>0.05</v>
      </c>
      <c r="E94" s="3687" t="s">
        <v>447</v>
      </c>
      <c r="F94" s="3688"/>
      <c r="G94" s="3688"/>
      <c r="H94" s="3689"/>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4" t="s">
        <v>1835</v>
      </c>
      <c r="B96" s="375" t="s">
        <v>450</v>
      </c>
      <c r="C96" s="404">
        <f ca="1">ROUND(D63*D96/(1+'数据-取费表'!C42),0)</f>
        <v>229</v>
      </c>
      <c r="D96" s="405">
        <f>'数据-取费表'!B43</f>
        <v>6.000000000000001E-3</v>
      </c>
      <c r="E96" s="3677" t="s">
        <v>2426</v>
      </c>
      <c r="F96" s="3678"/>
      <c r="G96" s="3678"/>
      <c r="H96" s="3679"/>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1" t="s">
        <v>451</v>
      </c>
      <c r="C97" s="384">
        <f ca="1">C90-C91</f>
        <v>35305</v>
      </c>
      <c r="D97" s="377" t="s">
        <v>19</v>
      </c>
      <c r="E97" s="990"/>
      <c r="F97" s="989"/>
      <c r="G97" s="989"/>
      <c r="H97" s="393"/>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1" t="s">
        <v>452</v>
      </c>
      <c r="C98" s="406">
        <f ca="1">IF(C97&lt;=0,0,C97/C91)</f>
        <v>12.654121863799283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6" t="s">
        <v>453</v>
      </c>
      <c r="C99" s="407">
        <f ca="1">ROUND(IF(C97&lt;=0,0,IF(C98&gt;=200%,C97*60%-C91*35%,IF(C98&gt;=100%,C97*50%-C91*15%,IF(C98&gt;=50%,C97*40%-C91*5%,IF(C98&lt;50%,C97*30%,0))))),0)</f>
        <v>20207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690" t="s">
        <v>454</v>
      </c>
      <c r="B101" s="3691"/>
      <c r="C101" s="3691"/>
      <c r="D101" s="3691"/>
      <c r="E101" s="3691"/>
      <c r="F101" s="3691"/>
      <c r="G101" s="3691"/>
      <c r="H101" s="3691"/>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654" t="s">
        <v>428</v>
      </c>
      <c r="B102" s="3655"/>
      <c r="C102" s="993"/>
      <c r="D102" s="993"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0" t="s">
        <v>1824</v>
      </c>
      <c r="B103" s="381" t="s">
        <v>439</v>
      </c>
      <c r="C103" s="384">
        <f ca="1">ROUND(D63/(1+'数据-取费表'!C42),0)</f>
        <v>38095</v>
      </c>
      <c r="D103" s="377" t="s">
        <v>19</v>
      </c>
      <c r="E103" s="990"/>
      <c r="F103" s="989"/>
      <c r="G103" s="989"/>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0" t="s">
        <v>1830</v>
      </c>
      <c r="B104" s="347" t="s">
        <v>440</v>
      </c>
      <c r="C104" s="384">
        <f ca="1">IF(H106="仅含出让金",C105+C108+C109+C110+C111+C112,C105+C109+C110+C111+C112)</f>
        <v>919</v>
      </c>
      <c r="D104" s="414"/>
      <c r="E104" s="990"/>
      <c r="F104" s="989"/>
      <c r="G104" s="989"/>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4" t="s">
        <v>1831</v>
      </c>
      <c r="B105" s="375" t="s">
        <v>455</v>
      </c>
      <c r="C105" s="404">
        <f>C106+C107</f>
        <v>572</v>
      </c>
      <c r="D105" s="405"/>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4" t="s">
        <v>1832</v>
      </c>
      <c r="B106" s="375" t="s">
        <v>456</v>
      </c>
      <c r="C106" s="415">
        <v>555</v>
      </c>
      <c r="D106" s="405"/>
      <c r="E106" s="416" t="s">
        <v>457</v>
      </c>
      <c r="F106" s="985"/>
      <c r="G106" s="417" t="s">
        <v>458</v>
      </c>
      <c r="H106" s="418" t="s">
        <v>2437</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5" t="s">
        <v>461</v>
      </c>
      <c r="C109" s="404">
        <f>IF(H109="——",IF(F1="现房",'剩余法-现房'!C18,'剩余法-待开发'!C18),I109)</f>
        <v>55</v>
      </c>
      <c r="D109" s="405"/>
      <c r="E109" s="3680" t="s">
        <v>462</v>
      </c>
      <c r="F109" s="3678"/>
      <c r="G109" s="3678"/>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5" t="s">
        <v>463</v>
      </c>
      <c r="C110" s="404">
        <f>ROUND((C105+C108+C109)*D110,0)</f>
        <v>63</v>
      </c>
      <c r="D110" s="405">
        <v>0.1</v>
      </c>
      <c r="E110" s="3680" t="s">
        <v>464</v>
      </c>
      <c r="F110" s="3678"/>
      <c r="G110" s="3678"/>
      <c r="H110" s="3679"/>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5" t="s">
        <v>450</v>
      </c>
      <c r="C111" s="404">
        <f ca="1">ROUND(D63*D111/(1+'数据-取费表'!C42),0)</f>
        <v>229</v>
      </c>
      <c r="D111" s="405">
        <f>'数据-取费表'!B43</f>
        <v>6.000000000000001E-3</v>
      </c>
      <c r="E111" s="3677" t="s">
        <v>2426</v>
      </c>
      <c r="F111" s="3678"/>
      <c r="G111" s="3678"/>
      <c r="H111" s="3679"/>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5" t="s">
        <v>465</v>
      </c>
      <c r="C112" s="404">
        <f>ROUND(C108*D112,0)</f>
        <v>0</v>
      </c>
      <c r="D112" s="405">
        <v>0.2</v>
      </c>
      <c r="E112" s="3680" t="s">
        <v>2451</v>
      </c>
      <c r="F112" s="3678"/>
      <c r="G112" s="3678"/>
      <c r="H112" s="3679"/>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1" t="s">
        <v>451</v>
      </c>
      <c r="C113" s="384">
        <f ca="1">ROUND(C103-C104,0)</f>
        <v>37176</v>
      </c>
      <c r="D113" s="377" t="s">
        <v>19</v>
      </c>
      <c r="E113" s="990"/>
      <c r="F113" s="989"/>
      <c r="G113" s="989"/>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1" t="s">
        <v>452</v>
      </c>
      <c r="C114" s="406">
        <f ca="1">IF(C113&lt;=0,0,C113/C104)</f>
        <v>40.452665941240475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6" t="s">
        <v>453</v>
      </c>
      <c r="C115" s="407">
        <f ca="1">ROUND(IF(C113&lt;=0,0,IF(C114&gt;=200%,C113*60%-C104*35%,IF(C114&gt;=100%,C113*50%-C104*15%,IF(C114&gt;=50%,C113*40%-C104*5%,IF(C114&lt;50%,C113*30%,0))))),0)</f>
        <v>21984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K50" sqref="K50"/>
    </sheetView>
  </sheetViews>
  <sheetFormatPr defaultRowHeight="14.25"/>
  <cols>
    <col min="1" max="1" width="15.625" style="1336" customWidth="1"/>
    <col min="2" max="2" width="15.75" style="1336" customWidth="1"/>
    <col min="3" max="3" width="24.625" style="1336" customWidth="1"/>
    <col min="4" max="4" width="8.625" style="1336" customWidth="1"/>
    <col min="5" max="5" width="24.625" style="1336" customWidth="1"/>
    <col min="6" max="6" width="8.625" style="1336" customWidth="1"/>
    <col min="7" max="7" width="24.625" style="1336" customWidth="1"/>
    <col min="8" max="8" width="8.625" style="1336" customWidth="1"/>
    <col min="9" max="9" width="24.625" style="1336" customWidth="1"/>
    <col min="10" max="10" width="8.625" style="1336" customWidth="1"/>
    <col min="11" max="11" width="8.6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40472</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3556</v>
      </c>
      <c r="C3" s="2060"/>
      <c r="D3" s="2593"/>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5" customFormat="1" ht="28.5" customHeight="1">
      <c r="A4" s="510" t="s">
        <v>521</v>
      </c>
      <c r="B4" s="426">
        <f>IF(B48="单位面积地价",C50,ROUND(B2*10000/'数据-汇总表'!D3,0))</f>
        <v>14366</v>
      </c>
      <c r="C4" s="2060"/>
      <c r="D4" s="2593"/>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958</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0.25">
      <c r="A6" s="511" t="s">
        <v>522</v>
      </c>
      <c r="B6" s="512"/>
      <c r="C6" s="3739" t="s">
        <v>523</v>
      </c>
      <c r="D6" s="3740"/>
      <c r="E6" s="3739" t="s">
        <v>524</v>
      </c>
      <c r="F6" s="3740"/>
      <c r="G6" s="3739" t="s">
        <v>525</v>
      </c>
      <c r="H6" s="3740"/>
      <c r="I6" s="3739" t="s">
        <v>526</v>
      </c>
      <c r="J6" s="3740"/>
      <c r="K6" s="513" t="s">
        <v>527</v>
      </c>
      <c r="L6" s="2132"/>
      <c r="M6" s="2131"/>
      <c r="N6" s="2131"/>
      <c r="O6" s="2133"/>
      <c r="P6" s="3741" t="s">
        <v>528</v>
      </c>
      <c r="Q6" s="3742"/>
      <c r="R6" s="3727" t="s">
        <v>524</v>
      </c>
      <c r="S6" s="3728"/>
      <c r="T6" s="3727" t="s">
        <v>525</v>
      </c>
      <c r="U6" s="3728"/>
      <c r="V6" s="3747" t="s">
        <v>526</v>
      </c>
      <c r="W6" s="3747"/>
      <c r="X6" s="1566"/>
      <c r="Y6" s="3727" t="s">
        <v>528</v>
      </c>
      <c r="Z6" s="3728"/>
      <c r="AA6" s="3722" t="s">
        <v>524</v>
      </c>
      <c r="AB6" s="3723" t="s">
        <v>525</v>
      </c>
      <c r="AC6" s="3722" t="s">
        <v>526</v>
      </c>
    </row>
    <row r="7" spans="1:30" ht="30.75" customHeight="1">
      <c r="A7" s="514"/>
      <c r="B7" s="515"/>
      <c r="C7" s="3750" t="s">
        <v>2917</v>
      </c>
      <c r="D7" s="3751"/>
      <c r="E7" s="3750" t="str">
        <f>土地案例!A9</f>
        <v>雁塔区科技六路以北、经五路以西</v>
      </c>
      <c r="F7" s="3751"/>
      <c r="G7" s="3750" t="str">
        <f>土地案例!A11</f>
        <v>浐灞生态区东三环以西、世博中路以南</v>
      </c>
      <c r="H7" s="3751"/>
      <c r="I7" s="3750" t="str">
        <f>土地案例!A15</f>
        <v>未央区曹家庙村以南、代征路以西、代征绿地以北</v>
      </c>
      <c r="J7" s="3751"/>
      <c r="K7" s="513"/>
      <c r="L7" s="2132"/>
      <c r="M7" s="2131"/>
      <c r="N7" s="2131"/>
      <c r="O7" s="2133"/>
      <c r="P7" s="3743"/>
      <c r="Q7" s="3744"/>
      <c r="R7" s="3729"/>
      <c r="S7" s="3730"/>
      <c r="T7" s="3729"/>
      <c r="U7" s="3730"/>
      <c r="V7" s="3747"/>
      <c r="W7" s="3747"/>
      <c r="X7" s="1566"/>
      <c r="Y7" s="3729"/>
      <c r="Z7" s="3730"/>
      <c r="AA7" s="3723"/>
      <c r="AB7" s="3723"/>
      <c r="AC7" s="3723"/>
    </row>
    <row r="8" spans="1:30" ht="21" thickBot="1">
      <c r="A8" s="514"/>
      <c r="B8" s="515"/>
      <c r="C8" s="3752" t="s">
        <v>2921</v>
      </c>
      <c r="D8" s="3753"/>
      <c r="E8" s="3752" t="s">
        <v>2921</v>
      </c>
      <c r="F8" s="3753"/>
      <c r="G8" s="3748" t="s">
        <v>2921</v>
      </c>
      <c r="H8" s="3749"/>
      <c r="I8" s="3748" t="s">
        <v>2921</v>
      </c>
      <c r="J8" s="3749"/>
      <c r="K8" s="513" t="s">
        <v>529</v>
      </c>
      <c r="L8" s="2132"/>
      <c r="M8" s="2131"/>
      <c r="N8" s="2131"/>
      <c r="O8" s="2133"/>
      <c r="P8" s="3745"/>
      <c r="Q8" s="3746"/>
      <c r="R8" s="3729"/>
      <c r="S8" s="3730"/>
      <c r="T8" s="3731"/>
      <c r="U8" s="3732"/>
      <c r="V8" s="3747"/>
      <c r="W8" s="3747"/>
      <c r="X8" s="1566"/>
      <c r="Y8" s="3731"/>
      <c r="Z8" s="3732"/>
      <c r="AA8" s="3724"/>
      <c r="AB8" s="3724"/>
      <c r="AC8" s="3724"/>
    </row>
    <row r="9" spans="1:30" s="1219" customFormat="1" ht="21" thickBot="1">
      <c r="A9" s="2936"/>
      <c r="B9" s="2943" t="s">
        <v>530</v>
      </c>
      <c r="C9" s="2935">
        <f>'数据-取费表'!B2</f>
        <v>43159</v>
      </c>
      <c r="D9" s="519">
        <v>100</v>
      </c>
      <c r="E9" s="520" t="str">
        <f>土地案例!I9</f>
        <v>2017-03-03</v>
      </c>
      <c r="F9" s="521">
        <f>SUMIF(72:72,YEAR(E9)&amp;"-"&amp;INT((MONTH(E9)+2)/3),73:73)</f>
        <v>88</v>
      </c>
      <c r="G9" s="522" t="str">
        <f>土地案例!I11</f>
        <v>2017-07-26</v>
      </c>
      <c r="H9" s="519">
        <f>SUMIF(72:72,YEAR(G9)&amp;"-"&amp;INT((MONTH(G9)+2)/3),73:73)</f>
        <v>94</v>
      </c>
      <c r="I9" s="522" t="str">
        <f>土地案例!I15</f>
        <v>2017-07-18</v>
      </c>
      <c r="J9" s="519">
        <f>SUMIF(72:72,YEAR(I9)&amp;"-"&amp;INT((MONTH(I9)+2)/3),73:73)</f>
        <v>94</v>
      </c>
      <c r="K9" s="523"/>
      <c r="L9" s="2134"/>
      <c r="M9" s="2131"/>
      <c r="N9" s="2131"/>
      <c r="O9" s="2135"/>
      <c r="P9" s="3725" t="s">
        <v>531</v>
      </c>
      <c r="Q9" s="3734"/>
      <c r="R9" s="1567" t="s">
        <v>8</v>
      </c>
      <c r="S9" s="1568">
        <f t="shared" ref="S9:S17" si="0">F9</f>
        <v>88</v>
      </c>
      <c r="T9" s="1567" t="s">
        <v>8</v>
      </c>
      <c r="U9" s="1568">
        <f t="shared" ref="U9:U17" si="1">H9</f>
        <v>94</v>
      </c>
      <c r="V9" s="1567" t="s">
        <v>8</v>
      </c>
      <c r="W9" s="1568">
        <f t="shared" ref="W9:W17" si="2">J9</f>
        <v>94</v>
      </c>
      <c r="X9" s="1569"/>
      <c r="Y9" s="3725" t="s">
        <v>531</v>
      </c>
      <c r="Z9" s="3726"/>
      <c r="AA9" s="1570">
        <f>D9/F9</f>
        <v>1.1363636363636365</v>
      </c>
      <c r="AB9" s="1570">
        <f>D9/H9</f>
        <v>1.0638297872340425</v>
      </c>
      <c r="AC9" s="1570">
        <f>D9/J9</f>
        <v>1.0638297872340425</v>
      </c>
    </row>
    <row r="10" spans="1:30" s="1219" customFormat="1" ht="21" thickBot="1">
      <c r="A10" s="2937"/>
      <c r="B10" s="2944" t="s">
        <v>532</v>
      </c>
      <c r="C10" s="855" t="s">
        <v>533</v>
      </c>
      <c r="D10" s="519">
        <v>100</v>
      </c>
      <c r="E10" s="524" t="s">
        <v>3649</v>
      </c>
      <c r="F10" s="521">
        <f>SUMIF(75:75,E10,76:76)-SUMIF(75:75,C10,76:76)+100</f>
        <v>100</v>
      </c>
      <c r="G10" s="524" t="s">
        <v>3649</v>
      </c>
      <c r="H10" s="519">
        <f>SUMIF(75:75,G10,76:76)-SUMIF(75:75,C10,76:76)+100</f>
        <v>100</v>
      </c>
      <c r="I10" s="524" t="s">
        <v>3649</v>
      </c>
      <c r="J10" s="519">
        <f>SUMIF(75:75,I10,76:76)-SUMIF(75:75,C10,76:76)+100</f>
        <v>100</v>
      </c>
      <c r="K10" s="523"/>
      <c r="L10" s="2134"/>
      <c r="M10" s="2131"/>
      <c r="N10" s="2131"/>
      <c r="O10" s="2135"/>
      <c r="P10" s="3725" t="s">
        <v>534</v>
      </c>
      <c r="Q10" s="3726"/>
      <c r="R10" s="1567" t="s">
        <v>8</v>
      </c>
      <c r="S10" s="1568">
        <f t="shared" si="0"/>
        <v>100</v>
      </c>
      <c r="T10" s="1567" t="s">
        <v>8</v>
      </c>
      <c r="U10" s="1568">
        <f t="shared" si="1"/>
        <v>100</v>
      </c>
      <c r="V10" s="1567" t="s">
        <v>8</v>
      </c>
      <c r="W10" s="1568">
        <f t="shared" si="2"/>
        <v>100</v>
      </c>
      <c r="X10" s="1569"/>
      <c r="Y10" s="3725" t="s">
        <v>534</v>
      </c>
      <c r="Z10" s="3726"/>
      <c r="AA10" s="1570">
        <f t="shared" ref="AA10:AA47" si="3">D10/F10</f>
        <v>1</v>
      </c>
      <c r="AB10" s="1570">
        <f t="shared" ref="AB10:AB47" si="4">D10/H10</f>
        <v>1</v>
      </c>
      <c r="AC10" s="1570">
        <f t="shared" ref="AC10:AC47" si="5">D10/J10</f>
        <v>1</v>
      </c>
    </row>
    <row r="11" spans="1:30" s="1219" customFormat="1" ht="20.25">
      <c r="A11" s="2938"/>
      <c r="B11" s="2945" t="s">
        <v>2755</v>
      </c>
      <c r="C11" s="2932" t="s">
        <v>3207</v>
      </c>
      <c r="D11" s="253">
        <v>100</v>
      </c>
      <c r="E11" s="525" t="s">
        <v>3203</v>
      </c>
      <c r="F11" s="253">
        <f>SUMIF(77:77,E11,78:78)-SUMIF(77:77,C11,78:78)+100</f>
        <v>100</v>
      </c>
      <c r="G11" s="525" t="s">
        <v>3201</v>
      </c>
      <c r="H11" s="253">
        <f>SUMIF(77:77,G11,78:78)-SUMIF(77:77,C11,78:78)+100</f>
        <v>100</v>
      </c>
      <c r="I11" s="525" t="s">
        <v>3201</v>
      </c>
      <c r="J11" s="253">
        <f>SUMIF(77:77,I11,78:78)-SUMIF(77:77,C11,78:78)+100</f>
        <v>100</v>
      </c>
      <c r="K11" s="523"/>
      <c r="L11" s="2134"/>
      <c r="M11" s="2131"/>
      <c r="N11" s="2131"/>
      <c r="O11" s="2136"/>
      <c r="P11" s="3733" t="s">
        <v>536</v>
      </c>
      <c r="Q11" s="1150" t="str">
        <f t="shared" ref="Q11:Q17" si="6">B11</f>
        <v>用途</v>
      </c>
      <c r="R11" s="1567" t="s">
        <v>8</v>
      </c>
      <c r="S11" s="1568">
        <f t="shared" si="0"/>
        <v>100</v>
      </c>
      <c r="T11" s="1567" t="s">
        <v>8</v>
      </c>
      <c r="U11" s="1568">
        <f t="shared" si="1"/>
        <v>100</v>
      </c>
      <c r="V11" s="1567" t="s">
        <v>8</v>
      </c>
      <c r="W11" s="1568">
        <f t="shared" si="2"/>
        <v>100</v>
      </c>
      <c r="X11" s="1569"/>
      <c r="Y11" s="3686" t="s">
        <v>537</v>
      </c>
      <c r="Z11" s="1149" t="str">
        <f t="shared" ref="Z11:Z17" si="7">Q11</f>
        <v>用途</v>
      </c>
      <c r="AA11" s="1570">
        <f t="shared" si="3"/>
        <v>1</v>
      </c>
      <c r="AB11" s="1570">
        <f t="shared" si="4"/>
        <v>1</v>
      </c>
      <c r="AC11" s="1570">
        <f t="shared" si="5"/>
        <v>1</v>
      </c>
    </row>
    <row r="12" spans="1:30" s="1337" customFormat="1" ht="27">
      <c r="A12" s="2939"/>
      <c r="B12" s="2944" t="s">
        <v>2756</v>
      </c>
      <c r="C12" s="909"/>
      <c r="D12" s="254">
        <v>100</v>
      </c>
      <c r="E12" s="528"/>
      <c r="F12" s="254">
        <f>ROUND(100/'数据-取费表'!G16,0)</f>
        <v>102</v>
      </c>
      <c r="G12" s="529"/>
      <c r="H12" s="254">
        <f>ROUND(100/'数据-取费表'!G16,0)</f>
        <v>102</v>
      </c>
      <c r="I12" s="529"/>
      <c r="J12" s="254">
        <f>ROUND(100/'数据-取费表'!G16,0)</f>
        <v>102</v>
      </c>
      <c r="K12" s="530"/>
      <c r="L12" s="2137"/>
      <c r="M12" s="2131"/>
      <c r="N12" s="2131"/>
      <c r="O12" s="2138"/>
      <c r="P12" s="3733"/>
      <c r="Q12" s="1150" t="str">
        <f t="shared" si="6"/>
        <v>土地使用年限（年）</v>
      </c>
      <c r="R12" s="1567" t="s">
        <v>8</v>
      </c>
      <c r="S12" s="1568">
        <f t="shared" si="0"/>
        <v>102</v>
      </c>
      <c r="T12" s="1567" t="s">
        <v>8</v>
      </c>
      <c r="U12" s="1568">
        <f t="shared" si="1"/>
        <v>102</v>
      </c>
      <c r="V12" s="1567" t="s">
        <v>8</v>
      </c>
      <c r="W12" s="1568">
        <f t="shared" si="2"/>
        <v>102</v>
      </c>
      <c r="X12" s="1569"/>
      <c r="Y12" s="3686"/>
      <c r="Z12" s="1149" t="str">
        <f t="shared" si="7"/>
        <v>土地使用年限（年）</v>
      </c>
      <c r="AA12" s="1570">
        <f t="shared" si="3"/>
        <v>0.98039215686274506</v>
      </c>
      <c r="AB12" s="1570">
        <f t="shared" si="4"/>
        <v>0.98039215686274506</v>
      </c>
      <c r="AC12" s="1570">
        <f t="shared" si="5"/>
        <v>0.98039215686274506</v>
      </c>
    </row>
    <row r="13" spans="1:30" ht="21" thickBot="1">
      <c r="A13" s="2940"/>
      <c r="B13" s="2944" t="s">
        <v>2757</v>
      </c>
      <c r="C13" s="533">
        <f>'数据-汇总表'!I6</f>
        <v>2.99</v>
      </c>
      <c r="D13" s="254">
        <v>100</v>
      </c>
      <c r="E13" s="532">
        <v>2.8</v>
      </c>
      <c r="F13" s="254">
        <f>LOOKUP(E13,82:82,83:83)-LOOKUP(C13,82:82,83:83)+100</f>
        <v>100</v>
      </c>
      <c r="G13" s="533">
        <v>2</v>
      </c>
      <c r="H13" s="254">
        <f>LOOKUP(G13,82:82,83:83)-LOOKUP(C13,82:82,83:83)+100</f>
        <v>100</v>
      </c>
      <c r="I13" s="532">
        <v>3.5</v>
      </c>
      <c r="J13" s="254">
        <f>LOOKUP(I13,82:82,83:83)-LOOKUP(C13,82:82,83:83)+100</f>
        <v>97</v>
      </c>
      <c r="K13" s="534">
        <v>3</v>
      </c>
      <c r="L13" s="2139"/>
      <c r="M13" s="2131"/>
      <c r="N13" s="2131"/>
      <c r="O13" s="2140"/>
      <c r="P13" s="3733"/>
      <c r="Q13" s="1150" t="str">
        <f t="shared" si="6"/>
        <v>容积率</v>
      </c>
      <c r="R13" s="1567" t="s">
        <v>8</v>
      </c>
      <c r="S13" s="1568">
        <f t="shared" si="0"/>
        <v>100</v>
      </c>
      <c r="T13" s="1567" t="s">
        <v>8</v>
      </c>
      <c r="U13" s="1568">
        <f t="shared" si="1"/>
        <v>100</v>
      </c>
      <c r="V13" s="1567" t="s">
        <v>8</v>
      </c>
      <c r="W13" s="1568">
        <f t="shared" si="2"/>
        <v>97</v>
      </c>
      <c r="X13" s="1569"/>
      <c r="Y13" s="3686"/>
      <c r="Z13" s="1149" t="str">
        <f t="shared" si="7"/>
        <v>容积率</v>
      </c>
      <c r="AA13" s="1570">
        <f t="shared" si="3"/>
        <v>1</v>
      </c>
      <c r="AB13" s="1570">
        <f t="shared" si="4"/>
        <v>1</v>
      </c>
      <c r="AC13" s="1570">
        <f t="shared" si="5"/>
        <v>1.0309278350515463</v>
      </c>
    </row>
    <row r="14" spans="1:30" s="1219" customFormat="1" ht="20.25" hidden="1">
      <c r="A14" s="2937"/>
      <c r="B14" s="2946" t="s">
        <v>2758</v>
      </c>
      <c r="C14" s="2933"/>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733"/>
      <c r="Q14" s="1150" t="str">
        <f t="shared" si="6"/>
        <v>配建</v>
      </c>
      <c r="R14" s="1567" t="s">
        <v>8</v>
      </c>
      <c r="S14" s="1568">
        <f t="shared" si="0"/>
        <v>100</v>
      </c>
      <c r="T14" s="1567" t="s">
        <v>8</v>
      </c>
      <c r="U14" s="1568">
        <f t="shared" si="1"/>
        <v>100</v>
      </c>
      <c r="V14" s="1567" t="s">
        <v>8</v>
      </c>
      <c r="W14" s="1568">
        <f t="shared" si="2"/>
        <v>100</v>
      </c>
      <c r="X14" s="1569"/>
      <c r="Y14" s="3686"/>
      <c r="Z14" s="1149" t="str">
        <f t="shared" si="7"/>
        <v>配建</v>
      </c>
      <c r="AA14" s="1570">
        <f>D14/F14</f>
        <v>1</v>
      </c>
      <c r="AB14" s="1570">
        <f>D14/H14</f>
        <v>1</v>
      </c>
      <c r="AC14" s="1570">
        <f>D14/J14</f>
        <v>1</v>
      </c>
    </row>
    <row r="15" spans="1:30" ht="20.25" hidden="1">
      <c r="A15" s="2941"/>
      <c r="B15" s="2947"/>
      <c r="C15" s="911"/>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733"/>
      <c r="Q15" s="1150">
        <f t="shared" si="6"/>
        <v>0</v>
      </c>
      <c r="R15" s="1567" t="s">
        <v>8</v>
      </c>
      <c r="S15" s="1568">
        <f t="shared" si="0"/>
        <v>100</v>
      </c>
      <c r="T15" s="1567" t="s">
        <v>8</v>
      </c>
      <c r="U15" s="1568">
        <f t="shared" si="1"/>
        <v>100</v>
      </c>
      <c r="V15" s="1567" t="s">
        <v>8</v>
      </c>
      <c r="W15" s="1568">
        <f t="shared" si="2"/>
        <v>100</v>
      </c>
      <c r="X15" s="1569"/>
      <c r="Y15" s="3686"/>
      <c r="Z15" s="1149">
        <f t="shared" si="7"/>
        <v>0</v>
      </c>
      <c r="AA15" s="1570">
        <f>D15/F15</f>
        <v>1</v>
      </c>
      <c r="AB15" s="1570">
        <f>D15/H15</f>
        <v>1</v>
      </c>
      <c r="AC15" s="1570">
        <f>D15/J15</f>
        <v>1</v>
      </c>
    </row>
    <row r="16" spans="1:30" ht="21" hidden="1" thickBot="1">
      <c r="A16" s="2942"/>
      <c r="B16" s="2948"/>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733"/>
      <c r="Q16" s="1150">
        <f t="shared" si="6"/>
        <v>0</v>
      </c>
      <c r="R16" s="1567" t="s">
        <v>8</v>
      </c>
      <c r="S16" s="1568">
        <f t="shared" si="0"/>
        <v>100</v>
      </c>
      <c r="T16" s="1567" t="s">
        <v>8</v>
      </c>
      <c r="U16" s="1568">
        <f t="shared" si="1"/>
        <v>100</v>
      </c>
      <c r="V16" s="1567" t="s">
        <v>8</v>
      </c>
      <c r="W16" s="1568">
        <f t="shared" si="2"/>
        <v>100</v>
      </c>
      <c r="X16" s="1569"/>
      <c r="Y16" s="3686"/>
      <c r="Z16" s="1149">
        <f t="shared" si="7"/>
        <v>0</v>
      </c>
      <c r="AA16" s="1570">
        <f>D16/F16</f>
        <v>1</v>
      </c>
      <c r="AB16" s="1570">
        <f>D16/H16</f>
        <v>1</v>
      </c>
      <c r="AC16" s="1570">
        <f>D16/J16</f>
        <v>1</v>
      </c>
    </row>
    <row r="17" spans="1:29" ht="99.75" customHeight="1">
      <c r="A17" s="2934" t="s">
        <v>2753</v>
      </c>
      <c r="B17" s="577" t="s">
        <v>295</v>
      </c>
      <c r="C17" s="547" t="str">
        <f>估价对象房地状况!C15</f>
        <v>周边居住用地比例、居住小区规模和社区发展完善程度（先锋花园 金科天籁城 华远锦悦）</v>
      </c>
      <c r="D17" s="550">
        <v>100</v>
      </c>
      <c r="E17" s="551" t="s">
        <v>3676</v>
      </c>
      <c r="F17" s="548">
        <f>SUMIF(90:90,E18,91:91)-SUMIF(90:90,C18,91:91)+100</f>
        <v>100</v>
      </c>
      <c r="G17" s="3507" t="s">
        <v>3680</v>
      </c>
      <c r="H17" s="548">
        <f>SUMIF(90:90,G18,91:91)-SUMIF(90:90,C18,91:91)+100</f>
        <v>95</v>
      </c>
      <c r="I17" s="551" t="s">
        <v>3685</v>
      </c>
      <c r="J17" s="548">
        <f>SUMIF(90:90,I18,91:91)-SUMIF(90:90,C18,91:91)+100</f>
        <v>100</v>
      </c>
      <c r="K17" s="534">
        <v>5</v>
      </c>
      <c r="L17" s="2141"/>
      <c r="M17" s="2131"/>
      <c r="N17" s="2131"/>
      <c r="O17" s="2140"/>
      <c r="P17" s="3735" t="s">
        <v>541</v>
      </c>
      <c r="Q17" s="1571" t="str">
        <f t="shared" si="6"/>
        <v>居住社区成熟度</v>
      </c>
      <c r="R17" s="1572" t="s">
        <v>8</v>
      </c>
      <c r="S17" s="1573">
        <f t="shared" si="0"/>
        <v>100</v>
      </c>
      <c r="T17" s="1572" t="s">
        <v>8</v>
      </c>
      <c r="U17" s="1573">
        <f t="shared" si="1"/>
        <v>95</v>
      </c>
      <c r="V17" s="1572" t="s">
        <v>8</v>
      </c>
      <c r="W17" s="1573">
        <f t="shared" si="2"/>
        <v>100</v>
      </c>
      <c r="X17" s="1566"/>
      <c r="Y17" s="3735" t="s">
        <v>541</v>
      </c>
      <c r="Z17" s="1574" t="str">
        <f t="shared" si="7"/>
        <v>居住社区成熟度</v>
      </c>
      <c r="AA17" s="1575">
        <f t="shared" si="3"/>
        <v>1</v>
      </c>
      <c r="AB17" s="1575">
        <f t="shared" si="4"/>
        <v>1.0526315789473684</v>
      </c>
      <c r="AC17" s="1575">
        <f t="shared" si="5"/>
        <v>1</v>
      </c>
    </row>
    <row r="18" spans="1:29" ht="20.25">
      <c r="A18" s="531"/>
      <c r="B18" s="552"/>
      <c r="C18" s="553" t="s">
        <v>3650</v>
      </c>
      <c r="D18" s="556"/>
      <c r="E18" s="557" t="s">
        <v>3650</v>
      </c>
      <c r="F18" s="554"/>
      <c r="G18" s="555" t="s">
        <v>3666</v>
      </c>
      <c r="H18" s="558"/>
      <c r="I18" s="557" t="s">
        <v>3650</v>
      </c>
      <c r="J18" s="554"/>
      <c r="K18" s="530"/>
      <c r="L18" s="2141"/>
      <c r="M18" s="2131"/>
      <c r="N18" s="2131"/>
      <c r="O18" s="2140"/>
      <c r="P18" s="3736"/>
      <c r="Q18" s="1571"/>
      <c r="R18" s="1572"/>
      <c r="S18" s="1573"/>
      <c r="T18" s="1572"/>
      <c r="U18" s="1573"/>
      <c r="V18" s="1572"/>
      <c r="W18" s="1573"/>
      <c r="X18" s="1566"/>
      <c r="Y18" s="3736"/>
      <c r="Z18" s="1574"/>
      <c r="AA18" s="1575">
        <v>1</v>
      </c>
      <c r="AB18" s="1575">
        <v>1</v>
      </c>
      <c r="AC18" s="1575">
        <v>1</v>
      </c>
    </row>
    <row r="19" spans="1:29" ht="42.75">
      <c r="A19" s="531"/>
      <c r="B19" s="559" t="s">
        <v>542</v>
      </c>
      <c r="C19" s="560" t="str">
        <f>估价对象房地状况!C16</f>
        <v>XX商圈，商业氛围，人流量（万达广场 大明宫购物中心 大明宫中央广场 建材）</v>
      </c>
      <c r="D19" s="562">
        <v>100</v>
      </c>
      <c r="E19" s="563"/>
      <c r="F19" s="558">
        <f>SUMIF(92:92,E20,93:93)-SUMIF(92:92,C20,93:93)+100</f>
        <v>97</v>
      </c>
      <c r="G19" s="3501" t="s">
        <v>3681</v>
      </c>
      <c r="H19" s="564">
        <f>SUMIF(92:92,G20,93:93)-SUMIF(92:92,C20,93:93)+100</f>
        <v>100</v>
      </c>
      <c r="I19" s="563" t="s">
        <v>3686</v>
      </c>
      <c r="J19" s="564">
        <f>SUMIF(92:92,I20,93:93)-SUMIF(92:92,C20,93:93)+100</f>
        <v>100</v>
      </c>
      <c r="K19" s="534">
        <v>3</v>
      </c>
      <c r="L19" s="2141"/>
      <c r="M19" s="2131"/>
      <c r="N19" s="2131"/>
      <c r="O19" s="2140"/>
      <c r="P19" s="3736"/>
      <c r="Q19" s="1571" t="str">
        <f>B19</f>
        <v>商业繁华度</v>
      </c>
      <c r="R19" s="1572" t="s">
        <v>8</v>
      </c>
      <c r="S19" s="1573">
        <f>F19</f>
        <v>97</v>
      </c>
      <c r="T19" s="1572" t="s">
        <v>8</v>
      </c>
      <c r="U19" s="1573">
        <f>H19</f>
        <v>100</v>
      </c>
      <c r="V19" s="1572" t="s">
        <v>8</v>
      </c>
      <c r="W19" s="1573">
        <f>J19</f>
        <v>100</v>
      </c>
      <c r="X19" s="1566"/>
      <c r="Y19" s="3736"/>
      <c r="Z19" s="1574" t="str">
        <f>Q19</f>
        <v>商业繁华度</v>
      </c>
      <c r="AA19" s="1575">
        <f t="shared" si="3"/>
        <v>1.0309278350515463</v>
      </c>
      <c r="AB19" s="1575">
        <f t="shared" si="4"/>
        <v>1</v>
      </c>
      <c r="AC19" s="1575">
        <f t="shared" si="5"/>
        <v>1</v>
      </c>
    </row>
    <row r="20" spans="1:29" ht="20.25">
      <c r="A20" s="531"/>
      <c r="B20" s="565"/>
      <c r="C20" s="566" t="s">
        <v>3650</v>
      </c>
      <c r="D20" s="562"/>
      <c r="E20" s="568" t="s">
        <v>3666</v>
      </c>
      <c r="F20" s="558"/>
      <c r="G20" s="567" t="s">
        <v>3650</v>
      </c>
      <c r="H20" s="554"/>
      <c r="I20" s="568" t="s">
        <v>3650</v>
      </c>
      <c r="J20" s="554"/>
      <c r="K20" s="530"/>
      <c r="L20" s="2141"/>
      <c r="M20" s="2131"/>
      <c r="N20" s="2131"/>
      <c r="O20" s="2140"/>
      <c r="P20" s="3736"/>
      <c r="Q20" s="1571"/>
      <c r="R20" s="1572"/>
      <c r="S20" s="1573"/>
      <c r="T20" s="1572"/>
      <c r="U20" s="1573"/>
      <c r="V20" s="1572"/>
      <c r="W20" s="1573"/>
      <c r="X20" s="1566"/>
      <c r="Y20" s="3736"/>
      <c r="Z20" s="1574"/>
      <c r="AA20" s="1575">
        <v>1</v>
      </c>
      <c r="AB20" s="1575">
        <v>1</v>
      </c>
      <c r="AC20" s="1575">
        <v>1</v>
      </c>
    </row>
    <row r="21" spans="1:29" ht="20.25" hidden="1">
      <c r="A21" s="531"/>
      <c r="B21" s="559" t="s">
        <v>543</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736"/>
      <c r="Q21" s="1571" t="str">
        <f>B21</f>
        <v>办公集聚程度</v>
      </c>
      <c r="R21" s="1572" t="s">
        <v>8</v>
      </c>
      <c r="S21" s="1573">
        <f>F21</f>
        <v>100</v>
      </c>
      <c r="T21" s="1572" t="s">
        <v>8</v>
      </c>
      <c r="U21" s="1573">
        <f>H21</f>
        <v>100</v>
      </c>
      <c r="V21" s="1572" t="s">
        <v>8</v>
      </c>
      <c r="W21" s="1573">
        <f>J21</f>
        <v>100</v>
      </c>
      <c r="X21" s="1566"/>
      <c r="Y21" s="3736"/>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1"/>
      <c r="M22" s="2131"/>
      <c r="N22" s="2131"/>
      <c r="O22" s="2140"/>
      <c r="P22" s="3736"/>
      <c r="Q22" s="1571"/>
      <c r="R22" s="1572"/>
      <c r="S22" s="1573"/>
      <c r="T22" s="1572"/>
      <c r="U22" s="1573"/>
      <c r="V22" s="1572"/>
      <c r="W22" s="1573"/>
      <c r="X22" s="1566"/>
      <c r="Y22" s="3736"/>
      <c r="Z22" s="1574"/>
      <c r="AA22" s="1575">
        <v>1</v>
      </c>
      <c r="AB22" s="1575">
        <v>1</v>
      </c>
      <c r="AC22" s="1575">
        <v>1</v>
      </c>
    </row>
    <row r="23" spans="1:29" ht="57">
      <c r="A23" s="531"/>
      <c r="B23" s="559" t="s">
        <v>544</v>
      </c>
      <c r="C23" s="572" t="str">
        <f>估价对象房地状况!C18</f>
        <v>周边道路状况、公共交通通达情况、停车便捷程度（二环北路 17路 209路 245路 地铁3号线辛家庙站2公里</v>
      </c>
      <c r="D23" s="562">
        <v>100</v>
      </c>
      <c r="E23" s="563" t="s">
        <v>3677</v>
      </c>
      <c r="F23" s="564">
        <f>SUMIF(96:96,E24,97:97)-SUMIF(96:96,C24,97:97)+100</f>
        <v>97</v>
      </c>
      <c r="G23" s="561" t="s">
        <v>3682</v>
      </c>
      <c r="H23" s="558">
        <f>SUMIF(96:96,G24,97:97)-SUMIF(96:96,C24,97:97)+100</f>
        <v>100</v>
      </c>
      <c r="I23" s="563" t="s">
        <v>3687</v>
      </c>
      <c r="J23" s="558">
        <f>SUMIF(96:96,I24,97:97)-SUMIF(96:96,C24,97:97)+100</f>
        <v>97</v>
      </c>
      <c r="K23" s="534">
        <v>3</v>
      </c>
      <c r="L23" s="2141"/>
      <c r="M23" s="2131"/>
      <c r="N23" s="2131"/>
      <c r="O23" s="2140"/>
      <c r="P23" s="3736"/>
      <c r="Q23" s="1571" t="str">
        <f>B23</f>
        <v>交通便捷度</v>
      </c>
      <c r="R23" s="1572" t="s">
        <v>8</v>
      </c>
      <c r="S23" s="1573">
        <f>F23</f>
        <v>97</v>
      </c>
      <c r="T23" s="1572" t="s">
        <v>8</v>
      </c>
      <c r="U23" s="1573">
        <f>H23</f>
        <v>100</v>
      </c>
      <c r="V23" s="1572" t="s">
        <v>8</v>
      </c>
      <c r="W23" s="1573">
        <f>J23</f>
        <v>97</v>
      </c>
      <c r="X23" s="1566"/>
      <c r="Y23" s="3736"/>
      <c r="Z23" s="1574" t="str">
        <f>Q23</f>
        <v>交通便捷度</v>
      </c>
      <c r="AA23" s="1575">
        <f t="shared" si="3"/>
        <v>1.0309278350515463</v>
      </c>
      <c r="AB23" s="1575">
        <f t="shared" si="4"/>
        <v>1</v>
      </c>
      <c r="AC23" s="1575">
        <f t="shared" si="5"/>
        <v>1.0309278350515463</v>
      </c>
    </row>
    <row r="24" spans="1:29" ht="20.25">
      <c r="A24" s="531"/>
      <c r="B24" s="577"/>
      <c r="C24" s="553" t="s">
        <v>3650</v>
      </c>
      <c r="D24" s="556"/>
      <c r="E24" s="557" t="s">
        <v>3666</v>
      </c>
      <c r="F24" s="554"/>
      <c r="G24" s="3508" t="s">
        <v>3651</v>
      </c>
      <c r="H24" s="554"/>
      <c r="I24" s="557" t="s">
        <v>3666</v>
      </c>
      <c r="J24" s="554"/>
      <c r="K24" s="530"/>
      <c r="L24" s="2141"/>
      <c r="M24" s="2131"/>
      <c r="N24" s="2131"/>
      <c r="O24" s="2140"/>
      <c r="P24" s="3736"/>
      <c r="Q24" s="1571"/>
      <c r="R24" s="1572"/>
      <c r="S24" s="1573"/>
      <c r="T24" s="1572"/>
      <c r="U24" s="1573"/>
      <c r="V24" s="1572"/>
      <c r="W24" s="1573"/>
      <c r="X24" s="1566"/>
      <c r="Y24" s="3736"/>
      <c r="Z24" s="1574"/>
      <c r="AA24" s="1575">
        <v>1</v>
      </c>
      <c r="AB24" s="1575">
        <v>1</v>
      </c>
      <c r="AC24" s="1575">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1"/>
      <c r="M25" s="2131"/>
      <c r="N25" s="2131"/>
      <c r="O25" s="2140"/>
      <c r="P25" s="3736"/>
      <c r="Q25" s="1571" t="str">
        <f t="shared" ref="Q25:Q39" si="8">B25</f>
        <v>区域土地利用方向</v>
      </c>
      <c r="R25" s="1572" t="s">
        <v>8</v>
      </c>
      <c r="S25" s="1573">
        <f>F25</f>
        <v>100</v>
      </c>
      <c r="T25" s="1572" t="s">
        <v>8</v>
      </c>
      <c r="U25" s="1573">
        <f>H25</f>
        <v>100</v>
      </c>
      <c r="V25" s="1572" t="s">
        <v>8</v>
      </c>
      <c r="W25" s="1573">
        <f>J25</f>
        <v>100</v>
      </c>
      <c r="X25" s="1566"/>
      <c r="Y25" s="3736"/>
      <c r="Z25" s="1574" t="str">
        <f>Q25</f>
        <v>区域土地利用方向</v>
      </c>
      <c r="AA25" s="1575">
        <f t="shared" si="3"/>
        <v>1</v>
      </c>
      <c r="AB25" s="1575">
        <f t="shared" si="4"/>
        <v>1</v>
      </c>
      <c r="AC25" s="1575">
        <f t="shared" si="5"/>
        <v>1</v>
      </c>
    </row>
    <row r="26" spans="1:29" ht="20.25">
      <c r="A26" s="514"/>
      <c r="B26" s="1006"/>
      <c r="C26" s="553" t="s">
        <v>3650</v>
      </c>
      <c r="D26" s="556"/>
      <c r="E26" s="553" t="s">
        <v>3650</v>
      </c>
      <c r="F26" s="554"/>
      <c r="G26" s="553" t="s">
        <v>3650</v>
      </c>
      <c r="H26" s="554"/>
      <c r="I26" s="553" t="s">
        <v>3650</v>
      </c>
      <c r="J26" s="554"/>
      <c r="K26" s="530"/>
      <c r="L26" s="2141"/>
      <c r="M26" s="2131"/>
      <c r="N26" s="2131"/>
      <c r="O26" s="2140"/>
      <c r="P26" s="3736"/>
      <c r="Q26" s="1571"/>
      <c r="R26" s="1572"/>
      <c r="S26" s="1573"/>
      <c r="T26" s="1572"/>
      <c r="U26" s="1573"/>
      <c r="V26" s="1572"/>
      <c r="W26" s="1573"/>
      <c r="X26" s="1566"/>
      <c r="Y26" s="3736"/>
      <c r="Z26" s="1574"/>
      <c r="AA26" s="1575"/>
      <c r="AB26" s="1575"/>
      <c r="AC26" s="1575"/>
    </row>
    <row r="27" spans="1:29" ht="27">
      <c r="A27" s="514"/>
      <c r="B27" s="577" t="s">
        <v>546</v>
      </c>
      <c r="C27" s="560" t="str">
        <f>估价对象房地状况!C20</f>
        <v>大明宫国家遗址公园</v>
      </c>
      <c r="D27" s="562">
        <v>100</v>
      </c>
      <c r="E27" s="3502" t="s">
        <v>3678</v>
      </c>
      <c r="F27" s="558">
        <f>SUMIF(100:100,E28,101:101)-SUMIF(100:100,C28,101:101)+100</f>
        <v>100</v>
      </c>
      <c r="G27" s="3501" t="s">
        <v>3683</v>
      </c>
      <c r="H27" s="558">
        <f>SUMIF(100:100,G28,101:101)-SUMIF(100:100,C28,101:101)+100</f>
        <v>100</v>
      </c>
      <c r="I27" s="3502" t="s">
        <v>3689</v>
      </c>
      <c r="J27" s="558">
        <f>SUMIF(100:100,I28,101:101)-SUMIF(100:100,C28,101:101)+100</f>
        <v>100</v>
      </c>
      <c r="K27" s="534">
        <v>2</v>
      </c>
      <c r="L27" s="2141"/>
      <c r="M27" s="2131"/>
      <c r="N27" s="2131"/>
      <c r="O27" s="2140"/>
      <c r="P27" s="3736"/>
      <c r="Q27" s="1571" t="str">
        <f t="shared" si="8"/>
        <v>自然及人文环境状况</v>
      </c>
      <c r="R27" s="1572" t="s">
        <v>8</v>
      </c>
      <c r="S27" s="1573">
        <f>F27</f>
        <v>100</v>
      </c>
      <c r="T27" s="1572" t="s">
        <v>8</v>
      </c>
      <c r="U27" s="1573">
        <f>H27</f>
        <v>100</v>
      </c>
      <c r="V27" s="1572" t="s">
        <v>8</v>
      </c>
      <c r="W27" s="1573">
        <f>J27</f>
        <v>100</v>
      </c>
      <c r="X27" s="1566"/>
      <c r="Y27" s="3736"/>
      <c r="Z27" s="1574" t="str">
        <f>Q27</f>
        <v>自然及人文环境状况</v>
      </c>
      <c r="AA27" s="1575">
        <f t="shared" si="3"/>
        <v>1</v>
      </c>
      <c r="AB27" s="1575">
        <f t="shared" si="4"/>
        <v>1</v>
      </c>
      <c r="AC27" s="1575">
        <f t="shared" si="5"/>
        <v>1</v>
      </c>
    </row>
    <row r="28" spans="1:29" ht="20.25">
      <c r="A28" s="514"/>
      <c r="B28" s="565"/>
      <c r="C28" s="553" t="s">
        <v>3650</v>
      </c>
      <c r="D28" s="556"/>
      <c r="E28" s="553" t="s">
        <v>3650</v>
      </c>
      <c r="F28" s="554"/>
      <c r="G28" s="553" t="s">
        <v>3650</v>
      </c>
      <c r="H28" s="554"/>
      <c r="I28" s="553" t="s">
        <v>3650</v>
      </c>
      <c r="J28" s="554"/>
      <c r="K28" s="530"/>
      <c r="L28" s="2141"/>
      <c r="M28" s="2131"/>
      <c r="N28" s="2131"/>
      <c r="O28" s="2140"/>
      <c r="P28" s="3736"/>
      <c r="Q28" s="1571"/>
      <c r="R28" s="1572"/>
      <c r="S28" s="1573"/>
      <c r="T28" s="1572"/>
      <c r="U28" s="1573"/>
      <c r="V28" s="1572"/>
      <c r="W28" s="1573"/>
      <c r="X28" s="1566"/>
      <c r="Y28" s="3736"/>
      <c r="Z28" s="1574"/>
      <c r="AA28" s="1575">
        <v>1</v>
      </c>
      <c r="AB28" s="1575">
        <v>1</v>
      </c>
      <c r="AC28" s="1575">
        <v>1</v>
      </c>
    </row>
    <row r="29" spans="1:29" s="1219" customFormat="1" ht="85.5">
      <c r="A29" s="576"/>
      <c r="B29" s="2614" t="s">
        <v>2548</v>
      </c>
      <c r="C29" s="572" t="str">
        <f>估价对象房地状况!C21</f>
        <v>1.5公里 西安市第三医院 中国工商银行(西安北二环东段支行) 中国农业银行(太华北路支行) 西安市未央区幼儿园 大明宫小学 陕西师范大学锦园国际中学 永辉超市</v>
      </c>
      <c r="D29" s="562">
        <v>100</v>
      </c>
      <c r="E29" s="563" t="s">
        <v>3679</v>
      </c>
      <c r="F29" s="558">
        <f>SUMIF(102:102,E30,103:103)-SUMIF(102:102,C30,103:103)+100</f>
        <v>100</v>
      </c>
      <c r="G29" s="561" t="s">
        <v>3684</v>
      </c>
      <c r="H29" s="558">
        <f>SUMIF(102:102,G30,103:103)-SUMIF(102:102,C30,103:103)+100</f>
        <v>97</v>
      </c>
      <c r="I29" s="563" t="s">
        <v>3688</v>
      </c>
      <c r="J29" s="558">
        <f>SUMIF(102:102,I30,103:103)-SUMIF(102:102,C30,103:103)+100</f>
        <v>100</v>
      </c>
      <c r="K29" s="534">
        <v>3</v>
      </c>
      <c r="L29" s="2134"/>
      <c r="M29" s="2131"/>
      <c r="N29" s="2131"/>
      <c r="O29" s="2136"/>
      <c r="P29" s="3736"/>
      <c r="Q29" s="1150" t="str">
        <f t="shared" si="8"/>
        <v>公共配套设施</v>
      </c>
      <c r="R29" s="1567" t="s">
        <v>8</v>
      </c>
      <c r="S29" s="1568">
        <f>F29</f>
        <v>100</v>
      </c>
      <c r="T29" s="1567" t="s">
        <v>8</v>
      </c>
      <c r="U29" s="1568">
        <f>H29</f>
        <v>97</v>
      </c>
      <c r="V29" s="1567" t="s">
        <v>8</v>
      </c>
      <c r="W29" s="1568">
        <f>J29</f>
        <v>100</v>
      </c>
      <c r="X29" s="1569"/>
      <c r="Y29" s="3736"/>
      <c r="Z29" s="1149" t="str">
        <f>Q29</f>
        <v>公共配套设施</v>
      </c>
      <c r="AA29" s="1575">
        <f>D29/F29</f>
        <v>1</v>
      </c>
      <c r="AB29" s="1575">
        <f>D29/H29</f>
        <v>1.0309278350515463</v>
      </c>
      <c r="AC29" s="1575">
        <f>D29/J29</f>
        <v>1</v>
      </c>
    </row>
    <row r="30" spans="1:29" s="1219" customFormat="1" ht="20.25">
      <c r="A30" s="576"/>
      <c r="B30" s="565"/>
      <c r="C30" s="578" t="s">
        <v>3650</v>
      </c>
      <c r="D30" s="556"/>
      <c r="E30" s="575" t="s">
        <v>3650</v>
      </c>
      <c r="F30" s="554"/>
      <c r="G30" s="553" t="s">
        <v>3666</v>
      </c>
      <c r="H30" s="554"/>
      <c r="I30" s="575" t="s">
        <v>3650</v>
      </c>
      <c r="J30" s="554"/>
      <c r="K30" s="530"/>
      <c r="L30" s="2134"/>
      <c r="M30" s="2131"/>
      <c r="N30" s="2131"/>
      <c r="O30" s="2136"/>
      <c r="P30" s="3736"/>
      <c r="Q30" s="1150"/>
      <c r="R30" s="1567"/>
      <c r="S30" s="1568"/>
      <c r="T30" s="1567"/>
      <c r="U30" s="1568"/>
      <c r="V30" s="1567"/>
      <c r="W30" s="1568"/>
      <c r="X30" s="1569"/>
      <c r="Y30" s="3736"/>
      <c r="Z30" s="1149"/>
      <c r="AA30" s="1575">
        <v>1</v>
      </c>
      <c r="AB30" s="1575">
        <v>1</v>
      </c>
      <c r="AC30" s="1575">
        <v>1</v>
      </c>
    </row>
    <row r="31" spans="1:29" s="1219" customFormat="1" ht="20.25">
      <c r="A31" s="576"/>
      <c r="B31" s="2614" t="s">
        <v>2549</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736"/>
      <c r="Q31" s="2601" t="str">
        <f t="shared" ref="Q31" si="9">B31</f>
        <v>基础设施水平</v>
      </c>
      <c r="R31" s="1567" t="s">
        <v>8</v>
      </c>
      <c r="S31" s="1568">
        <f>F31</f>
        <v>100</v>
      </c>
      <c r="T31" s="1567" t="s">
        <v>8</v>
      </c>
      <c r="U31" s="1568">
        <f>H31</f>
        <v>100</v>
      </c>
      <c r="V31" s="1567" t="s">
        <v>8</v>
      </c>
      <c r="W31" s="1568">
        <f>J31</f>
        <v>100</v>
      </c>
      <c r="X31" s="1569"/>
      <c r="Y31" s="3736"/>
      <c r="Z31" s="2598" t="str">
        <f>Q31</f>
        <v>基础设施水平</v>
      </c>
      <c r="AA31" s="1575">
        <f>D31/F31</f>
        <v>1</v>
      </c>
      <c r="AB31" s="1575">
        <f>D31/H31</f>
        <v>1</v>
      </c>
      <c r="AC31" s="1575">
        <f>D31/J31</f>
        <v>1</v>
      </c>
    </row>
    <row r="32" spans="1:29" s="1219" customFormat="1" ht="20.25">
      <c r="A32" s="576"/>
      <c r="B32" s="565"/>
      <c r="C32" s="578" t="s">
        <v>3662</v>
      </c>
      <c r="D32" s="556"/>
      <c r="E32" s="578" t="s">
        <v>3662</v>
      </c>
      <c r="F32" s="554"/>
      <c r="G32" s="578" t="s">
        <v>3662</v>
      </c>
      <c r="H32" s="554"/>
      <c r="I32" s="578" t="s">
        <v>3662</v>
      </c>
      <c r="J32" s="554"/>
      <c r="K32" s="530"/>
      <c r="L32" s="2134"/>
      <c r="M32" s="2131"/>
      <c r="N32" s="2131"/>
      <c r="O32" s="2136"/>
      <c r="P32" s="3736"/>
      <c r="Q32" s="2601"/>
      <c r="R32" s="1567"/>
      <c r="S32" s="1568"/>
      <c r="T32" s="1567"/>
      <c r="U32" s="1568"/>
      <c r="V32" s="1567"/>
      <c r="W32" s="1568"/>
      <c r="X32" s="1569"/>
      <c r="Y32" s="3736"/>
      <c r="Z32" s="2598"/>
      <c r="AA32" s="1575">
        <v>1</v>
      </c>
      <c r="AB32" s="1575">
        <v>1</v>
      </c>
      <c r="AC32" s="1575">
        <v>1</v>
      </c>
    </row>
    <row r="33" spans="1:29" ht="20.25" hidden="1">
      <c r="A33" s="531"/>
      <c r="B33" s="565" t="s">
        <v>548</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73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736"/>
      <c r="Z33" s="1574" t="str">
        <f t="shared" ref="Z33:Z47" si="13">Q33</f>
        <v>临街状况</v>
      </c>
      <c r="AA33" s="1575">
        <f t="shared" si="3"/>
        <v>1</v>
      </c>
      <c r="AB33" s="1575">
        <f t="shared" si="4"/>
        <v>1</v>
      </c>
      <c r="AC33" s="1575">
        <f t="shared" si="5"/>
        <v>1</v>
      </c>
    </row>
    <row r="34" spans="1:29" ht="27">
      <c r="A34" s="531"/>
      <c r="B34" s="577" t="s">
        <v>549</v>
      </c>
      <c r="C34" s="3501" t="s">
        <v>3656</v>
      </c>
      <c r="D34" s="562">
        <v>100</v>
      </c>
      <c r="E34" s="3502" t="s">
        <v>3663</v>
      </c>
      <c r="F34" s="558">
        <f>SUMIF(108:108,E35,109:109)-SUMIF(108:108,C35,109:109)+100</f>
        <v>100</v>
      </c>
      <c r="G34" s="3501" t="s">
        <v>3664</v>
      </c>
      <c r="H34" s="558">
        <f>SUMIF(108:108,G35,109:109)-SUMIF(108:108,C35,109:109)+100</f>
        <v>100</v>
      </c>
      <c r="I34" s="3502" t="s">
        <v>3665</v>
      </c>
      <c r="J34" s="558">
        <f>SUMIF(108:108,I35,109:109)-SUMIF(108:108,C35,109:109)+100</f>
        <v>100</v>
      </c>
      <c r="K34" s="534">
        <v>1</v>
      </c>
      <c r="L34" s="2141"/>
      <c r="M34" s="2131"/>
      <c r="N34" s="2131"/>
      <c r="O34" s="2140"/>
      <c r="P34" s="3736"/>
      <c r="Q34" s="1571" t="str">
        <f t="shared" si="8"/>
        <v>毗邻道路的类型与等级</v>
      </c>
      <c r="R34" s="1572" t="s">
        <v>8</v>
      </c>
      <c r="S34" s="1573">
        <f t="shared" si="10"/>
        <v>100</v>
      </c>
      <c r="T34" s="1572" t="s">
        <v>8</v>
      </c>
      <c r="U34" s="1573">
        <f t="shared" si="11"/>
        <v>100</v>
      </c>
      <c r="V34" s="1572" t="s">
        <v>8</v>
      </c>
      <c r="W34" s="1573">
        <f t="shared" si="12"/>
        <v>100</v>
      </c>
      <c r="X34" s="1566"/>
      <c r="Y34" s="3736"/>
      <c r="Z34" s="1574" t="str">
        <f t="shared" si="13"/>
        <v>毗邻道路的类型与等级</v>
      </c>
      <c r="AA34" s="1575">
        <f t="shared" si="3"/>
        <v>1</v>
      </c>
      <c r="AB34" s="1575">
        <f t="shared" si="4"/>
        <v>1</v>
      </c>
      <c r="AC34" s="1575">
        <f t="shared" si="5"/>
        <v>1</v>
      </c>
    </row>
    <row r="35" spans="1:29" ht="21" thickBot="1">
      <c r="A35" s="531"/>
      <c r="B35" s="565"/>
      <c r="C35" s="553" t="s">
        <v>3660</v>
      </c>
      <c r="D35" s="556"/>
      <c r="E35" s="575" t="s">
        <v>3660</v>
      </c>
      <c r="F35" s="554"/>
      <c r="G35" s="553" t="s">
        <v>3660</v>
      </c>
      <c r="H35" s="554"/>
      <c r="I35" s="575" t="s">
        <v>3660</v>
      </c>
      <c r="J35" s="554"/>
      <c r="K35" s="580"/>
      <c r="L35" s="2141"/>
      <c r="M35" s="2131"/>
      <c r="N35" s="2131"/>
      <c r="O35" s="2140"/>
      <c r="P35" s="3736"/>
      <c r="Q35" s="1571"/>
      <c r="R35" s="1572"/>
      <c r="S35" s="1573"/>
      <c r="T35" s="1572"/>
      <c r="U35" s="1573"/>
      <c r="V35" s="1572"/>
      <c r="W35" s="1573"/>
      <c r="X35" s="1566"/>
      <c r="Y35" s="3736"/>
      <c r="Z35" s="1574"/>
      <c r="AA35" s="1575">
        <v>1</v>
      </c>
      <c r="AB35" s="1575">
        <v>1</v>
      </c>
      <c r="AC35" s="1575">
        <v>1</v>
      </c>
    </row>
    <row r="36" spans="1:29" ht="20.25" hidden="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736"/>
      <c r="Q36" s="1571" t="str">
        <f t="shared" si="8"/>
        <v>土地级别</v>
      </c>
      <c r="R36" s="1572" t="s">
        <v>8</v>
      </c>
      <c r="S36" s="1573">
        <f t="shared" si="10"/>
        <v>100</v>
      </c>
      <c r="T36" s="1572" t="s">
        <v>8</v>
      </c>
      <c r="U36" s="1573">
        <f t="shared" si="11"/>
        <v>100</v>
      </c>
      <c r="V36" s="1572" t="s">
        <v>8</v>
      </c>
      <c r="W36" s="1573">
        <f t="shared" si="12"/>
        <v>100</v>
      </c>
      <c r="X36" s="1566"/>
      <c r="Y36" s="3736"/>
      <c r="Z36" s="1574" t="str">
        <f t="shared" si="13"/>
        <v>土地级别</v>
      </c>
      <c r="AA36" s="1575">
        <f t="shared" si="3"/>
        <v>1</v>
      </c>
      <c r="AB36" s="1575">
        <f t="shared" si="4"/>
        <v>1</v>
      </c>
      <c r="AC36" s="1575">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736"/>
      <c r="Q37" s="1571">
        <f t="shared" si="8"/>
        <v>0</v>
      </c>
      <c r="R37" s="1572" t="s">
        <v>8</v>
      </c>
      <c r="S37" s="1573">
        <f t="shared" si="10"/>
        <v>100</v>
      </c>
      <c r="T37" s="1572" t="s">
        <v>8</v>
      </c>
      <c r="U37" s="1573">
        <f t="shared" si="11"/>
        <v>100</v>
      </c>
      <c r="V37" s="1572" t="s">
        <v>8</v>
      </c>
      <c r="W37" s="1573">
        <f t="shared" si="12"/>
        <v>100</v>
      </c>
      <c r="X37" s="1566"/>
      <c r="Y37" s="3736"/>
      <c r="Z37" s="1574">
        <f t="shared" si="13"/>
        <v>0</v>
      </c>
      <c r="AA37" s="1575">
        <f t="shared" si="3"/>
        <v>1</v>
      </c>
      <c r="AB37" s="1575">
        <f t="shared" si="4"/>
        <v>1</v>
      </c>
      <c r="AC37" s="1575">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737" t="s">
        <v>551</v>
      </c>
      <c r="Q38" s="1571">
        <f t="shared" si="8"/>
        <v>0</v>
      </c>
      <c r="R38" s="1572" t="s">
        <v>8</v>
      </c>
      <c r="S38" s="1573">
        <f t="shared" si="10"/>
        <v>100</v>
      </c>
      <c r="T38" s="1572" t="s">
        <v>8</v>
      </c>
      <c r="U38" s="1573">
        <f t="shared" si="11"/>
        <v>100</v>
      </c>
      <c r="V38" s="1572" t="s">
        <v>8</v>
      </c>
      <c r="W38" s="1573">
        <f t="shared" si="12"/>
        <v>100</v>
      </c>
      <c r="X38" s="1566"/>
      <c r="Y38" s="3738" t="s">
        <v>551</v>
      </c>
      <c r="Z38" s="1574">
        <f t="shared" si="13"/>
        <v>0</v>
      </c>
      <c r="AA38" s="1575">
        <f t="shared" si="3"/>
        <v>1</v>
      </c>
      <c r="AB38" s="1575">
        <f t="shared" si="4"/>
        <v>1</v>
      </c>
      <c r="AC38" s="1575">
        <f t="shared" si="5"/>
        <v>1</v>
      </c>
    </row>
    <row r="39" spans="1:29" s="1338"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738"/>
      <c r="Q39" s="1571">
        <f t="shared" si="8"/>
        <v>0</v>
      </c>
      <c r="R39" s="1576" t="s">
        <v>8</v>
      </c>
      <c r="S39" s="1577">
        <f t="shared" si="10"/>
        <v>100</v>
      </c>
      <c r="T39" s="1576" t="s">
        <v>8</v>
      </c>
      <c r="U39" s="1577">
        <f t="shared" si="11"/>
        <v>100</v>
      </c>
      <c r="V39" s="1576" t="s">
        <v>8</v>
      </c>
      <c r="W39" s="1577">
        <f t="shared" si="12"/>
        <v>100</v>
      </c>
      <c r="X39" s="1578"/>
      <c r="Y39" s="3738"/>
      <c r="Z39" s="1579">
        <f t="shared" si="13"/>
        <v>0</v>
      </c>
      <c r="AA39" s="1575">
        <f t="shared" si="3"/>
        <v>1</v>
      </c>
      <c r="AB39" s="1575">
        <f t="shared" si="4"/>
        <v>1</v>
      </c>
      <c r="AC39" s="1575">
        <f t="shared" si="5"/>
        <v>1</v>
      </c>
    </row>
    <row r="40" spans="1:29" ht="20.25">
      <c r="A40" s="2931" t="s">
        <v>2754</v>
      </c>
      <c r="B40" s="594" t="s">
        <v>553</v>
      </c>
      <c r="C40" s="595">
        <f>'数据-基础表'!A3</f>
        <v>28172.14</v>
      </c>
      <c r="D40" s="596">
        <v>100</v>
      </c>
      <c r="E40" s="595">
        <f>土地案例!F9</f>
        <v>22425.25</v>
      </c>
      <c r="F40" s="596">
        <f>LOOKUP(E40,119:119,120:120)-LOOKUP(C40,119:119,120:120)+100</f>
        <v>100</v>
      </c>
      <c r="G40" s="595">
        <f>土地案例!F11</f>
        <v>76899.179999999993</v>
      </c>
      <c r="H40" s="596">
        <f>LOOKUP(G40,119:119,120:120)-LOOKUP(C40,119:119,120:120)+100</f>
        <v>101</v>
      </c>
      <c r="I40" s="597">
        <f>土地案例!F15</f>
        <v>53010.04</v>
      </c>
      <c r="J40" s="596">
        <f>LOOKUP(I40,119:119,120:120)-LOOKUP(C40,119:119,120:120)+100</f>
        <v>101</v>
      </c>
      <c r="K40" s="580"/>
      <c r="L40" s="2141"/>
      <c r="M40" s="2131"/>
      <c r="N40" s="2131"/>
      <c r="O40" s="2140"/>
      <c r="P40" s="3738"/>
      <c r="Q40" s="1571" t="str">
        <f>B40</f>
        <v>宗地面积</v>
      </c>
      <c r="R40" s="1572" t="s">
        <v>8</v>
      </c>
      <c r="S40" s="1573">
        <f t="shared" si="10"/>
        <v>100</v>
      </c>
      <c r="T40" s="1572" t="s">
        <v>8</v>
      </c>
      <c r="U40" s="1573">
        <f t="shared" si="11"/>
        <v>101</v>
      </c>
      <c r="V40" s="1572" t="s">
        <v>8</v>
      </c>
      <c r="W40" s="1573">
        <f t="shared" si="12"/>
        <v>101</v>
      </c>
      <c r="X40" s="1566"/>
      <c r="Y40" s="3738"/>
      <c r="Z40" s="1574" t="str">
        <f t="shared" si="13"/>
        <v>宗地面积</v>
      </c>
      <c r="AA40" s="1575">
        <f t="shared" si="3"/>
        <v>1</v>
      </c>
      <c r="AB40" s="1575">
        <f t="shared" si="4"/>
        <v>0.99009900990099009</v>
      </c>
      <c r="AC40" s="1575">
        <f t="shared" si="5"/>
        <v>0.99009900990099009</v>
      </c>
    </row>
    <row r="41" spans="1:29" ht="20.25">
      <c r="A41" s="593"/>
      <c r="B41" s="526" t="s">
        <v>554</v>
      </c>
      <c r="C41" s="598" t="s">
        <v>3654</v>
      </c>
      <c r="D41" s="539">
        <v>100</v>
      </c>
      <c r="E41" s="598" t="s">
        <v>3654</v>
      </c>
      <c r="F41" s="539">
        <f>SUMIF(121:121,E41,122:122)-SUMIF(121:121,C41,122:122)+100</f>
        <v>100</v>
      </c>
      <c r="G41" s="598" t="s">
        <v>3654</v>
      </c>
      <c r="H41" s="539">
        <f>SUMIF(121:121,G41,122:122)-SUMIF(121:121,C41,122:122)+100</f>
        <v>100</v>
      </c>
      <c r="I41" s="598" t="s">
        <v>3654</v>
      </c>
      <c r="J41" s="539">
        <f>SUMIF(121:121,I41,122:122)-SUMIF(121:121,C41,122:122)+100</f>
        <v>100</v>
      </c>
      <c r="K41" s="583">
        <v>2</v>
      </c>
      <c r="L41" s="2141"/>
      <c r="M41" s="2131"/>
      <c r="N41" s="2131"/>
      <c r="O41" s="2140"/>
      <c r="P41" s="3738"/>
      <c r="Q41" s="1571" t="str">
        <f t="shared" ref="Q41:Q47" si="14">B41</f>
        <v>宗地形状</v>
      </c>
      <c r="R41" s="1572" t="s">
        <v>8</v>
      </c>
      <c r="S41" s="1573">
        <f t="shared" si="10"/>
        <v>100</v>
      </c>
      <c r="T41" s="1572" t="s">
        <v>8</v>
      </c>
      <c r="U41" s="1573">
        <f t="shared" si="11"/>
        <v>100</v>
      </c>
      <c r="V41" s="1572" t="s">
        <v>8</v>
      </c>
      <c r="W41" s="1573">
        <f t="shared" si="12"/>
        <v>100</v>
      </c>
      <c r="X41" s="1566"/>
      <c r="Y41" s="3738"/>
      <c r="Z41" s="1574" t="str">
        <f t="shared" si="13"/>
        <v>宗地形状</v>
      </c>
      <c r="AA41" s="1575">
        <f t="shared" si="3"/>
        <v>1</v>
      </c>
      <c r="AB41" s="1575">
        <f t="shared" si="4"/>
        <v>1</v>
      </c>
      <c r="AC41" s="1575">
        <f t="shared" si="5"/>
        <v>1</v>
      </c>
    </row>
    <row r="42" spans="1:29" ht="20.25" hidden="1">
      <c r="A42" s="593"/>
      <c r="B42" s="526" t="s">
        <v>555</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738"/>
      <c r="Q42" s="1571" t="str">
        <f t="shared" si="14"/>
        <v>临街宽度及深度</v>
      </c>
      <c r="R42" s="1572" t="s">
        <v>8</v>
      </c>
      <c r="S42" s="1573">
        <f t="shared" si="10"/>
        <v>100</v>
      </c>
      <c r="T42" s="1572" t="s">
        <v>8</v>
      </c>
      <c r="U42" s="1573">
        <f t="shared" si="11"/>
        <v>100</v>
      </c>
      <c r="V42" s="1572" t="s">
        <v>8</v>
      </c>
      <c r="W42" s="1573">
        <f t="shared" si="12"/>
        <v>100</v>
      </c>
      <c r="X42" s="1566"/>
      <c r="Y42" s="3738"/>
      <c r="Z42" s="1574" t="str">
        <f t="shared" si="13"/>
        <v>临街宽度及深度</v>
      </c>
      <c r="AA42" s="1575">
        <f t="shared" si="3"/>
        <v>1</v>
      </c>
      <c r="AB42" s="1575">
        <f t="shared" si="4"/>
        <v>1</v>
      </c>
      <c r="AC42" s="1575">
        <f t="shared" si="5"/>
        <v>1</v>
      </c>
    </row>
    <row r="43" spans="1:29" s="1219" customFormat="1" ht="20.25">
      <c r="A43" s="599"/>
      <c r="B43" s="1894" t="s">
        <v>2422</v>
      </c>
      <c r="C43" s="600" t="s">
        <v>3652</v>
      </c>
      <c r="D43" s="254">
        <v>100</v>
      </c>
      <c r="E43" s="600" t="s">
        <v>3652</v>
      </c>
      <c r="F43" s="539">
        <f>SUMIF(125:125,E43,126:126)-SUMIF(125:125,C43,126:126)+100</f>
        <v>100</v>
      </c>
      <c r="G43" s="600" t="s">
        <v>3652</v>
      </c>
      <c r="H43" s="539">
        <f>SUMIF(125:125,G43,126:126)-SUMIF(125:125,C43,126:126)+100</f>
        <v>100</v>
      </c>
      <c r="I43" s="600" t="s">
        <v>3652</v>
      </c>
      <c r="J43" s="539">
        <f>SUMIF(125:125,I43,126:126)-SUMIF(125:125,C43,126:126)+100</f>
        <v>100</v>
      </c>
      <c r="K43" s="583">
        <v>2</v>
      </c>
      <c r="L43" s="2134"/>
      <c r="M43" s="2131"/>
      <c r="N43" s="2131"/>
      <c r="O43" s="2136"/>
      <c r="P43" s="3738"/>
      <c r="Q43" s="1571" t="str">
        <f t="shared" si="14"/>
        <v>宗地开发程度</v>
      </c>
      <c r="R43" s="1567" t="s">
        <v>8</v>
      </c>
      <c r="S43" s="1568">
        <f t="shared" si="10"/>
        <v>100</v>
      </c>
      <c r="T43" s="1567" t="s">
        <v>8</v>
      </c>
      <c r="U43" s="1568">
        <f t="shared" si="11"/>
        <v>100</v>
      </c>
      <c r="V43" s="1567" t="s">
        <v>8</v>
      </c>
      <c r="W43" s="1568">
        <f t="shared" si="12"/>
        <v>100</v>
      </c>
      <c r="X43" s="1569"/>
      <c r="Y43" s="3738"/>
      <c r="Z43" s="1149" t="str">
        <f t="shared" si="13"/>
        <v>宗地开发程度</v>
      </c>
      <c r="AA43" s="1570">
        <f t="shared" si="3"/>
        <v>1</v>
      </c>
      <c r="AB43" s="1570">
        <f t="shared" si="4"/>
        <v>1</v>
      </c>
      <c r="AC43" s="1570">
        <f t="shared" si="5"/>
        <v>1</v>
      </c>
    </row>
    <row r="44" spans="1:29" ht="21" thickBot="1">
      <c r="A44" s="593"/>
      <c r="B44" s="526" t="s">
        <v>556</v>
      </c>
      <c r="C44" s="598" t="s">
        <v>3650</v>
      </c>
      <c r="D44" s="539">
        <v>100</v>
      </c>
      <c r="E44" s="598" t="s">
        <v>3650</v>
      </c>
      <c r="F44" s="539">
        <f>SUMIF(127:127,E44,128:128)-SUMIF(127:127,C44,128:128)+100</f>
        <v>100</v>
      </c>
      <c r="G44" s="598" t="s">
        <v>3650</v>
      </c>
      <c r="H44" s="539">
        <f>SUMIF(127:127,G44,128:128)-SUMIF(127:127,C44,128:128)+100</f>
        <v>100</v>
      </c>
      <c r="I44" s="598" t="s">
        <v>3650</v>
      </c>
      <c r="J44" s="539">
        <f>SUMIF(127:127,I44,128:128)-SUMIF(127:127,C44,128:128)+100</f>
        <v>100</v>
      </c>
      <c r="K44" s="583">
        <v>2</v>
      </c>
      <c r="L44" s="2141"/>
      <c r="M44" s="2131"/>
      <c r="N44" s="2131"/>
      <c r="O44" s="2140"/>
      <c r="P44" s="3738" t="s">
        <v>551</v>
      </c>
      <c r="Q44" s="1571" t="str">
        <f t="shared" si="14"/>
        <v>工程地质条件</v>
      </c>
      <c r="R44" s="1572" t="s">
        <v>8</v>
      </c>
      <c r="S44" s="1573">
        <f t="shared" si="10"/>
        <v>100</v>
      </c>
      <c r="T44" s="1572" t="s">
        <v>8</v>
      </c>
      <c r="U44" s="1573">
        <f t="shared" si="11"/>
        <v>100</v>
      </c>
      <c r="V44" s="1572" t="s">
        <v>8</v>
      </c>
      <c r="W44" s="1573">
        <f t="shared" si="12"/>
        <v>100</v>
      </c>
      <c r="X44" s="1566"/>
      <c r="Y44" s="3738" t="s">
        <v>551</v>
      </c>
      <c r="Z44" s="1574" t="str">
        <f t="shared" si="13"/>
        <v>工程地质条件</v>
      </c>
      <c r="AA44" s="1575">
        <f t="shared" si="3"/>
        <v>1</v>
      </c>
      <c r="AB44" s="1575">
        <f t="shared" si="4"/>
        <v>1</v>
      </c>
      <c r="AC44" s="1575">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738"/>
      <c r="Q45" s="1571">
        <f t="shared" si="14"/>
        <v>0</v>
      </c>
      <c r="R45" s="1572" t="s">
        <v>8</v>
      </c>
      <c r="S45" s="1573">
        <f t="shared" si="10"/>
        <v>100</v>
      </c>
      <c r="T45" s="1572" t="s">
        <v>8</v>
      </c>
      <c r="U45" s="1573">
        <f t="shared" si="11"/>
        <v>100</v>
      </c>
      <c r="V45" s="1572" t="s">
        <v>8</v>
      </c>
      <c r="W45" s="1573">
        <f t="shared" si="12"/>
        <v>100</v>
      </c>
      <c r="X45" s="1566"/>
      <c r="Y45" s="3738"/>
      <c r="Z45" s="1574">
        <f t="shared" si="13"/>
        <v>0</v>
      </c>
      <c r="AA45" s="1575">
        <f t="shared" si="3"/>
        <v>1</v>
      </c>
      <c r="AB45" s="1575">
        <f t="shared" si="4"/>
        <v>1</v>
      </c>
      <c r="AC45" s="1575">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738"/>
      <c r="Q46" s="1571">
        <f t="shared" si="14"/>
        <v>0</v>
      </c>
      <c r="R46" s="1572" t="s">
        <v>8</v>
      </c>
      <c r="S46" s="1573">
        <f t="shared" si="10"/>
        <v>100</v>
      </c>
      <c r="T46" s="1572" t="s">
        <v>8</v>
      </c>
      <c r="U46" s="1573">
        <f t="shared" si="11"/>
        <v>100</v>
      </c>
      <c r="V46" s="1572" t="s">
        <v>8</v>
      </c>
      <c r="W46" s="1573">
        <f t="shared" si="12"/>
        <v>100</v>
      </c>
      <c r="X46" s="1566"/>
      <c r="Y46" s="3738"/>
      <c r="Z46" s="1574">
        <f t="shared" si="13"/>
        <v>0</v>
      </c>
      <c r="AA46" s="1575">
        <f t="shared" si="3"/>
        <v>1</v>
      </c>
      <c r="AB46" s="1575">
        <f t="shared" si="4"/>
        <v>1</v>
      </c>
      <c r="AC46" s="1575">
        <f t="shared" si="5"/>
        <v>1</v>
      </c>
    </row>
    <row r="47" spans="1:29" s="1338"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738"/>
      <c r="Q47" s="1571">
        <f t="shared" si="14"/>
        <v>0</v>
      </c>
      <c r="R47" s="1576" t="s">
        <v>8</v>
      </c>
      <c r="S47" s="1577">
        <f t="shared" si="10"/>
        <v>100</v>
      </c>
      <c r="T47" s="1576" t="s">
        <v>8</v>
      </c>
      <c r="U47" s="1577">
        <f t="shared" si="11"/>
        <v>100</v>
      </c>
      <c r="V47" s="1576" t="s">
        <v>8</v>
      </c>
      <c r="W47" s="1577">
        <f t="shared" si="12"/>
        <v>100</v>
      </c>
      <c r="X47" s="1578"/>
      <c r="Y47" s="3738"/>
      <c r="Z47" s="1579">
        <f t="shared" si="13"/>
        <v>0</v>
      </c>
      <c r="AA47" s="1575">
        <f t="shared" si="3"/>
        <v>1</v>
      </c>
      <c r="AB47" s="1575">
        <f t="shared" si="4"/>
        <v>1</v>
      </c>
      <c r="AC47" s="1575">
        <f t="shared" si="5"/>
        <v>1</v>
      </c>
    </row>
    <row r="48" spans="1:29" ht="20.25">
      <c r="A48" s="606" t="s">
        <v>557</v>
      </c>
      <c r="B48" s="607" t="s">
        <v>3668</v>
      </c>
      <c r="C48" s="608" t="s">
        <v>1</v>
      </c>
      <c r="D48" s="609"/>
      <c r="E48" s="610">
        <v>4415</v>
      </c>
      <c r="F48" s="611"/>
      <c r="G48" s="612">
        <v>4259</v>
      </c>
      <c r="H48" s="613"/>
      <c r="I48" s="610">
        <v>4009</v>
      </c>
      <c r="J48" s="613"/>
      <c r="K48" s="1339"/>
      <c r="L48" s="2143"/>
      <c r="M48" s="2131"/>
      <c r="N48" s="2131"/>
      <c r="O48" s="2144"/>
      <c r="P48" s="3733" t="str">
        <f>A48</f>
        <v>成交单价</v>
      </c>
      <c r="Q48" s="3733"/>
      <c r="R48" s="3747">
        <f>E48</f>
        <v>4415</v>
      </c>
      <c r="S48" s="3747"/>
      <c r="T48" s="3747">
        <f>G48</f>
        <v>4259</v>
      </c>
      <c r="U48" s="3747"/>
      <c r="V48" s="3747">
        <f>I48</f>
        <v>4009</v>
      </c>
      <c r="W48" s="3747"/>
      <c r="X48" s="1558"/>
      <c r="Y48" s="1580"/>
      <c r="Z48" s="1558"/>
      <c r="AA48" s="1558"/>
      <c r="AB48" s="1558"/>
      <c r="AC48" s="1558"/>
    </row>
    <row r="49" spans="1:29" ht="21" thickBot="1">
      <c r="A49" s="614" t="s">
        <v>2692</v>
      </c>
      <c r="B49" s="615"/>
      <c r="C49" s="616">
        <f>R50</f>
        <v>4800</v>
      </c>
      <c r="D49" s="617"/>
      <c r="E49" s="616">
        <f>R49</f>
        <v>5228</v>
      </c>
      <c r="F49" s="618"/>
      <c r="G49" s="619">
        <f>T49</f>
        <v>4773</v>
      </c>
      <c r="H49" s="617"/>
      <c r="I49" s="616">
        <f>V49</f>
        <v>4400</v>
      </c>
      <c r="J49" s="617"/>
      <c r="K49" s="1340"/>
      <c r="L49" s="2143"/>
      <c r="M49" s="2131"/>
      <c r="N49" s="2131"/>
      <c r="O49" s="2144"/>
      <c r="P49" s="3733" t="str">
        <f>A49</f>
        <v>比较价格（元/平方米）</v>
      </c>
      <c r="Q49" s="3733"/>
      <c r="R49" s="3757">
        <f>ROUND(PRODUCT(R48,AA9:AA47),0)</f>
        <v>5228</v>
      </c>
      <c r="S49" s="3757"/>
      <c r="T49" s="3757">
        <f>ROUND(PRODUCT(T48,AB9:AB47),0)</f>
        <v>4773</v>
      </c>
      <c r="U49" s="3757"/>
      <c r="V49" s="3757">
        <f>ROUND(PRODUCT(V48,AC9:AC47),0)</f>
        <v>4400</v>
      </c>
      <c r="W49" s="3757"/>
      <c r="X49" s="1558"/>
      <c r="Y49" s="1558"/>
      <c r="Z49" s="1558"/>
      <c r="AA49" s="1558"/>
      <c r="AB49" s="1558"/>
      <c r="AC49" s="1558"/>
    </row>
    <row r="50" spans="1:29" ht="21" thickBot="1">
      <c r="A50" s="620" t="s">
        <v>2923</v>
      </c>
      <c r="B50" s="621"/>
      <c r="C50" s="622">
        <f>R50</f>
        <v>4800</v>
      </c>
      <c r="D50" s="622"/>
      <c r="E50" s="622"/>
      <c r="F50" s="622"/>
      <c r="G50" s="622"/>
      <c r="H50" s="622"/>
      <c r="I50" s="622"/>
      <c r="J50" s="622"/>
      <c r="K50" s="1341"/>
      <c r="L50" s="2143"/>
      <c r="M50" s="2131"/>
      <c r="N50" s="2131"/>
      <c r="O50" s="2144"/>
      <c r="P50" s="3754" t="str">
        <f>A50</f>
        <v>估价对象XX用房的比较价格（楼面单价，元/平方米）</v>
      </c>
      <c r="Q50" s="3755"/>
      <c r="R50" s="3756">
        <f>ROUND(AVERAGE(R49:V49),0)</f>
        <v>4800</v>
      </c>
      <c r="S50" s="3756"/>
      <c r="T50" s="3756"/>
      <c r="U50" s="3756"/>
      <c r="V50" s="3756"/>
      <c r="W50" s="3756"/>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f>IF(E48&lt;E49,E49/E48-1,E48/E49-1)</f>
        <v>0.1841449603624008</v>
      </c>
      <c r="F53" s="626" t="str">
        <f>IF(OR(E53&gt;=0.3,E53&lt;=-0.3),"超过30%","")</f>
        <v/>
      </c>
      <c r="G53" s="625">
        <f>IF(G48&lt;G49,G49/G48-1,G48/G49-1)</f>
        <v>0.1206856069499882</v>
      </c>
      <c r="H53" s="626" t="str">
        <f>IF(OR(G53&gt;=0.3,G53&lt;=-0.3),"超过30%","")</f>
        <v/>
      </c>
      <c r="I53" s="625">
        <f>IF(I48&lt;I49,I49/I48-1,I48/I49-1)</f>
        <v>9.753055624844098E-2</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f>IF(E49&lt;G49,G49/E49-1,E49/G49-1)</f>
        <v>9.5327886025560415E-2</v>
      </c>
      <c r="F54" s="626" t="str">
        <f>IF(OR(E54&gt;=0.2,E54&lt;=-0.2),"超过20%","")</f>
        <v/>
      </c>
      <c r="G54" s="625">
        <f>IF(G49&lt;I49,I49/G49-1,G49/I49-1)</f>
        <v>8.4772727272727222E-2</v>
      </c>
      <c r="H54" s="626" t="str">
        <f>IF(OR(G54&gt;=0.2,G54&lt;=-0.2),"超过20%","")</f>
        <v/>
      </c>
      <c r="I54" s="625">
        <f>IF(I49&lt;E49,E49/I49-1,I49/E49-1)</f>
        <v>0.18818181818181823</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3" t="s">
        <v>560</v>
      </c>
      <c r="D55" s="627"/>
      <c r="E55" s="625">
        <f>IF(E48&lt;G48,G48/E48-1,E48/G48-1)</f>
        <v>3.6628316506222225E-2</v>
      </c>
      <c r="F55" s="626" t="str">
        <f>IF(OR(E55&gt;=0.3,E55&lt;=-0.3),"超过30%","")</f>
        <v/>
      </c>
      <c r="G55" s="625">
        <f>IF(G48&lt;I48,I48/G48-1,G48/I48-1)</f>
        <v>6.2359690695934056E-2</v>
      </c>
      <c r="H55" s="626" t="str">
        <f>IF(OR(G55&gt;=0.3,G55&lt;=-0.3),"超过30%","")</f>
        <v/>
      </c>
      <c r="I55" s="625">
        <f>IF(I48&lt;E48,E48/I48-1,I48/E48-1)</f>
        <v>0.10127213769019705</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561</v>
      </c>
      <c r="B57" s="629" t="s">
        <v>562</v>
      </c>
      <c r="C57" s="1559" t="s">
        <v>1725</v>
      </c>
      <c r="D57" s="2226" t="s">
        <v>2293</v>
      </c>
      <c r="E57" s="630" t="s">
        <v>563</v>
      </c>
      <c r="F57" s="631" t="s">
        <v>564</v>
      </c>
      <c r="G57" s="3717" t="s">
        <v>2281</v>
      </c>
      <c r="H57" s="3718"/>
      <c r="I57" s="1554" t="s">
        <v>1723</v>
      </c>
      <c r="J57" s="1554" t="str">
        <f>项目基本情况!F41</f>
        <v>陕西省西安市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2" t="s">
        <v>565</v>
      </c>
      <c r="B58" s="633">
        <f>C50</f>
        <v>4800</v>
      </c>
      <c r="C58" s="634">
        <v>1</v>
      </c>
      <c r="D58" s="2227">
        <v>1</v>
      </c>
      <c r="E58" s="634">
        <f>'数据-汇总表'!E8+'数据-汇总表'!E9</f>
        <v>84316</v>
      </c>
      <c r="F58" s="635">
        <f t="shared" ref="F58:F67" si="15">ROUND(B58*E58/10000,0)</f>
        <v>40472</v>
      </c>
      <c r="G58" s="3719"/>
      <c r="H58" s="3720"/>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566</v>
      </c>
      <c r="B59" s="637">
        <f>ROUND($C$50*C59*D59,0)</f>
        <v>0</v>
      </c>
      <c r="C59" s="377">
        <f t="shared" ref="C59:C67" si="16">IF($C$57="北京市系数",I59,J59)</f>
        <v>0</v>
      </c>
      <c r="D59" s="2228">
        <v>0.25</v>
      </c>
      <c r="E59" s="638">
        <v>0</v>
      </c>
      <c r="F59" s="635">
        <f t="shared" si="15"/>
        <v>0</v>
      </c>
      <c r="G59" s="3721"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567</v>
      </c>
      <c r="B60" s="637">
        <f t="shared" ref="B60:B67" si="17">ROUND($C$50*C60*D60,0)</f>
        <v>0</v>
      </c>
      <c r="C60" s="377">
        <f t="shared" si="16"/>
        <v>0</v>
      </c>
      <c r="D60" s="2228">
        <v>0.25</v>
      </c>
      <c r="E60" s="638">
        <v>0</v>
      </c>
      <c r="F60" s="635">
        <f t="shared" si="15"/>
        <v>0</v>
      </c>
      <c r="G60" s="3721"/>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568</v>
      </c>
      <c r="B61" s="637">
        <f t="shared" si="17"/>
        <v>0</v>
      </c>
      <c r="C61" s="377">
        <f t="shared" si="16"/>
        <v>0</v>
      </c>
      <c r="D61" s="2228">
        <v>0.25</v>
      </c>
      <c r="E61" s="638">
        <v>0</v>
      </c>
      <c r="F61" s="635">
        <f t="shared" si="15"/>
        <v>0</v>
      </c>
      <c r="G61" s="3721"/>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6" t="s">
        <v>569</v>
      </c>
      <c r="B62" s="637">
        <f t="shared" si="17"/>
        <v>0</v>
      </c>
      <c r="C62" s="377">
        <f t="shared" si="16"/>
        <v>0</v>
      </c>
      <c r="D62" s="2228">
        <v>0.25</v>
      </c>
      <c r="E62" s="638">
        <v>0</v>
      </c>
      <c r="F62" s="635">
        <f t="shared" si="15"/>
        <v>0</v>
      </c>
      <c r="G62" s="3721"/>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2326</v>
      </c>
      <c r="B63" s="637">
        <f t="shared" si="17"/>
        <v>0</v>
      </c>
      <c r="C63" s="377">
        <f t="shared" si="16"/>
        <v>0</v>
      </c>
      <c r="D63" s="2228">
        <v>0.25</v>
      </c>
      <c r="E63" s="640">
        <f>'数据-汇总表'!E11</f>
        <v>0</v>
      </c>
      <c r="F63" s="635">
        <f t="shared" si="15"/>
        <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6" t="s">
        <v>570</v>
      </c>
      <c r="B64" s="637">
        <f t="shared" si="17"/>
        <v>0</v>
      </c>
      <c r="C64" s="377">
        <f t="shared" si="16"/>
        <v>0</v>
      </c>
      <c r="D64" s="2228">
        <v>0.25</v>
      </c>
      <c r="E64" s="640">
        <f>'数据-汇总表'!E12</f>
        <v>0</v>
      </c>
      <c r="F64" s="635">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6" t="s">
        <v>571</v>
      </c>
      <c r="B65" s="637">
        <f t="shared" si="17"/>
        <v>0</v>
      </c>
      <c r="C65" s="377">
        <f t="shared" si="16"/>
        <v>0</v>
      </c>
      <c r="D65" s="2228">
        <v>0.25</v>
      </c>
      <c r="E65" s="640">
        <f>'数据-汇总表'!E13</f>
        <v>0</v>
      </c>
      <c r="F65" s="635">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6" t="s">
        <v>572</v>
      </c>
      <c r="B66" s="637">
        <f t="shared" si="17"/>
        <v>0</v>
      </c>
      <c r="C66" s="377">
        <f t="shared" si="16"/>
        <v>0</v>
      </c>
      <c r="D66" s="2228">
        <v>0.25</v>
      </c>
      <c r="E66" s="640">
        <f>'数据-汇总表'!E14</f>
        <v>0</v>
      </c>
      <c r="F66" s="635">
        <f t="shared" si="15"/>
        <v>0</v>
      </c>
      <c r="G66" s="1944"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6" t="s">
        <v>573</v>
      </c>
      <c r="B67" s="637">
        <f t="shared" si="17"/>
        <v>0</v>
      </c>
      <c r="C67" s="377">
        <f t="shared" si="16"/>
        <v>0</v>
      </c>
      <c r="D67" s="2228">
        <v>0.25</v>
      </c>
      <c r="E67" s="640">
        <f>'数据-汇总表'!E15</f>
        <v>0</v>
      </c>
      <c r="F67" s="635">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1" t="s">
        <v>574</v>
      </c>
      <c r="B68" s="642" t="s">
        <v>17</v>
      </c>
      <c r="C68" s="642" t="s">
        <v>18</v>
      </c>
      <c r="D68" s="642" t="s">
        <v>2294</v>
      </c>
      <c r="E68" s="642">
        <f>IF(B48="楼面地价",SUM(E58:E67),'数据-汇总表'!D3)</f>
        <v>84316</v>
      </c>
      <c r="F68" s="643">
        <f>IF(B48="楼面地价",SUM(F58:F67),ROUND(C50*E68/10000,0))</f>
        <v>40472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3" t="str">
        <f>YEAR(C9)&amp;"-"&amp;MONTH(C9)&amp;"-1"</f>
        <v>2018-2-1</v>
      </c>
      <c r="D70" s="2823">
        <f>EDATE(C70,-3)</f>
        <v>43040</v>
      </c>
      <c r="E70" s="2823">
        <f t="shared" ref="E70:N70" si="18">EDATE(D70,-3)</f>
        <v>42948</v>
      </c>
      <c r="F70" s="2823">
        <f t="shared" si="18"/>
        <v>42856</v>
      </c>
      <c r="G70" s="2823">
        <f t="shared" si="18"/>
        <v>42767</v>
      </c>
      <c r="H70" s="2823">
        <f t="shared" si="18"/>
        <v>42675</v>
      </c>
      <c r="I70" s="2823">
        <f t="shared" si="18"/>
        <v>42583</v>
      </c>
      <c r="J70" s="2823">
        <f t="shared" si="18"/>
        <v>42491</v>
      </c>
      <c r="K70" s="2823">
        <f t="shared" si="18"/>
        <v>42401</v>
      </c>
      <c r="L70" s="2823">
        <f t="shared" si="18"/>
        <v>42309</v>
      </c>
      <c r="M70" s="2823">
        <f t="shared" si="18"/>
        <v>42217</v>
      </c>
      <c r="N70" s="2823">
        <f t="shared" si="18"/>
        <v>42125</v>
      </c>
      <c r="O70" s="2144"/>
      <c r="P70" s="2144"/>
      <c r="Q70" s="2144"/>
      <c r="R70" s="2144"/>
      <c r="S70" s="2144"/>
      <c r="T70" s="2144"/>
      <c r="U70" s="2144"/>
      <c r="V70" s="2144"/>
      <c r="W70" s="2144"/>
      <c r="X70" s="2144"/>
      <c r="Y70" s="2144"/>
      <c r="Z70" s="2144"/>
      <c r="AA70" s="2144"/>
      <c r="AB70" s="2144"/>
      <c r="AC70" s="2144"/>
    </row>
    <row r="71" spans="1:29" ht="21.75" thickBot="1">
      <c r="A71" s="1583" t="s">
        <v>575</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91" t="s">
        <v>2532</v>
      </c>
      <c r="B72" s="2592"/>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8"/>
      <c r="P72" s="2159"/>
      <c r="Q72" s="2160"/>
      <c r="R72" s="2160"/>
      <c r="S72" s="2160"/>
      <c r="T72" s="2160"/>
      <c r="U72" s="2160"/>
      <c r="V72" s="2160"/>
      <c r="W72" s="2160"/>
      <c r="X72" s="2160"/>
      <c r="Y72" s="2160"/>
      <c r="Z72" s="2160"/>
      <c r="AA72" s="2160"/>
      <c r="AB72" s="2160"/>
      <c r="AC72" s="2160"/>
    </row>
    <row r="73" spans="1:29" s="1219" customFormat="1" ht="27" customHeight="1">
      <c r="A73" s="2830" t="s">
        <v>923</v>
      </c>
      <c r="B73" s="478" t="str">
        <f>"北京市平均增长率"&amp;TEXT(SUMIF(基准地价!N21:N25,A73,基准地价!P21:P25),"0.00%")</f>
        <v>北京市平均增长率2.55%</v>
      </c>
      <c r="C73" s="893">
        <v>100</v>
      </c>
      <c r="D73" s="3498">
        <f>C73-$C$74</f>
        <v>97</v>
      </c>
      <c r="E73" s="3498">
        <f t="shared" ref="E73:N73" si="20">D73-$C$74</f>
        <v>94</v>
      </c>
      <c r="F73" s="3498">
        <f t="shared" si="20"/>
        <v>91</v>
      </c>
      <c r="G73" s="3498">
        <f t="shared" si="20"/>
        <v>88</v>
      </c>
      <c r="H73" s="3498">
        <f t="shared" si="20"/>
        <v>85</v>
      </c>
      <c r="I73" s="3498">
        <f t="shared" si="20"/>
        <v>82</v>
      </c>
      <c r="J73" s="3498">
        <f t="shared" si="20"/>
        <v>79</v>
      </c>
      <c r="K73" s="3498">
        <f t="shared" si="20"/>
        <v>76</v>
      </c>
      <c r="L73" s="3498">
        <f t="shared" si="20"/>
        <v>73</v>
      </c>
      <c r="M73" s="3498">
        <f t="shared" si="20"/>
        <v>70</v>
      </c>
      <c r="N73" s="3498">
        <f t="shared" si="20"/>
        <v>67</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820" t="s">
        <v>2646</v>
      </c>
      <c r="B74" s="2829"/>
      <c r="C74" s="2814">
        <v>3</v>
      </c>
      <c r="D74" s="2815"/>
      <c r="E74" s="2815"/>
      <c r="F74" s="2815"/>
      <c r="G74" s="2815"/>
      <c r="H74" s="2815"/>
      <c r="I74" s="2815"/>
      <c r="J74" s="2815"/>
      <c r="K74" s="2815"/>
      <c r="L74" s="2815"/>
      <c r="M74" s="2815"/>
      <c r="N74" s="2815"/>
      <c r="O74" s="2161"/>
      <c r="P74" s="2157"/>
      <c r="Q74" s="2157"/>
      <c r="R74" s="1992"/>
      <c r="S74" s="1992"/>
      <c r="T74" s="1992"/>
      <c r="U74" s="1992"/>
      <c r="V74" s="1992"/>
      <c r="W74" s="1992"/>
      <c r="X74" s="1992"/>
      <c r="Y74" s="1992"/>
      <c r="Z74" s="1992"/>
      <c r="AA74" s="1992"/>
      <c r="AB74" s="1992"/>
      <c r="AC74" s="1992"/>
    </row>
    <row r="75" spans="1:29" s="1219" customFormat="1" ht="15">
      <c r="A75" s="658" t="s">
        <v>532</v>
      </c>
      <c r="B75" s="647"/>
      <c r="C75" s="659" t="s">
        <v>577</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578</v>
      </c>
      <c r="B77" s="664" t="s">
        <v>535</v>
      </c>
      <c r="C77" s="3503" t="s">
        <v>3667</v>
      </c>
      <c r="D77" s="597" t="str">
        <f>土地案例!E9</f>
        <v>住宅用地</v>
      </c>
      <c r="E77" s="597" t="str">
        <f>土地案例!E11</f>
        <v>其他普通商品住房用地</v>
      </c>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100</v>
      </c>
      <c r="E78" s="670">
        <v>100</v>
      </c>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538</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29.25" thickTop="1">
      <c r="A81" s="668"/>
      <c r="B81" s="680" t="s">
        <v>539</v>
      </c>
      <c r="C81" s="681" t="str">
        <f>C82&amp;"（含）"&amp;"-"&amp;D82</f>
        <v>1（含）-2</v>
      </c>
      <c r="D81" s="681" t="str">
        <f t="shared" ref="D81:L81" si="21">D82&amp;"（含）"&amp;"-"&amp;E82</f>
        <v>2（含）-3</v>
      </c>
      <c r="E81" s="681" t="str">
        <f t="shared" si="21"/>
        <v>3（含）-4</v>
      </c>
      <c r="F81" s="681" t="str">
        <f t="shared" si="21"/>
        <v>4（含）-5</v>
      </c>
      <c r="G81" s="681" t="str">
        <f t="shared" si="21"/>
        <v>5（含）-</v>
      </c>
      <c r="H81" s="681" t="str">
        <f t="shared" si="21"/>
        <v>（含）-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1</v>
      </c>
      <c r="D82" s="540">
        <v>2</v>
      </c>
      <c r="E82" s="540">
        <v>3</v>
      </c>
      <c r="F82" s="540">
        <v>4</v>
      </c>
      <c r="G82" s="540">
        <v>5</v>
      </c>
      <c r="H82" s="540"/>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5"/>
      <c r="O83" s="2165"/>
      <c r="P83" s="2164"/>
      <c r="Q83" s="2157"/>
      <c r="R83" s="2144"/>
      <c r="S83" s="2144"/>
      <c r="T83" s="2144"/>
      <c r="U83" s="2144"/>
      <c r="V83" s="2144"/>
      <c r="W83" s="2144"/>
      <c r="X83" s="2144"/>
      <c r="Y83" s="2144"/>
      <c r="Z83" s="2144"/>
      <c r="AA83" s="2144"/>
      <c r="AB83" s="2144"/>
      <c r="AC83" s="2144"/>
    </row>
    <row r="84" spans="1:29" s="1338" customFormat="1" ht="15.75" hidden="1"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8" customFormat="1" ht="15.75" hidden="1"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8" customFormat="1" ht="15.75" hidden="1" thickTop="1">
      <c r="A86" s="686"/>
      <c r="B86" s="672">
        <f>B15</f>
        <v>0</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8" customFormat="1" ht="15.75" hidden="1"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8" customFormat="1" ht="15.75" hidden="1"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8" customFormat="1" ht="15.75" hidden="1"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5" thickTop="1">
      <c r="A90" s="663" t="s">
        <v>540</v>
      </c>
      <c r="B90" s="664" t="s">
        <v>579</v>
      </c>
      <c r="C90" s="702" t="s">
        <v>580</v>
      </c>
      <c r="D90" s="702" t="s">
        <v>581</v>
      </c>
      <c r="E90" s="702" t="s">
        <v>582</v>
      </c>
      <c r="F90" s="702" t="s">
        <v>583</v>
      </c>
      <c r="G90" s="702" t="s">
        <v>584</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95</v>
      </c>
      <c r="E91" s="678">
        <f>D91-$K17</f>
        <v>90</v>
      </c>
      <c r="F91" s="678">
        <f>E91-$K17</f>
        <v>85</v>
      </c>
      <c r="G91" s="678">
        <f>F91-$K17</f>
        <v>80</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585</v>
      </c>
      <c r="C92" s="707" t="s">
        <v>580</v>
      </c>
      <c r="D92" s="707" t="s">
        <v>581</v>
      </c>
      <c r="E92" s="707" t="s">
        <v>582</v>
      </c>
      <c r="F92" s="707" t="s">
        <v>583</v>
      </c>
      <c r="G92" s="707" t="s">
        <v>584</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97</v>
      </c>
      <c r="E93" s="678">
        <f>D93-$K19</f>
        <v>94</v>
      </c>
      <c r="F93" s="678">
        <f>E93-$K19</f>
        <v>91</v>
      </c>
      <c r="G93" s="678">
        <f>F93-$K19</f>
        <v>88</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586</v>
      </c>
      <c r="C94" s="707" t="s">
        <v>580</v>
      </c>
      <c r="D94" s="707" t="s">
        <v>581</v>
      </c>
      <c r="E94" s="707" t="s">
        <v>582</v>
      </c>
      <c r="F94" s="707" t="s">
        <v>583</v>
      </c>
      <c r="G94" s="707" t="s">
        <v>584</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587</v>
      </c>
      <c r="C96" s="707" t="s">
        <v>580</v>
      </c>
      <c r="D96" s="707" t="s">
        <v>581</v>
      </c>
      <c r="E96" s="707" t="s">
        <v>582</v>
      </c>
      <c r="F96" s="707" t="s">
        <v>583</v>
      </c>
      <c r="G96" s="707" t="s">
        <v>584</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97</v>
      </c>
      <c r="E97" s="678">
        <f>D97-$K23</f>
        <v>94</v>
      </c>
      <c r="F97" s="678">
        <f>E97-$K23</f>
        <v>91</v>
      </c>
      <c r="G97" s="678">
        <f>F97-$K23</f>
        <v>88</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8"/>
      <c r="B99" s="677"/>
      <c r="C99" s="711">
        <v>100</v>
      </c>
      <c r="D99" s="678">
        <f>C99-$K25</f>
        <v>95</v>
      </c>
      <c r="E99" s="678">
        <f>D99-$K25</f>
        <v>90</v>
      </c>
      <c r="F99" s="678">
        <f>E99-$K25</f>
        <v>85</v>
      </c>
      <c r="G99" s="678">
        <f>F99-$K25</f>
        <v>80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6"/>
      <c r="B102" s="1895" t="s">
        <v>2548</v>
      </c>
      <c r="C102" s="702" t="s">
        <v>580</v>
      </c>
      <c r="D102" s="702" t="s">
        <v>581</v>
      </c>
      <c r="E102" s="702" t="s">
        <v>582</v>
      </c>
      <c r="F102" s="702" t="s">
        <v>583</v>
      </c>
      <c r="G102" s="702" t="s">
        <v>584</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6"/>
      <c r="B104" s="2620" t="s">
        <v>2550</v>
      </c>
      <c r="C104" s="2621" t="s">
        <v>2551</v>
      </c>
      <c r="D104" s="2621" t="s">
        <v>2552</v>
      </c>
      <c r="E104" s="2621" t="s">
        <v>2553</v>
      </c>
      <c r="F104" s="2621" t="s">
        <v>2554</v>
      </c>
      <c r="G104" s="2621" t="s">
        <v>2555</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549</v>
      </c>
      <c r="C108" s="3499" t="s">
        <v>3657</v>
      </c>
      <c r="D108" s="3499" t="s">
        <v>3658</v>
      </c>
      <c r="E108" s="3499" t="s">
        <v>3659</v>
      </c>
      <c r="F108" s="3499" t="s">
        <v>3661</v>
      </c>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8"/>
      <c r="B110" s="672" t="s">
        <v>550</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8" customFormat="1" ht="15" hidden="1"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8" customFormat="1" ht="15.75" hidden="1"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9.25" thickTop="1">
      <c r="A118" s="663" t="s">
        <v>552</v>
      </c>
      <c r="B118" s="664" t="s">
        <v>594</v>
      </c>
      <c r="C118" s="703" t="str">
        <f t="shared" ref="C118:L118" si="26">C119&amp;"(含)"&amp;"-"&amp;D119</f>
        <v>0(含)-50000</v>
      </c>
      <c r="D118" s="703" t="str">
        <f t="shared" si="26"/>
        <v>50000(含)-100000</v>
      </c>
      <c r="E118" s="703" t="str">
        <f t="shared" si="26"/>
        <v>100000(含)-</v>
      </c>
      <c r="F118" s="703" t="str">
        <f t="shared" si="26"/>
        <v>(含)-</v>
      </c>
      <c r="G118" s="703" t="str">
        <f t="shared" si="26"/>
        <v>(含)-</v>
      </c>
      <c r="H118" s="703" t="str">
        <f t="shared" si="26"/>
        <v>(含)-</v>
      </c>
      <c r="I118" s="703" t="str">
        <f t="shared" si="26"/>
        <v>(含)-</v>
      </c>
      <c r="J118" s="3116" t="str">
        <f t="shared" si="26"/>
        <v>(含)-</v>
      </c>
      <c r="K118" s="3116" t="str">
        <f t="shared" si="26"/>
        <v>(含)-</v>
      </c>
      <c r="L118" s="3117" t="str">
        <f t="shared" si="26"/>
        <v>(含)-</v>
      </c>
      <c r="M118" s="311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50000</v>
      </c>
      <c r="E119" s="729">
        <v>100000</v>
      </c>
      <c r="F119" s="729"/>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101</v>
      </c>
      <c r="E120" s="725">
        <v>102</v>
      </c>
      <c r="F120" s="725">
        <v>103</v>
      </c>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595</v>
      </c>
      <c r="C121" s="3500" t="s">
        <v>3655</v>
      </c>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5"/>
      <c r="O122" s="2165"/>
      <c r="P122" s="2164"/>
      <c r="Q122" s="2157"/>
      <c r="R122" s="2144"/>
      <c r="S122" s="2144"/>
      <c r="T122" s="2144"/>
      <c r="U122" s="2144"/>
      <c r="V122" s="2144"/>
      <c r="W122" s="2144"/>
      <c r="X122" s="2144"/>
      <c r="Y122" s="2144"/>
      <c r="Z122" s="2144"/>
      <c r="AA122" s="2144"/>
      <c r="AB122" s="2144"/>
      <c r="AC122" s="2144"/>
    </row>
    <row r="123" spans="1:29" ht="15" hidden="1" thickTop="1">
      <c r="A123" s="734"/>
      <c r="B123" s="672" t="s">
        <v>596</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hidden="1"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7"/>
      <c r="B125" s="1895" t="s">
        <v>2423</v>
      </c>
      <c r="C125" s="1374" t="s">
        <v>3653</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597</v>
      </c>
      <c r="C127" s="3499" t="s">
        <v>3651</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8" customFormat="1" ht="15.75" hidden="1"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8" zoomScale="80" zoomScaleNormal="80" workbookViewId="0">
      <selection activeCell="B73" sqref="B73"/>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2655</v>
      </c>
      <c r="B1" s="2915" t="s">
        <v>2752</v>
      </c>
    </row>
    <row r="2" spans="1:55" s="2919" customFormat="1" ht="15" thickTop="1">
      <c r="A2" s="2917" t="s">
        <v>2659</v>
      </c>
      <c r="B2" s="2918" t="str">
        <f>'预评函-封皮'!B37</f>
        <v>陕西省西安市未央区凤城一路以南、百寰国际项目用地以北、先锋南北二路以西出让国有建设用地使用权市场价格预评估</v>
      </c>
      <c r="AX2" s="2920"/>
      <c r="AZ2" s="2920"/>
      <c r="BA2" s="2921"/>
      <c r="BC2" s="2921"/>
    </row>
    <row r="3" spans="1:55" s="2922" customFormat="1">
      <c r="A3" s="2901" t="s">
        <v>2660</v>
      </c>
      <c r="B3" s="2904" t="str">
        <f>'预评函-封皮'!B40</f>
        <v>五矿国际信托有限公司</v>
      </c>
    </row>
    <row r="4" spans="1:55" s="2903" customFormat="1">
      <c r="A4" s="2901" t="s">
        <v>2661</v>
      </c>
      <c r="B4" s="2902" t="str">
        <f>'预评函-封皮'!B46</f>
        <v>王鹏、郑燚</v>
      </c>
      <c r="N4" s="2903" t="str">
        <f>'预评函-1'!A28</f>
        <v>——</v>
      </c>
    </row>
    <row r="5" spans="1:55" s="2916" customFormat="1" ht="15" thickBot="1">
      <c r="A5" s="2923" t="s">
        <v>2662</v>
      </c>
      <c r="B5" s="2924" t="str">
        <f>'预评函-封皮'!B49</f>
        <v>康正预评字号</v>
      </c>
    </row>
    <row r="6" spans="1:55" s="2925" customFormat="1" ht="15" thickTop="1">
      <c r="A6" s="2917" t="s">
        <v>2704</v>
      </c>
      <c r="B6" s="2918" t="str">
        <f>'预评函-1'!A4</f>
        <v>受贵公司委托，我公司对陕西省西安市未央区凤城一路以南、百寰国际项目用地以北、先锋南北二路以西出让国有建设用地使用权市场价格进行了预评估。</v>
      </c>
      <c r="AM6" s="2926"/>
    </row>
    <row r="7" spans="1:55" s="2900" customFormat="1">
      <c r="A7" s="2901" t="s">
        <v>2656</v>
      </c>
      <c r="B7" s="2902" t="str">
        <f>'预评函-1'!A6</f>
        <v>估价对象为西安迪雅置业有限公司使用的、位于陕西省西安市未央区凤城一路以南、百寰国际项目用地以北、先锋南北二路以西出让国有建设用地使用权。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113800平方米。</v>
      </c>
    </row>
    <row r="8" spans="1:55" s="2900" customFormat="1">
      <c r="A8" s="2901" t="s">
        <v>2657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2707</v>
      </c>
      <c r="B9" s="2902" t="str">
        <f>'预评函-1'!A9</f>
        <v>西安迪雅置业有限公司拟使用陕西省西安市未央区凤城一路以南、百寰国际项目用地以北、先锋南北二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900" customFormat="1">
      <c r="A10" s="2901" t="s">
        <v>2658</v>
      </c>
      <c r="B10" s="2902" t="str">
        <f>'预评函-1'!A11</f>
        <v>2018年2月28日（评估专业人员勘察现场之日）</v>
      </c>
    </row>
    <row r="11" spans="1:55" s="2900" customFormat="1">
      <c r="A11" s="2901" t="s">
        <v>2664</v>
      </c>
      <c r="B11" s="2902" t="str">
        <f>'预评函-1'!A14</f>
        <v>根据《西安市规划局规划条件书（曲2018-1）》，本次评估估价对象证载（地类）用途为二类居住用地。</v>
      </c>
    </row>
    <row r="12" spans="1:55" s="2900" customFormat="1">
      <c r="A12" s="2901" t="s">
        <v>2665</v>
      </c>
      <c r="B12" s="2902" t="str">
        <f>'预评函-1'!A15</f>
        <v>本次评估设定用途即为证载用途住宅、商业及地下车库。</v>
      </c>
    </row>
    <row r="13" spans="1:55" s="2900" customFormat="1">
      <c r="A13" s="2901" t="s">
        <v>2666</v>
      </c>
      <c r="B13" s="2902" t="str">
        <f>'预评函-1'!A17</f>
        <v>根据委托估价方介绍及评估专业人员现场勘查，本次评估估价对象实际土地开发程度为红线外市政基础设施达“七通”（即通路、通电、通讯、通上水、通下水、通热、燃气）、宗地红线内场地平整。</v>
      </c>
    </row>
    <row r="14" spans="1:55" s="2900" customFormat="1">
      <c r="A14" s="2901" t="s">
        <v>2667</v>
      </c>
      <c r="B14" s="2902" t="str">
        <f>'预评函-1'!A18</f>
        <v>本次评估设定土地开发程度为红线外市政基础设施达“七通”、宗地红线内场地平整。</v>
      </c>
    </row>
    <row r="15" spans="1:55" s="2900" customFormat="1">
      <c r="A15" s="2901" t="s">
        <v>2663</v>
      </c>
      <c r="B15" s="2902" t="str">
        <f>'预评函-1'!A20</f>
        <v>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113800平方米。</v>
      </c>
    </row>
    <row r="16" spans="1:55" s="2900" customFormat="1">
      <c r="A16" s="2901" t="s">
        <v>2668</v>
      </c>
      <c r="B16" s="2902" t="str">
        <f>'预评函-1'!A22</f>
        <v>本次估价对象为出让国有建设用地使用权，《西安市规划局规划条件书（曲2018-1）》证载土地终止日期为住宅2082年7月31日、商业2052年7月31日地下车库2062年7月31日。截至估价期日，出让国有建设用地使用权剩余土地使用年限为。</v>
      </c>
    </row>
    <row r="17" spans="1:48" s="2900" customFormat="1">
      <c r="A17" s="2901" t="s">
        <v>2669</v>
      </c>
      <c r="B17" s="2902" t="str">
        <f>'预评函-1'!A23</f>
        <v>本次评估设定估价对象剩余土地使用年限为。</v>
      </c>
    </row>
    <row r="18" spans="1:48" s="2900" customFormat="1">
      <c r="A18" s="2901" t="s">
        <v>2670</v>
      </c>
      <c r="B18" s="2902" t="str">
        <f>'预评函-1'!A25</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及地下车库，剩余土地使用年限为的出让国有建设用地使用权价格。</v>
      </c>
    </row>
    <row r="19" spans="1:48" s="2900" customFormat="1">
      <c r="A19" s="2901" t="s">
        <v>2671</v>
      </c>
      <c r="B19" s="2902" t="str">
        <f>'预评函-1'!A26</f>
        <v>——</v>
      </c>
    </row>
    <row r="20" spans="1:48" s="2900" customFormat="1">
      <c r="A20" s="2901" t="s">
        <v>2672</v>
      </c>
      <c r="B20" s="2902" t="str">
        <f>'预评函-1'!A27</f>
        <v>——</v>
      </c>
    </row>
    <row r="21" spans="1:48" s="2916" customFormat="1" ht="15" thickBot="1">
      <c r="A21" s="2923" t="s">
        <v>2673</v>
      </c>
      <c r="B21" s="2924" t="str">
        <f>'预评函-1'!A28</f>
        <v>——</v>
      </c>
    </row>
    <row r="22" spans="1:48" ht="15" thickTop="1">
      <c r="A22" s="2912" t="s">
        <v>2674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2675</v>
      </c>
      <c r="B23" s="2902" t="str">
        <f>'预评函-2'!K2</f>
        <v>估价期日：2018年2月28日</v>
      </c>
    </row>
    <row r="24" spans="1:48">
      <c r="A24" s="2901" t="s">
        <v>2676</v>
      </c>
      <c r="B24" s="2902" t="str">
        <f>'预评函-2'!R2</f>
        <v>估价期日的国有建设用地使用权性质：出让</v>
      </c>
    </row>
    <row r="25" spans="1:48">
      <c r="A25" s="2901" t="s">
        <v>2732</v>
      </c>
      <c r="B25" s="2902" t="str">
        <f>'预评函-2'!A3</f>
        <v>估价期日土地使用者</v>
      </c>
    </row>
    <row r="26" spans="1:48">
      <c r="A26" s="2901" t="s">
        <v>2708</v>
      </c>
      <c r="B26" s="2902" t="str">
        <f>'预评函-2'!A5</f>
        <v>中信开发</v>
      </c>
    </row>
    <row r="27" spans="1:48">
      <c r="A27" s="2901" t="s">
        <v>2733</v>
      </c>
      <c r="B27" s="2902" t="str">
        <f>'预评函-2'!B3</f>
        <v>宗地编号/不动产单元号</v>
      </c>
    </row>
    <row r="28" spans="1:48">
      <c r="A28" s="2901" t="s">
        <v>2709</v>
      </c>
      <c r="B28" s="2902" t="str">
        <f>'预评函-2'!B5</f>
        <v>11111111111</v>
      </c>
    </row>
    <row r="29" spans="1:48">
      <c r="A29" s="2901" t="s">
        <v>2735</v>
      </c>
      <c r="B29" s="2902">
        <f>'预评函-2'!C5</f>
        <v>22</v>
      </c>
    </row>
    <row r="30" spans="1:48">
      <c r="A30" s="2901" t="s">
        <v>2736</v>
      </c>
      <c r="B30" s="2902" t="str">
        <f>'预评函-2'!D3</f>
        <v>土地使用证编号/不动产权证书编号</v>
      </c>
    </row>
    <row r="31" spans="1:48">
      <c r="A31" s="2901" t="s">
        <v>2710</v>
      </c>
      <c r="B31" s="2902" t="str">
        <f>'预评函-2'!D5</f>
        <v>京国土字第111号</v>
      </c>
    </row>
    <row r="32" spans="1:48">
      <c r="A32" s="2901" t="s">
        <v>2711</v>
      </c>
      <c r="B32" s="2902" t="str">
        <f>'预评函-2'!E5</f>
        <v>二类居住用地</v>
      </c>
      <c r="AV32" s="2906"/>
    </row>
    <row r="33" spans="1:2">
      <c r="A33" s="2901" t="s">
        <v>2712</v>
      </c>
      <c r="B33" s="2902">
        <f>'预评函-2'!F5</f>
        <v>258</v>
      </c>
    </row>
    <row r="34" spans="1:2">
      <c r="A34" s="2901" t="s">
        <v>2713</v>
      </c>
      <c r="B34" s="2902" t="str">
        <f>'预评函-2'!G5</f>
        <v>住宅、商业及地下车库</v>
      </c>
    </row>
    <row r="35" spans="1:2">
      <c r="A35" s="2901" t="s">
        <v>2714</v>
      </c>
      <c r="B35" s="2902">
        <f>'预评函-2'!H5</f>
        <v>1.5</v>
      </c>
    </row>
    <row r="36" spans="1:2">
      <c r="A36" s="2901" t="s">
        <v>2715</v>
      </c>
      <c r="B36" s="2902">
        <f>'预评函-2'!I5</f>
        <v>1.5</v>
      </c>
    </row>
    <row r="37" spans="1:2">
      <c r="A37" s="2901" t="s">
        <v>2716</v>
      </c>
      <c r="B37" s="2902">
        <f>'预评函-2'!J5</f>
        <v>1.5</v>
      </c>
    </row>
    <row r="38" spans="1:2">
      <c r="A38" s="2901" t="s">
        <v>2717</v>
      </c>
      <c r="B38" s="2902" t="str">
        <f>'预评函-2'!K5</f>
        <v>红线外七通、宗地红线内场地平整</v>
      </c>
    </row>
    <row r="39" spans="1:2">
      <c r="A39" s="2901" t="s">
        <v>2718</v>
      </c>
      <c r="B39" s="2902" t="str">
        <f>'预评函-2'!L5</f>
        <v>红线外七通、宗地红线内场地平整</v>
      </c>
    </row>
    <row r="40" spans="1:2">
      <c r="A40" s="2901" t="s">
        <v>2737</v>
      </c>
      <c r="B40" s="2902" t="str">
        <f>'预评函-2'!M3</f>
        <v>（剩余）土地使用年限/年</v>
      </c>
    </row>
    <row r="41" spans="1:2">
      <c r="A41" s="2901" t="s">
        <v>2719</v>
      </c>
      <c r="B41" s="2902">
        <f>'预评函-2'!M5</f>
        <v>0</v>
      </c>
    </row>
    <row r="42" spans="1:2">
      <c r="A42" s="2901" t="s">
        <v>2738</v>
      </c>
      <c r="B42" s="2902" t="str">
        <f>'预评函-2'!N3</f>
        <v>（分摊）出让国有建设用地使用权面积/㎡</v>
      </c>
    </row>
    <row r="43" spans="1:2">
      <c r="A43" s="2901" t="s">
        <v>2720</v>
      </c>
      <c r="B43" s="2902">
        <f>'预评函-2'!N5</f>
        <v>28172.14</v>
      </c>
    </row>
    <row r="44" spans="1:2">
      <c r="A44" s="2901" t="s">
        <v>2739</v>
      </c>
      <c r="B44" s="2902" t="str">
        <f>'预评函-2'!O3</f>
        <v>规划建筑面积/㎡</v>
      </c>
    </row>
    <row r="45" spans="1:2">
      <c r="A45" s="2901" t="s">
        <v>2721</v>
      </c>
      <c r="B45" s="2902">
        <f>'预评函-2'!O5</f>
        <v>113800</v>
      </c>
    </row>
    <row r="46" spans="1:2">
      <c r="A46" s="2901" t="s">
        <v>2722</v>
      </c>
      <c r="B46" s="2902">
        <f ca="1">'预评函-2'!P5</f>
        <v>23664</v>
      </c>
    </row>
    <row r="47" spans="1:2">
      <c r="A47" s="2901" t="s">
        <v>2723</v>
      </c>
      <c r="B47" s="2902">
        <f ca="1">'预评函-2'!Q5</f>
        <v>5858</v>
      </c>
    </row>
    <row r="48" spans="1:2">
      <c r="A48" s="2901" t="s">
        <v>2724</v>
      </c>
      <c r="B48" s="2902">
        <f ca="1">'预评函-2'!R5</f>
        <v>66666</v>
      </c>
    </row>
    <row r="49" spans="1:2">
      <c r="A49" s="2901" t="s">
        <v>2740</v>
      </c>
      <c r="B49" s="2902" t="str">
        <f>'预评函-2'!A6</f>
        <v>——</v>
      </c>
    </row>
    <row r="50" spans="1:2">
      <c r="A50" s="2901" t="s">
        <v>2725</v>
      </c>
      <c r="B50" s="2902">
        <f ca="1">'预评函-2'!R6</f>
        <v>65259</v>
      </c>
    </row>
    <row r="51" spans="1:2">
      <c r="A51" s="2901" t="s">
        <v>2741</v>
      </c>
      <c r="B51" s="2902" t="str">
        <f>'预评函-2'!A7</f>
        <v>——</v>
      </c>
    </row>
    <row r="52" spans="1:2">
      <c r="A52" s="2901" t="s">
        <v>2726</v>
      </c>
      <c r="B52" s="2902" t="str">
        <f>'预评函-2'!R7</f>
        <v>——</v>
      </c>
    </row>
    <row r="53" spans="1:2">
      <c r="A53" s="2901" t="s">
        <v>2742</v>
      </c>
      <c r="B53" s="2902" t="str">
        <f>'预评函-2'!A8</f>
        <v>——</v>
      </c>
    </row>
    <row r="54" spans="1:2" s="2916" customFormat="1" ht="15" thickBot="1">
      <c r="A54" s="2923" t="s">
        <v>2727</v>
      </c>
      <c r="B54" s="2924" t="str">
        <f>'预评函-2'!R8</f>
        <v>——</v>
      </c>
    </row>
    <row r="55" spans="1:2" ht="15" thickTop="1">
      <c r="A55" s="2912" t="s">
        <v>2677</v>
      </c>
      <c r="B55" s="2913" t="str">
        <f>'预评函-3'!A2</f>
        <v>1.权利限制：根据估价对象————，截至估价期日，估价对象抵押权未见登记。未设定租赁等其他他项权利。</v>
      </c>
    </row>
    <row r="56" spans="1:2">
      <c r="A56" s="2901" t="s">
        <v>2678</v>
      </c>
      <c r="B56" s="2902" t="str">
        <f>'预评函-3'!A3</f>
        <v>2.基础设施条件：估价对象实际开发程度为红线外七通、宗地红线内场地平整；本次评估设定开发程度为红线外七通、宗地红线内场地平整。</v>
      </c>
    </row>
    <row r="57" spans="1:2">
      <c r="A57" s="2901" t="s">
        <v>2679</v>
      </c>
      <c r="B57" s="2902" t="str">
        <f>'预评函-3'!A4</f>
        <v>3.估价规划限制条件：详见《西安凤城一路住宅小区项目综合用地技术经济指标表》、《西安市规划局规划条件书（曲2018-1）》。</v>
      </c>
    </row>
    <row r="58" spans="1:2" s="2916" customFormat="1" ht="15" thickBot="1">
      <c r="A58" s="2923" t="s">
        <v>2728</v>
      </c>
      <c r="B58" s="2924" t="str">
        <f>'预评函-3'!A5</f>
        <v>4.影响价格的其他限定条件：无。</v>
      </c>
    </row>
    <row r="59" spans="1:2" ht="15" thickTop="1">
      <c r="A59" s="2912" t="s">
        <v>2680</v>
      </c>
      <c r="B59" s="2913" t="str">
        <f>'预评函-3'!A8</f>
        <v>2.本《评估意见函》仅供金融机构进行内部审核使用，不做其他目的之用。</v>
      </c>
    </row>
    <row r="60" spans="1:2">
      <c r="A60" s="2901" t="s">
        <v>2681</v>
      </c>
      <c r="B60" s="2902" t="str">
        <f>'预评函-3'!A9</f>
        <v>3.抵押双方在办理抵押登记手续时，应使用本公司出具的正式《土地估价报告》，特提请报告使用者注意。</v>
      </c>
    </row>
    <row r="61" spans="1:2">
      <c r="A61" s="2901" t="s">
        <v>2683</v>
      </c>
      <c r="B61" s="2902" t="str">
        <f>'预评函-3'!A10</f>
        <v>4.估价师所知悉的法定优先受偿款情况为：</v>
      </c>
    </row>
    <row r="62" spans="1:2">
      <c r="A62" s="2901" t="s">
        <v>2682</v>
      </c>
      <c r="B62" s="2902"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2684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2685</v>
      </c>
      <c r="B64" s="2907" t="str">
        <f>'预评函-3'!A13</f>
        <v>（3）。</v>
      </c>
    </row>
    <row r="65" spans="1:2">
      <c r="A65" s="2901" t="s">
        <v>2686</v>
      </c>
      <c r="B65" s="2908" t="str">
        <f>'预评函-3'!A14</f>
        <v>综上，本次评估估价师知悉的法定优先受偿款为人民币1407万元整。</v>
      </c>
    </row>
    <row r="66" spans="1:2">
      <c r="A66" s="2901" t="s">
        <v>2687</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2688</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2691</v>
      </c>
      <c r="B68" s="2927">
        <f>'预评函-3'!D30</f>
        <v>42558</v>
      </c>
    </row>
    <row r="69" spans="1:2" ht="15" thickTop="1">
      <c r="A69" s="2912" t="s">
        <v>2689</v>
      </c>
      <c r="B69" s="2913" t="str">
        <f>'预评函-3'!A20</f>
        <v>王鹏</v>
      </c>
    </row>
    <row r="70" spans="1:2">
      <c r="A70" s="2901" t="s">
        <v>2689</v>
      </c>
      <c r="B70" s="2908">
        <f ca="1">'预评函-3'!B20</f>
        <v>2002110030</v>
      </c>
    </row>
    <row r="71" spans="1:2">
      <c r="A71" s="2901" t="s">
        <v>2690</v>
      </c>
      <c r="B71" s="2902" t="str">
        <f>'预评函-3'!A21</f>
        <v>郑燚</v>
      </c>
    </row>
    <row r="72" spans="1:2" s="2916" customFormat="1" ht="15" thickBot="1">
      <c r="A72" s="2923" t="s">
        <v>2690</v>
      </c>
      <c r="B72" s="2929">
        <f>'预评函-3'!B21</f>
        <v>2014110011</v>
      </c>
    </row>
    <row r="73" spans="1:2" ht="15" thickTop="1">
      <c r="A73" s="2912" t="s">
        <v>2749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2786</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3" zoomScale="80" zoomScaleNormal="95" zoomScaleSheetLayoutView="80" workbookViewId="0">
      <selection activeCell="E58" sqref="E58"/>
    </sheetView>
  </sheetViews>
  <sheetFormatPr defaultRowHeight="14.25"/>
  <cols>
    <col min="1" max="1" width="15.625" style="1336" customWidth="1"/>
    <col min="2" max="2" width="15.75" style="1336" customWidth="1"/>
    <col min="3" max="3" width="24.625" style="1336" customWidth="1"/>
    <col min="4" max="4" width="8.625" style="1336" customWidth="1"/>
    <col min="5" max="5" width="24.625" style="1336" customWidth="1"/>
    <col min="6" max="6" width="8.625" style="1336" customWidth="1"/>
    <col min="7" max="7" width="24.625" style="1336" customWidth="1"/>
    <col min="8" max="8" width="8.625" style="1336" customWidth="1"/>
    <col min="9" max="9" width="24.625" style="1336" customWidth="1"/>
    <col min="10" max="10" width="8.625" style="1336" customWidth="1"/>
    <col min="11" max="11" width="8.6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60320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5301</v>
      </c>
      <c r="C3" s="2060"/>
      <c r="D3" s="2593"/>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5" customFormat="1" ht="28.5" customHeight="1">
      <c r="A4" s="510" t="s">
        <v>521</v>
      </c>
      <c r="B4" s="426">
        <f>IF(B48="单位面积地价",C50,ROUND(B2*10000/'数据-汇总表'!D3,0))</f>
        <v>21411</v>
      </c>
      <c r="C4" s="2060"/>
      <c r="D4" s="2593"/>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1427</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0.25">
      <c r="A6" s="511" t="s">
        <v>522</v>
      </c>
      <c r="B6" s="512"/>
      <c r="C6" s="3739" t="s">
        <v>523</v>
      </c>
      <c r="D6" s="3740"/>
      <c r="E6" s="3739" t="s">
        <v>524</v>
      </c>
      <c r="F6" s="3740"/>
      <c r="G6" s="3739" t="s">
        <v>525</v>
      </c>
      <c r="H6" s="3740"/>
      <c r="I6" s="3739" t="s">
        <v>526</v>
      </c>
      <c r="J6" s="3740"/>
      <c r="K6" s="513" t="s">
        <v>527</v>
      </c>
      <c r="L6" s="2132"/>
      <c r="M6" s="2131"/>
      <c r="N6" s="2131"/>
      <c r="O6" s="2133"/>
      <c r="P6" s="3741" t="s">
        <v>528</v>
      </c>
      <c r="Q6" s="3742"/>
      <c r="R6" s="3727" t="s">
        <v>524</v>
      </c>
      <c r="S6" s="3728"/>
      <c r="T6" s="3727" t="s">
        <v>525</v>
      </c>
      <c r="U6" s="3728"/>
      <c r="V6" s="3747" t="s">
        <v>526</v>
      </c>
      <c r="W6" s="3747"/>
      <c r="X6" s="3521"/>
      <c r="Y6" s="3727" t="s">
        <v>528</v>
      </c>
      <c r="Z6" s="3728"/>
      <c r="AA6" s="3722" t="s">
        <v>524</v>
      </c>
      <c r="AB6" s="3723" t="s">
        <v>525</v>
      </c>
      <c r="AC6" s="3722" t="s">
        <v>526</v>
      </c>
    </row>
    <row r="7" spans="1:30" ht="30.75" customHeight="1">
      <c r="A7" s="514"/>
      <c r="B7" s="515"/>
      <c r="C7" s="3750" t="s">
        <v>2917</v>
      </c>
      <c r="D7" s="3751"/>
      <c r="E7" s="3750" t="str">
        <f>土地案例!A4</f>
        <v>沣东新城镐京大道以北、沣东八路以西</v>
      </c>
      <c r="F7" s="3751"/>
      <c r="G7" s="3750" t="str">
        <f>土地案例!A5</f>
        <v>曲江新区和谐路以北、汇新路以西</v>
      </c>
      <c r="H7" s="3751"/>
      <c r="I7" s="3750" t="str">
        <f>土地案例!A6</f>
        <v>西安浐灞生态区南三环以北、田马路以西</v>
      </c>
      <c r="J7" s="3751"/>
      <c r="K7" s="513"/>
      <c r="L7" s="2132"/>
      <c r="M7" s="2131"/>
      <c r="N7" s="2131"/>
      <c r="O7" s="2133"/>
      <c r="P7" s="3743"/>
      <c r="Q7" s="3744"/>
      <c r="R7" s="3729"/>
      <c r="S7" s="3730"/>
      <c r="T7" s="3729"/>
      <c r="U7" s="3730"/>
      <c r="V7" s="3747"/>
      <c r="W7" s="3747"/>
      <c r="X7" s="3521"/>
      <c r="Y7" s="3729"/>
      <c r="Z7" s="3730"/>
      <c r="AA7" s="3723"/>
      <c r="AB7" s="3723"/>
      <c r="AC7" s="3723"/>
    </row>
    <row r="8" spans="1:30" ht="21" thickBot="1">
      <c r="A8" s="514"/>
      <c r="B8" s="515"/>
      <c r="C8" s="3752" t="s">
        <v>2921</v>
      </c>
      <c r="D8" s="3753"/>
      <c r="E8" s="3752" t="s">
        <v>2921</v>
      </c>
      <c r="F8" s="3753"/>
      <c r="G8" s="3748" t="s">
        <v>2921</v>
      </c>
      <c r="H8" s="3749"/>
      <c r="I8" s="3748" t="s">
        <v>2921</v>
      </c>
      <c r="J8" s="3749"/>
      <c r="K8" s="513" t="s">
        <v>529</v>
      </c>
      <c r="L8" s="2132"/>
      <c r="M8" s="2131"/>
      <c r="N8" s="2131"/>
      <c r="O8" s="2133"/>
      <c r="P8" s="3745"/>
      <c r="Q8" s="3746"/>
      <c r="R8" s="3729"/>
      <c r="S8" s="3730"/>
      <c r="T8" s="3731"/>
      <c r="U8" s="3732"/>
      <c r="V8" s="3747"/>
      <c r="W8" s="3747"/>
      <c r="X8" s="3521"/>
      <c r="Y8" s="3731"/>
      <c r="Z8" s="3732"/>
      <c r="AA8" s="3724"/>
      <c r="AB8" s="3724"/>
      <c r="AC8" s="3724"/>
    </row>
    <row r="9" spans="1:30" s="1219" customFormat="1" ht="21" thickBot="1">
      <c r="A9" s="2936"/>
      <c r="B9" s="2943" t="s">
        <v>530</v>
      </c>
      <c r="C9" s="2935">
        <f>'数据-取费表'!B2</f>
        <v>43159</v>
      </c>
      <c r="D9" s="519">
        <v>100</v>
      </c>
      <c r="E9" s="520" t="str">
        <f>土地案例!I4</f>
        <v>2017-08-29</v>
      </c>
      <c r="F9" s="521">
        <f>SUMIF(72:72,YEAR(E9)&amp;"-"&amp;INT((MONTH(E9)+2)/3),73:73)</f>
        <v>96</v>
      </c>
      <c r="G9" s="522" t="str">
        <f>土地案例!I5</f>
        <v>2018-01-09</v>
      </c>
      <c r="H9" s="519">
        <f>SUMIF(72:72,YEAR(G9)&amp;"-"&amp;INT((MONTH(G9)+2)/3),73:73)</f>
        <v>100</v>
      </c>
      <c r="I9" s="522" t="str">
        <f>土地案例!I6</f>
        <v>2017-07-26</v>
      </c>
      <c r="J9" s="519">
        <f>SUMIF(72:72,YEAR(I9)&amp;"-"&amp;INT((MONTH(I9)+2)/3),73:73)</f>
        <v>96</v>
      </c>
      <c r="K9" s="523"/>
      <c r="L9" s="2134"/>
      <c r="M9" s="2131"/>
      <c r="N9" s="2131"/>
      <c r="O9" s="2135"/>
      <c r="P9" s="3725" t="s">
        <v>531</v>
      </c>
      <c r="Q9" s="3734"/>
      <c r="R9" s="1567" t="s">
        <v>8</v>
      </c>
      <c r="S9" s="1568">
        <f t="shared" ref="S9:S17" si="0">F9</f>
        <v>96</v>
      </c>
      <c r="T9" s="1567" t="s">
        <v>8</v>
      </c>
      <c r="U9" s="1568">
        <f t="shared" ref="U9:U17" si="1">H9</f>
        <v>100</v>
      </c>
      <c r="V9" s="1567" t="s">
        <v>8</v>
      </c>
      <c r="W9" s="1568">
        <f t="shared" ref="W9:W17" si="2">J9</f>
        <v>96</v>
      </c>
      <c r="X9" s="1569"/>
      <c r="Y9" s="3725" t="s">
        <v>531</v>
      </c>
      <c r="Z9" s="3726"/>
      <c r="AA9" s="1570">
        <f>D9/F9</f>
        <v>1.0416666666666667</v>
      </c>
      <c r="AB9" s="1570">
        <f>D9/H9</f>
        <v>1</v>
      </c>
      <c r="AC9" s="1570">
        <f>D9/J9</f>
        <v>1.0416666666666667</v>
      </c>
    </row>
    <row r="10" spans="1:30" s="1219" customFormat="1" ht="21" thickBot="1">
      <c r="A10" s="2937"/>
      <c r="B10" s="2944" t="s">
        <v>532</v>
      </c>
      <c r="C10" s="855" t="s">
        <v>533</v>
      </c>
      <c r="D10" s="519">
        <v>100</v>
      </c>
      <c r="E10" s="524" t="s">
        <v>3771</v>
      </c>
      <c r="F10" s="521">
        <f>SUMIF(75:75,E10,76:76)-SUMIF(75:75,C10,76:76)+100</f>
        <v>110</v>
      </c>
      <c r="G10" s="524" t="s">
        <v>3649</v>
      </c>
      <c r="H10" s="519">
        <f>SUMIF(75:75,G10,76:76)-SUMIF(75:75,C10,76:76)+100</f>
        <v>100</v>
      </c>
      <c r="I10" s="524" t="s">
        <v>3649</v>
      </c>
      <c r="J10" s="519">
        <f>SUMIF(75:75,I10,76:76)-SUMIF(75:75,C10,76:76)+100</f>
        <v>100</v>
      </c>
      <c r="K10" s="523"/>
      <c r="L10" s="2134"/>
      <c r="M10" s="2131"/>
      <c r="N10" s="2131"/>
      <c r="O10" s="2135"/>
      <c r="P10" s="3725" t="s">
        <v>534</v>
      </c>
      <c r="Q10" s="3726"/>
      <c r="R10" s="1567" t="s">
        <v>8</v>
      </c>
      <c r="S10" s="1568">
        <f t="shared" si="0"/>
        <v>110</v>
      </c>
      <c r="T10" s="1567" t="s">
        <v>8</v>
      </c>
      <c r="U10" s="1568">
        <f t="shared" si="1"/>
        <v>100</v>
      </c>
      <c r="V10" s="1567" t="s">
        <v>8</v>
      </c>
      <c r="W10" s="1568">
        <f t="shared" si="2"/>
        <v>100</v>
      </c>
      <c r="X10" s="1569"/>
      <c r="Y10" s="3725" t="s">
        <v>534</v>
      </c>
      <c r="Z10" s="3726"/>
      <c r="AA10" s="1570">
        <f t="shared" ref="AA10:AA47" si="3">D10/F10</f>
        <v>0.90909090909090906</v>
      </c>
      <c r="AB10" s="1570">
        <f t="shared" ref="AB10:AB47" si="4">D10/H10</f>
        <v>1</v>
      </c>
      <c r="AC10" s="1570">
        <f t="shared" ref="AC10:AC47" si="5">D10/J10</f>
        <v>1</v>
      </c>
    </row>
    <row r="11" spans="1:30" s="1219" customFormat="1" ht="20.25">
      <c r="A11" s="2938"/>
      <c r="B11" s="2945" t="s">
        <v>2755</v>
      </c>
      <c r="C11" s="2932" t="s">
        <v>3207</v>
      </c>
      <c r="D11" s="253">
        <v>100</v>
      </c>
      <c r="E11" s="525" t="s">
        <v>3212</v>
      </c>
      <c r="F11" s="253">
        <f>SUMIF(77:77,E11,78:78)-SUMIF(77:77,C11,78:78)+100</f>
        <v>100</v>
      </c>
      <c r="G11" s="525" t="s">
        <v>3350</v>
      </c>
      <c r="H11" s="253">
        <f>SUMIF(77:77,G11,78:78)-SUMIF(77:77,C11,78:78)+100</f>
        <v>100</v>
      </c>
      <c r="I11" s="525" t="s">
        <v>3201</v>
      </c>
      <c r="J11" s="253">
        <f>SUMIF(77:77,I11,78:78)-SUMIF(77:77,C11,78:78)+100</f>
        <v>100</v>
      </c>
      <c r="K11" s="523"/>
      <c r="L11" s="2134"/>
      <c r="M11" s="2131"/>
      <c r="N11" s="2131"/>
      <c r="O11" s="2136"/>
      <c r="P11" s="3733" t="s">
        <v>536</v>
      </c>
      <c r="Q11" s="3519" t="str">
        <f t="shared" ref="Q11:Q17" si="6">B11</f>
        <v>用途</v>
      </c>
      <c r="R11" s="1567" t="s">
        <v>8</v>
      </c>
      <c r="S11" s="1568">
        <f t="shared" si="0"/>
        <v>100</v>
      </c>
      <c r="T11" s="1567" t="s">
        <v>8</v>
      </c>
      <c r="U11" s="1568">
        <f t="shared" si="1"/>
        <v>100</v>
      </c>
      <c r="V11" s="1567" t="s">
        <v>8</v>
      </c>
      <c r="W11" s="1568">
        <f t="shared" si="2"/>
        <v>100</v>
      </c>
      <c r="X11" s="1569"/>
      <c r="Y11" s="3686" t="s">
        <v>537</v>
      </c>
      <c r="Z11" s="3518" t="str">
        <f t="shared" ref="Z11:Z17" si="7">Q11</f>
        <v>用途</v>
      </c>
      <c r="AA11" s="1570">
        <f t="shared" si="3"/>
        <v>1</v>
      </c>
      <c r="AB11" s="1570">
        <f t="shared" si="4"/>
        <v>1</v>
      </c>
      <c r="AC11" s="1570">
        <f t="shared" si="5"/>
        <v>1</v>
      </c>
    </row>
    <row r="12" spans="1:30" s="1337" customFormat="1" ht="27">
      <c r="A12" s="2939"/>
      <c r="B12" s="2944" t="s">
        <v>2756</v>
      </c>
      <c r="C12" s="909"/>
      <c r="D12" s="254">
        <v>100</v>
      </c>
      <c r="E12" s="528"/>
      <c r="F12" s="254">
        <f>ROUND(100/'数据-取费表'!G16,0)</f>
        <v>102</v>
      </c>
      <c r="G12" s="529"/>
      <c r="H12" s="254">
        <f>ROUND(100/'数据-取费表'!G16,0)</f>
        <v>102</v>
      </c>
      <c r="I12" s="529"/>
      <c r="J12" s="254">
        <f>ROUND(100/'数据-取费表'!G16,0)</f>
        <v>102</v>
      </c>
      <c r="K12" s="530"/>
      <c r="L12" s="2137"/>
      <c r="M12" s="2131"/>
      <c r="N12" s="2131"/>
      <c r="O12" s="2138"/>
      <c r="P12" s="3733"/>
      <c r="Q12" s="3519" t="str">
        <f t="shared" si="6"/>
        <v>土地使用年限（年）</v>
      </c>
      <c r="R12" s="1567" t="s">
        <v>8</v>
      </c>
      <c r="S12" s="1568">
        <f t="shared" si="0"/>
        <v>102</v>
      </c>
      <c r="T12" s="1567" t="s">
        <v>8</v>
      </c>
      <c r="U12" s="1568">
        <f t="shared" si="1"/>
        <v>102</v>
      </c>
      <c r="V12" s="1567" t="s">
        <v>8</v>
      </c>
      <c r="W12" s="1568">
        <f t="shared" si="2"/>
        <v>102</v>
      </c>
      <c r="X12" s="1569"/>
      <c r="Y12" s="3686"/>
      <c r="Z12" s="3518" t="str">
        <f t="shared" si="7"/>
        <v>土地使用年限（年）</v>
      </c>
      <c r="AA12" s="1570">
        <f t="shared" si="3"/>
        <v>0.98039215686274506</v>
      </c>
      <c r="AB12" s="1570">
        <f t="shared" si="4"/>
        <v>0.98039215686274506</v>
      </c>
      <c r="AC12" s="1570">
        <f t="shared" si="5"/>
        <v>0.98039215686274506</v>
      </c>
    </row>
    <row r="13" spans="1:30" ht="20.25">
      <c r="A13" s="2940"/>
      <c r="B13" s="2944" t="s">
        <v>2757</v>
      </c>
      <c r="C13" s="533">
        <f>'数据-汇总表'!I6</f>
        <v>2.99</v>
      </c>
      <c r="D13" s="254">
        <v>100</v>
      </c>
      <c r="E13" s="532">
        <v>2.5</v>
      </c>
      <c r="F13" s="254">
        <f>LOOKUP(E13,82:82,83:83)-LOOKUP(C13,82:82,83:83)+100</f>
        <v>100</v>
      </c>
      <c r="G13" s="533">
        <v>2.8</v>
      </c>
      <c r="H13" s="254">
        <f>LOOKUP(G13,82:82,83:83)-LOOKUP(C13,82:82,83:83)+100</f>
        <v>100</v>
      </c>
      <c r="I13" s="532">
        <v>1.5</v>
      </c>
      <c r="J13" s="254">
        <f>LOOKUP(I13,82:82,83:83)-LOOKUP(C13,82:82,83:83)+100</f>
        <v>110</v>
      </c>
      <c r="K13" s="534">
        <v>5</v>
      </c>
      <c r="L13" s="2139"/>
      <c r="M13" s="2131"/>
      <c r="N13" s="2131"/>
      <c r="O13" s="2140"/>
      <c r="P13" s="3733"/>
      <c r="Q13" s="3519" t="str">
        <f t="shared" si="6"/>
        <v>容积率</v>
      </c>
      <c r="R13" s="1567" t="s">
        <v>8</v>
      </c>
      <c r="S13" s="1568">
        <f t="shared" si="0"/>
        <v>100</v>
      </c>
      <c r="T13" s="1567" t="s">
        <v>8</v>
      </c>
      <c r="U13" s="1568">
        <f t="shared" si="1"/>
        <v>100</v>
      </c>
      <c r="V13" s="1567" t="s">
        <v>8</v>
      </c>
      <c r="W13" s="1568">
        <f t="shared" si="2"/>
        <v>110</v>
      </c>
      <c r="X13" s="1569"/>
      <c r="Y13" s="3686"/>
      <c r="Z13" s="3518" t="str">
        <f t="shared" si="7"/>
        <v>容积率</v>
      </c>
      <c r="AA13" s="1570">
        <f t="shared" si="3"/>
        <v>1</v>
      </c>
      <c r="AB13" s="1570">
        <f t="shared" si="4"/>
        <v>1</v>
      </c>
      <c r="AC13" s="1570">
        <f t="shared" si="5"/>
        <v>0.90909090909090906</v>
      </c>
    </row>
    <row r="14" spans="1:30" s="1219" customFormat="1" ht="20.25" hidden="1">
      <c r="A14" s="2937"/>
      <c r="B14" s="2946" t="s">
        <v>2758</v>
      </c>
      <c r="C14" s="2933"/>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733"/>
      <c r="Q14" s="3519" t="str">
        <f t="shared" si="6"/>
        <v>配建</v>
      </c>
      <c r="R14" s="1567" t="s">
        <v>8</v>
      </c>
      <c r="S14" s="1568">
        <f t="shared" si="0"/>
        <v>100</v>
      </c>
      <c r="T14" s="1567" t="s">
        <v>8</v>
      </c>
      <c r="U14" s="1568">
        <f t="shared" si="1"/>
        <v>100</v>
      </c>
      <c r="V14" s="1567" t="s">
        <v>8</v>
      </c>
      <c r="W14" s="1568">
        <f t="shared" si="2"/>
        <v>100</v>
      </c>
      <c r="X14" s="1569"/>
      <c r="Y14" s="3686"/>
      <c r="Z14" s="3518" t="str">
        <f t="shared" si="7"/>
        <v>配建</v>
      </c>
      <c r="AA14" s="1570">
        <f>D14/F14</f>
        <v>1</v>
      </c>
      <c r="AB14" s="1570">
        <f>D14/H14</f>
        <v>1</v>
      </c>
      <c r="AC14" s="1570">
        <f>D14/J14</f>
        <v>1</v>
      </c>
    </row>
    <row r="15" spans="1:30" ht="21" thickBot="1">
      <c r="A15" s="2941"/>
      <c r="B15" s="3535" t="s">
        <v>3766</v>
      </c>
      <c r="C15" s="3537" t="s">
        <v>3768</v>
      </c>
      <c r="D15" s="539">
        <v>100</v>
      </c>
      <c r="E15" s="3536" t="s">
        <v>3767</v>
      </c>
      <c r="F15" s="254">
        <f>SUMIF(86:86,E15,87:87)-SUMIF(86:86,C15,87:87)+100</f>
        <v>90</v>
      </c>
      <c r="G15" s="3532" t="s">
        <v>3769</v>
      </c>
      <c r="H15" s="539">
        <f>SUMIF(86:86,G15,87:87)-SUMIF(86:86,C15,87:87)+100</f>
        <v>100</v>
      </c>
      <c r="I15" s="3532" t="s">
        <v>3763</v>
      </c>
      <c r="J15" s="539">
        <f>SUMIF(86:86,I15,87:87)-SUMIF(86:86,C15,87:87)+100</f>
        <v>90</v>
      </c>
      <c r="K15" s="530"/>
      <c r="L15" s="2141"/>
      <c r="M15" s="2131"/>
      <c r="N15" s="2131"/>
      <c r="O15" s="2140"/>
      <c r="P15" s="3733"/>
      <c r="Q15" s="3519" t="str">
        <f t="shared" si="6"/>
        <v>竞拍限制条件</v>
      </c>
      <c r="R15" s="1567" t="s">
        <v>8</v>
      </c>
      <c r="S15" s="1568">
        <f t="shared" si="0"/>
        <v>90</v>
      </c>
      <c r="T15" s="1567" t="s">
        <v>8</v>
      </c>
      <c r="U15" s="1568">
        <f t="shared" si="1"/>
        <v>100</v>
      </c>
      <c r="V15" s="1567" t="s">
        <v>8</v>
      </c>
      <c r="W15" s="1568">
        <f t="shared" si="2"/>
        <v>90</v>
      </c>
      <c r="X15" s="1569"/>
      <c r="Y15" s="3686"/>
      <c r="Z15" s="3518" t="str">
        <f t="shared" si="7"/>
        <v>竞拍限制条件</v>
      </c>
      <c r="AA15" s="1570">
        <f>D15/F15</f>
        <v>1.1111111111111112</v>
      </c>
      <c r="AB15" s="1570">
        <f>D15/H15</f>
        <v>1</v>
      </c>
      <c r="AC15" s="1570">
        <f>D15/J15</f>
        <v>1.1111111111111112</v>
      </c>
    </row>
    <row r="16" spans="1:30" ht="21" hidden="1" thickBot="1">
      <c r="A16" s="2942"/>
      <c r="B16" s="2948"/>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733"/>
      <c r="Q16" s="3519">
        <f t="shared" si="6"/>
        <v>0</v>
      </c>
      <c r="R16" s="1567" t="s">
        <v>8</v>
      </c>
      <c r="S16" s="1568">
        <f t="shared" si="0"/>
        <v>100</v>
      </c>
      <c r="T16" s="1567" t="s">
        <v>8</v>
      </c>
      <c r="U16" s="1568">
        <f t="shared" si="1"/>
        <v>100</v>
      </c>
      <c r="V16" s="1567" t="s">
        <v>8</v>
      </c>
      <c r="W16" s="1568">
        <f t="shared" si="2"/>
        <v>100</v>
      </c>
      <c r="X16" s="1569"/>
      <c r="Y16" s="3686"/>
      <c r="Z16" s="3518">
        <f t="shared" si="7"/>
        <v>0</v>
      </c>
      <c r="AA16" s="1570">
        <f>D16/F16</f>
        <v>1</v>
      </c>
      <c r="AB16" s="1570">
        <f>D16/H16</f>
        <v>1</v>
      </c>
      <c r="AC16" s="1570">
        <f>D16/J16</f>
        <v>1</v>
      </c>
    </row>
    <row r="17" spans="1:29" ht="99.75" customHeight="1">
      <c r="A17" s="2934" t="s">
        <v>2753</v>
      </c>
      <c r="B17" s="577" t="s">
        <v>295</v>
      </c>
      <c r="C17" s="547" t="str">
        <f>估价对象房地状况!C15</f>
        <v>周边居住用地比例、居住小区规模和社区发展完善程度（先锋花园 金科天籁城 华远锦悦）</v>
      </c>
      <c r="D17" s="550">
        <v>100</v>
      </c>
      <c r="E17" s="3531" t="s">
        <v>3750</v>
      </c>
      <c r="F17" s="548">
        <f>SUMIF(90:90,E18,91:91)-SUMIF(90:90,C18,91:91)+100</f>
        <v>90</v>
      </c>
      <c r="G17" s="3507" t="s">
        <v>3751</v>
      </c>
      <c r="H17" s="548">
        <f>SUMIF(90:90,G18,91:91)-SUMIF(90:90,C18,91:91)+100</f>
        <v>95</v>
      </c>
      <c r="I17" s="551" t="s">
        <v>3756</v>
      </c>
      <c r="J17" s="548">
        <f>SUMIF(90:90,I18,91:91)-SUMIF(90:90,C18,91:91)+100</f>
        <v>95</v>
      </c>
      <c r="K17" s="534">
        <v>5</v>
      </c>
      <c r="L17" s="2141"/>
      <c r="M17" s="2131"/>
      <c r="N17" s="2131"/>
      <c r="O17" s="2140"/>
      <c r="P17" s="3735" t="s">
        <v>541</v>
      </c>
      <c r="Q17" s="3522" t="str">
        <f t="shared" si="6"/>
        <v>居住社区成熟度</v>
      </c>
      <c r="R17" s="1572" t="s">
        <v>8</v>
      </c>
      <c r="S17" s="1573">
        <f t="shared" si="0"/>
        <v>90</v>
      </c>
      <c r="T17" s="1572" t="s">
        <v>8</v>
      </c>
      <c r="U17" s="1573">
        <f t="shared" si="1"/>
        <v>95</v>
      </c>
      <c r="V17" s="1572" t="s">
        <v>8</v>
      </c>
      <c r="W17" s="1573">
        <f t="shared" si="2"/>
        <v>95</v>
      </c>
      <c r="X17" s="3521"/>
      <c r="Y17" s="3735" t="s">
        <v>541</v>
      </c>
      <c r="Z17" s="3523" t="str">
        <f t="shared" si="7"/>
        <v>居住社区成熟度</v>
      </c>
      <c r="AA17" s="3524">
        <f t="shared" si="3"/>
        <v>1.1111111111111112</v>
      </c>
      <c r="AB17" s="3524">
        <f t="shared" si="4"/>
        <v>1.0526315789473684</v>
      </c>
      <c r="AC17" s="3524">
        <f t="shared" si="5"/>
        <v>1.0526315789473684</v>
      </c>
    </row>
    <row r="18" spans="1:29" ht="20.25">
      <c r="A18" s="531"/>
      <c r="B18" s="552"/>
      <c r="C18" s="553" t="s">
        <v>3650</v>
      </c>
      <c r="D18" s="556"/>
      <c r="E18" s="557" t="s">
        <v>3755</v>
      </c>
      <c r="F18" s="554"/>
      <c r="G18" s="555" t="s">
        <v>3666</v>
      </c>
      <c r="H18" s="558"/>
      <c r="I18" s="557" t="s">
        <v>3666</v>
      </c>
      <c r="J18" s="554"/>
      <c r="K18" s="530"/>
      <c r="L18" s="2141"/>
      <c r="M18" s="2131"/>
      <c r="N18" s="2131"/>
      <c r="O18" s="2140"/>
      <c r="P18" s="3736"/>
      <c r="Q18" s="3522"/>
      <c r="R18" s="1572"/>
      <c r="S18" s="1573"/>
      <c r="T18" s="1572"/>
      <c r="U18" s="1573"/>
      <c r="V18" s="1572"/>
      <c r="W18" s="1573"/>
      <c r="X18" s="3521"/>
      <c r="Y18" s="3736"/>
      <c r="Z18" s="3523"/>
      <c r="AA18" s="3524">
        <v>1</v>
      </c>
      <c r="AB18" s="3524">
        <v>1</v>
      </c>
      <c r="AC18" s="3524">
        <v>1</v>
      </c>
    </row>
    <row r="19" spans="1:29" ht="42.75">
      <c r="A19" s="531"/>
      <c r="B19" s="559" t="s">
        <v>542</v>
      </c>
      <c r="C19" s="560" t="str">
        <f>估价对象房地状况!C16</f>
        <v>XX商圈，商业氛围，人流量（万达广场 大明宫购物中心 大明宫中央广场 建材）</v>
      </c>
      <c r="D19" s="562">
        <v>100</v>
      </c>
      <c r="E19" s="563"/>
      <c r="F19" s="558">
        <f>SUMIF(92:92,E20,93:93)-SUMIF(92:92,C20,93:93)+100</f>
        <v>94</v>
      </c>
      <c r="G19" s="3501"/>
      <c r="H19" s="564">
        <f>SUMIF(92:92,G20,93:93)-SUMIF(92:92,C20,93:93)+100</f>
        <v>94</v>
      </c>
      <c r="I19" s="563"/>
      <c r="J19" s="564">
        <f>SUMIF(92:92,I20,93:93)-SUMIF(92:92,C20,93:93)+100</f>
        <v>97</v>
      </c>
      <c r="K19" s="534">
        <v>3</v>
      </c>
      <c r="L19" s="2141"/>
      <c r="M19" s="2131"/>
      <c r="N19" s="2131"/>
      <c r="O19" s="2140"/>
      <c r="P19" s="3736"/>
      <c r="Q19" s="3522" t="str">
        <f>B19</f>
        <v>商业繁华度</v>
      </c>
      <c r="R19" s="1572" t="s">
        <v>8</v>
      </c>
      <c r="S19" s="1573">
        <f>F19</f>
        <v>94</v>
      </c>
      <c r="T19" s="1572" t="s">
        <v>8</v>
      </c>
      <c r="U19" s="1573">
        <f>H19</f>
        <v>94</v>
      </c>
      <c r="V19" s="1572" t="s">
        <v>8</v>
      </c>
      <c r="W19" s="1573">
        <f>J19</f>
        <v>97</v>
      </c>
      <c r="X19" s="3521"/>
      <c r="Y19" s="3736"/>
      <c r="Z19" s="3523" t="str">
        <f>Q19</f>
        <v>商业繁华度</v>
      </c>
      <c r="AA19" s="3524">
        <f t="shared" si="3"/>
        <v>1.0638297872340425</v>
      </c>
      <c r="AB19" s="3524">
        <f t="shared" si="4"/>
        <v>1.0638297872340425</v>
      </c>
      <c r="AC19" s="3524">
        <f t="shared" si="5"/>
        <v>1.0309278350515463</v>
      </c>
    </row>
    <row r="20" spans="1:29" ht="20.25">
      <c r="A20" s="531"/>
      <c r="B20" s="565"/>
      <c r="C20" s="566" t="s">
        <v>3650</v>
      </c>
      <c r="D20" s="562"/>
      <c r="E20" s="568" t="s">
        <v>3755</v>
      </c>
      <c r="F20" s="558"/>
      <c r="G20" s="567" t="s">
        <v>3755</v>
      </c>
      <c r="H20" s="554"/>
      <c r="I20" s="568" t="s">
        <v>3666</v>
      </c>
      <c r="J20" s="554"/>
      <c r="K20" s="530"/>
      <c r="L20" s="2141"/>
      <c r="M20" s="2131"/>
      <c r="N20" s="2131"/>
      <c r="O20" s="2140"/>
      <c r="P20" s="3736"/>
      <c r="Q20" s="3522"/>
      <c r="R20" s="1572"/>
      <c r="S20" s="1573"/>
      <c r="T20" s="1572"/>
      <c r="U20" s="1573"/>
      <c r="V20" s="1572"/>
      <c r="W20" s="1573"/>
      <c r="X20" s="3521"/>
      <c r="Y20" s="3736"/>
      <c r="Z20" s="3523"/>
      <c r="AA20" s="3524">
        <v>1</v>
      </c>
      <c r="AB20" s="3524">
        <v>1</v>
      </c>
      <c r="AC20" s="3524">
        <v>1</v>
      </c>
    </row>
    <row r="21" spans="1:29" ht="20.25" hidden="1">
      <c r="A21" s="531"/>
      <c r="B21" s="559" t="s">
        <v>543</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736"/>
      <c r="Q21" s="3522" t="str">
        <f>B21</f>
        <v>办公集聚程度</v>
      </c>
      <c r="R21" s="1572" t="s">
        <v>8</v>
      </c>
      <c r="S21" s="1573">
        <f>F21</f>
        <v>100</v>
      </c>
      <c r="T21" s="1572" t="s">
        <v>8</v>
      </c>
      <c r="U21" s="1573">
        <f>H21</f>
        <v>100</v>
      </c>
      <c r="V21" s="1572" t="s">
        <v>8</v>
      </c>
      <c r="W21" s="1573">
        <f>J21</f>
        <v>100</v>
      </c>
      <c r="X21" s="3521"/>
      <c r="Y21" s="3736"/>
      <c r="Z21" s="3523" t="str">
        <f>Q21</f>
        <v>办公集聚程度</v>
      </c>
      <c r="AA21" s="3524">
        <f t="shared" si="3"/>
        <v>1</v>
      </c>
      <c r="AB21" s="3524">
        <f t="shared" si="4"/>
        <v>1</v>
      </c>
      <c r="AC21" s="3524">
        <f t="shared" si="5"/>
        <v>1</v>
      </c>
    </row>
    <row r="22" spans="1:29" ht="20.25" hidden="1">
      <c r="A22" s="531"/>
      <c r="B22" s="565"/>
      <c r="C22" s="553"/>
      <c r="D22" s="556"/>
      <c r="E22" s="557"/>
      <c r="F22" s="554"/>
      <c r="G22" s="555"/>
      <c r="H22" s="554"/>
      <c r="I22" s="557"/>
      <c r="J22" s="554"/>
      <c r="K22" s="530"/>
      <c r="L22" s="2141"/>
      <c r="M22" s="2131"/>
      <c r="N22" s="2131"/>
      <c r="O22" s="2140"/>
      <c r="P22" s="3736"/>
      <c r="Q22" s="3522"/>
      <c r="R22" s="1572"/>
      <c r="S22" s="1573"/>
      <c r="T22" s="1572"/>
      <c r="U22" s="1573"/>
      <c r="V22" s="1572"/>
      <c r="W22" s="1573"/>
      <c r="X22" s="3521"/>
      <c r="Y22" s="3736"/>
      <c r="Z22" s="3523"/>
      <c r="AA22" s="3524">
        <v>1</v>
      </c>
      <c r="AB22" s="3524">
        <v>1</v>
      </c>
      <c r="AC22" s="3524">
        <v>1</v>
      </c>
    </row>
    <row r="23" spans="1:29" ht="57">
      <c r="A23" s="531"/>
      <c r="B23" s="559" t="s">
        <v>544</v>
      </c>
      <c r="C23" s="572" t="str">
        <f>估价对象房地状况!C18</f>
        <v>周边道路状况、公共交通通达情况、停车便捷程度（二环北路 17路 209路 245路 地铁3号线辛家庙站2公里</v>
      </c>
      <c r="D23" s="562">
        <v>100</v>
      </c>
      <c r="E23" s="563" t="s">
        <v>3759</v>
      </c>
      <c r="F23" s="564">
        <f>SUMIF(96:96,E24,97:97)-SUMIF(96:96,C24,97:97)+100</f>
        <v>100</v>
      </c>
      <c r="G23" s="561" t="s">
        <v>3752</v>
      </c>
      <c r="H23" s="558">
        <f>SUMIF(96:96,G24,97:97)-SUMIF(96:96,C24,97:97)+100</f>
        <v>100</v>
      </c>
      <c r="I23" s="563" t="s">
        <v>3757</v>
      </c>
      <c r="J23" s="558">
        <f>SUMIF(96:96,I24,97:97)-SUMIF(96:96,C24,97:97)+100</f>
        <v>100</v>
      </c>
      <c r="K23" s="534">
        <v>3</v>
      </c>
      <c r="L23" s="2141"/>
      <c r="M23" s="2131"/>
      <c r="N23" s="2131"/>
      <c r="O23" s="2140"/>
      <c r="P23" s="3736"/>
      <c r="Q23" s="3522" t="str">
        <f>B23</f>
        <v>交通便捷度</v>
      </c>
      <c r="R23" s="1572" t="s">
        <v>8</v>
      </c>
      <c r="S23" s="1573">
        <f>F23</f>
        <v>100</v>
      </c>
      <c r="T23" s="1572" t="s">
        <v>8</v>
      </c>
      <c r="U23" s="1573">
        <f>H23</f>
        <v>100</v>
      </c>
      <c r="V23" s="1572" t="s">
        <v>8</v>
      </c>
      <c r="W23" s="1573">
        <f>J23</f>
        <v>100</v>
      </c>
      <c r="X23" s="3521"/>
      <c r="Y23" s="3736"/>
      <c r="Z23" s="3523" t="str">
        <f>Q23</f>
        <v>交通便捷度</v>
      </c>
      <c r="AA23" s="3524">
        <f t="shared" si="3"/>
        <v>1</v>
      </c>
      <c r="AB23" s="3524">
        <f t="shared" si="4"/>
        <v>1</v>
      </c>
      <c r="AC23" s="3524">
        <f t="shared" si="5"/>
        <v>1</v>
      </c>
    </row>
    <row r="24" spans="1:29" ht="20.25">
      <c r="A24" s="531"/>
      <c r="B24" s="577"/>
      <c r="C24" s="553" t="s">
        <v>3650</v>
      </c>
      <c r="D24" s="556"/>
      <c r="E24" s="557" t="s">
        <v>3650</v>
      </c>
      <c r="F24" s="554"/>
      <c r="G24" s="3508" t="s">
        <v>3651</v>
      </c>
      <c r="H24" s="554"/>
      <c r="I24" s="557" t="s">
        <v>3650</v>
      </c>
      <c r="J24" s="554"/>
      <c r="K24" s="530"/>
      <c r="L24" s="2141"/>
      <c r="M24" s="2131"/>
      <c r="N24" s="2131"/>
      <c r="O24" s="2140"/>
      <c r="P24" s="3736"/>
      <c r="Q24" s="3522"/>
      <c r="R24" s="1572"/>
      <c r="S24" s="1573"/>
      <c r="T24" s="1572"/>
      <c r="U24" s="1573"/>
      <c r="V24" s="1572"/>
      <c r="W24" s="1573"/>
      <c r="X24" s="3521"/>
      <c r="Y24" s="3736"/>
      <c r="Z24" s="3523"/>
      <c r="AA24" s="3524">
        <v>1</v>
      </c>
      <c r="AB24" s="3524">
        <v>1</v>
      </c>
      <c r="AC24" s="3524">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1"/>
      <c r="M25" s="2131"/>
      <c r="N25" s="2131"/>
      <c r="O25" s="2140"/>
      <c r="P25" s="3736"/>
      <c r="Q25" s="3522" t="str">
        <f t="shared" ref="Q25:Q39" si="8">B25</f>
        <v>区域土地利用方向</v>
      </c>
      <c r="R25" s="1572" t="s">
        <v>8</v>
      </c>
      <c r="S25" s="1573">
        <f>F25</f>
        <v>100</v>
      </c>
      <c r="T25" s="1572" t="s">
        <v>8</v>
      </c>
      <c r="U25" s="1573">
        <f>H25</f>
        <v>100</v>
      </c>
      <c r="V25" s="1572" t="s">
        <v>8</v>
      </c>
      <c r="W25" s="1573">
        <f>J25</f>
        <v>100</v>
      </c>
      <c r="X25" s="3521"/>
      <c r="Y25" s="3736"/>
      <c r="Z25" s="3523" t="str">
        <f>Q25</f>
        <v>区域土地利用方向</v>
      </c>
      <c r="AA25" s="3524">
        <f t="shared" si="3"/>
        <v>1</v>
      </c>
      <c r="AB25" s="3524">
        <f t="shared" si="4"/>
        <v>1</v>
      </c>
      <c r="AC25" s="3524">
        <f t="shared" si="5"/>
        <v>1</v>
      </c>
    </row>
    <row r="26" spans="1:29" ht="20.25">
      <c r="A26" s="514"/>
      <c r="B26" s="1006"/>
      <c r="C26" s="553" t="s">
        <v>3650</v>
      </c>
      <c r="D26" s="556"/>
      <c r="E26" s="553" t="s">
        <v>3650</v>
      </c>
      <c r="F26" s="554"/>
      <c r="G26" s="553" t="s">
        <v>3650</v>
      </c>
      <c r="H26" s="554"/>
      <c r="I26" s="553" t="s">
        <v>3650</v>
      </c>
      <c r="J26" s="554"/>
      <c r="K26" s="530"/>
      <c r="L26" s="2141"/>
      <c r="M26" s="2131"/>
      <c r="N26" s="2131"/>
      <c r="O26" s="2140"/>
      <c r="P26" s="3736"/>
      <c r="Q26" s="3522"/>
      <c r="R26" s="1572"/>
      <c r="S26" s="1573"/>
      <c r="T26" s="1572"/>
      <c r="U26" s="1573"/>
      <c r="V26" s="1572"/>
      <c r="W26" s="1573"/>
      <c r="X26" s="3521"/>
      <c r="Y26" s="3736"/>
      <c r="Z26" s="3523"/>
      <c r="AA26" s="3524"/>
      <c r="AB26" s="3524"/>
      <c r="AC26" s="3524"/>
    </row>
    <row r="27" spans="1:29" ht="27">
      <c r="A27" s="514"/>
      <c r="B27" s="577" t="s">
        <v>546</v>
      </c>
      <c r="C27" s="560" t="str">
        <f>估价对象房地状况!C20</f>
        <v>大明宫国家遗址公园</v>
      </c>
      <c r="D27" s="562">
        <v>100</v>
      </c>
      <c r="E27" s="3502" t="s">
        <v>3761</v>
      </c>
      <c r="F27" s="558">
        <f>SUMIF(100:100,E28,101:101)-SUMIF(100:100,C28,101:101)+100</f>
        <v>100</v>
      </c>
      <c r="G27" s="3501" t="s">
        <v>3754</v>
      </c>
      <c r="H27" s="558">
        <f>SUMIF(100:100,G28,101:101)-SUMIF(100:100,C28,101:101)+100</f>
        <v>100</v>
      </c>
      <c r="I27" s="3502" t="s">
        <v>3765</v>
      </c>
      <c r="J27" s="558">
        <f>SUMIF(100:100,I28,101:101)-SUMIF(100:100,C28,101:101)+100</f>
        <v>100</v>
      </c>
      <c r="K27" s="534">
        <v>2</v>
      </c>
      <c r="L27" s="2141"/>
      <c r="M27" s="2131"/>
      <c r="N27" s="2131"/>
      <c r="O27" s="2140"/>
      <c r="P27" s="3736"/>
      <c r="Q27" s="3522" t="str">
        <f t="shared" si="8"/>
        <v>自然及人文环境状况</v>
      </c>
      <c r="R27" s="1572" t="s">
        <v>8</v>
      </c>
      <c r="S27" s="1573">
        <f>F27</f>
        <v>100</v>
      </c>
      <c r="T27" s="1572" t="s">
        <v>8</v>
      </c>
      <c r="U27" s="1573">
        <f>H27</f>
        <v>100</v>
      </c>
      <c r="V27" s="1572" t="s">
        <v>8</v>
      </c>
      <c r="W27" s="1573">
        <f>J27</f>
        <v>100</v>
      </c>
      <c r="X27" s="3521"/>
      <c r="Y27" s="3736"/>
      <c r="Z27" s="3523" t="str">
        <f>Q27</f>
        <v>自然及人文环境状况</v>
      </c>
      <c r="AA27" s="3524">
        <f t="shared" si="3"/>
        <v>1</v>
      </c>
      <c r="AB27" s="3524">
        <f t="shared" si="4"/>
        <v>1</v>
      </c>
      <c r="AC27" s="3524">
        <f t="shared" si="5"/>
        <v>1</v>
      </c>
    </row>
    <row r="28" spans="1:29" ht="20.25">
      <c r="A28" s="514"/>
      <c r="B28" s="565"/>
      <c r="C28" s="553" t="s">
        <v>3650</v>
      </c>
      <c r="D28" s="556"/>
      <c r="E28" s="553" t="s">
        <v>3650</v>
      </c>
      <c r="F28" s="554"/>
      <c r="G28" s="553" t="s">
        <v>3650</v>
      </c>
      <c r="H28" s="554"/>
      <c r="I28" s="553" t="s">
        <v>3650</v>
      </c>
      <c r="J28" s="554"/>
      <c r="K28" s="530"/>
      <c r="L28" s="2141"/>
      <c r="M28" s="2131"/>
      <c r="N28" s="2131"/>
      <c r="O28" s="2140"/>
      <c r="P28" s="3736"/>
      <c r="Q28" s="3522"/>
      <c r="R28" s="1572"/>
      <c r="S28" s="1573"/>
      <c r="T28" s="1572"/>
      <c r="U28" s="1573"/>
      <c r="V28" s="1572"/>
      <c r="W28" s="1573"/>
      <c r="X28" s="3521"/>
      <c r="Y28" s="3736"/>
      <c r="Z28" s="3523"/>
      <c r="AA28" s="3524">
        <v>1</v>
      </c>
      <c r="AB28" s="3524">
        <v>1</v>
      </c>
      <c r="AC28" s="3524">
        <v>1</v>
      </c>
    </row>
    <row r="29" spans="1:29" s="1219" customFormat="1" ht="85.5">
      <c r="A29" s="576"/>
      <c r="B29" s="2614" t="s">
        <v>2548</v>
      </c>
      <c r="C29" s="572" t="str">
        <f>估价对象房地状况!C21</f>
        <v>1.5公里 西安市第三医院 中国工商银行(西安北二环东段支行) 中国农业银行(太华北路支行) 西安市未央区幼儿园 大明宫小学 陕西师范大学锦园国际中学 永辉超市</v>
      </c>
      <c r="D29" s="562">
        <v>100</v>
      </c>
      <c r="E29" s="3502" t="s">
        <v>3760</v>
      </c>
      <c r="F29" s="558">
        <f>SUMIF(102:102,E30,103:103)-SUMIF(102:102,C30,103:103)+100</f>
        <v>100</v>
      </c>
      <c r="G29" s="561" t="s">
        <v>3753</v>
      </c>
      <c r="H29" s="558">
        <f>SUMIF(102:102,G30,103:103)-SUMIF(102:102,C30,103:103)+100</f>
        <v>100</v>
      </c>
      <c r="I29" s="563" t="s">
        <v>3758</v>
      </c>
      <c r="J29" s="558">
        <f>SUMIF(102:102,I30,103:103)-SUMIF(102:102,C30,103:103)+100</f>
        <v>100</v>
      </c>
      <c r="K29" s="534">
        <v>3</v>
      </c>
      <c r="L29" s="2134"/>
      <c r="M29" s="2131"/>
      <c r="N29" s="2131"/>
      <c r="O29" s="2136"/>
      <c r="P29" s="3736"/>
      <c r="Q29" s="3519" t="str">
        <f t="shared" si="8"/>
        <v>公共配套设施</v>
      </c>
      <c r="R29" s="1567" t="s">
        <v>8</v>
      </c>
      <c r="S29" s="1568">
        <f>F29</f>
        <v>100</v>
      </c>
      <c r="T29" s="1567" t="s">
        <v>8</v>
      </c>
      <c r="U29" s="1568">
        <f>H29</f>
        <v>100</v>
      </c>
      <c r="V29" s="1567" t="s">
        <v>8</v>
      </c>
      <c r="W29" s="1568">
        <f>J29</f>
        <v>100</v>
      </c>
      <c r="X29" s="1569"/>
      <c r="Y29" s="3736"/>
      <c r="Z29" s="3518" t="str">
        <f>Q29</f>
        <v>公共配套设施</v>
      </c>
      <c r="AA29" s="3524">
        <f>D29/F29</f>
        <v>1</v>
      </c>
      <c r="AB29" s="3524">
        <f>D29/H29</f>
        <v>1</v>
      </c>
      <c r="AC29" s="3524">
        <f>D29/J29</f>
        <v>1</v>
      </c>
    </row>
    <row r="30" spans="1:29" s="1219" customFormat="1" ht="20.25">
      <c r="A30" s="576"/>
      <c r="B30" s="565"/>
      <c r="C30" s="578" t="s">
        <v>3650</v>
      </c>
      <c r="D30" s="556"/>
      <c r="E30" s="3533" t="s">
        <v>3650</v>
      </c>
      <c r="F30" s="554"/>
      <c r="G30" s="553" t="s">
        <v>3650</v>
      </c>
      <c r="H30" s="554"/>
      <c r="I30" s="575" t="s">
        <v>3650</v>
      </c>
      <c r="J30" s="554"/>
      <c r="K30" s="530"/>
      <c r="L30" s="2134"/>
      <c r="M30" s="2131"/>
      <c r="N30" s="2131"/>
      <c r="O30" s="2136"/>
      <c r="P30" s="3736"/>
      <c r="Q30" s="3519"/>
      <c r="R30" s="1567"/>
      <c r="S30" s="1568"/>
      <c r="T30" s="1567"/>
      <c r="U30" s="1568"/>
      <c r="V30" s="1567"/>
      <c r="W30" s="1568"/>
      <c r="X30" s="1569"/>
      <c r="Y30" s="3736"/>
      <c r="Z30" s="3518"/>
      <c r="AA30" s="3524">
        <v>1</v>
      </c>
      <c r="AB30" s="3524">
        <v>1</v>
      </c>
      <c r="AC30" s="3524">
        <v>1</v>
      </c>
    </row>
    <row r="31" spans="1:29" s="1219" customFormat="1" ht="20.25">
      <c r="A31" s="576"/>
      <c r="B31" s="2614" t="s">
        <v>2549</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736"/>
      <c r="Q31" s="3519" t="str">
        <f t="shared" ref="Q31" si="9">B31</f>
        <v>基础设施水平</v>
      </c>
      <c r="R31" s="1567" t="s">
        <v>8</v>
      </c>
      <c r="S31" s="1568">
        <f>F31</f>
        <v>100</v>
      </c>
      <c r="T31" s="1567" t="s">
        <v>8</v>
      </c>
      <c r="U31" s="1568">
        <f>H31</f>
        <v>100</v>
      </c>
      <c r="V31" s="1567" t="s">
        <v>8</v>
      </c>
      <c r="W31" s="1568">
        <f>J31</f>
        <v>100</v>
      </c>
      <c r="X31" s="1569"/>
      <c r="Y31" s="3736"/>
      <c r="Z31" s="3518" t="str">
        <f>Q31</f>
        <v>基础设施水平</v>
      </c>
      <c r="AA31" s="3524">
        <f>D31/F31</f>
        <v>1</v>
      </c>
      <c r="AB31" s="3524">
        <f>D31/H31</f>
        <v>1</v>
      </c>
      <c r="AC31" s="3524">
        <f>D31/J31</f>
        <v>1</v>
      </c>
    </row>
    <row r="32" spans="1:29" s="1219" customFormat="1" ht="20.25">
      <c r="A32" s="576"/>
      <c r="B32" s="565"/>
      <c r="C32" s="578" t="s">
        <v>3662</v>
      </c>
      <c r="D32" s="556"/>
      <c r="E32" s="578" t="s">
        <v>3662</v>
      </c>
      <c r="F32" s="554"/>
      <c r="G32" s="578" t="s">
        <v>3662</v>
      </c>
      <c r="H32" s="554"/>
      <c r="I32" s="578" t="s">
        <v>3662</v>
      </c>
      <c r="J32" s="554"/>
      <c r="K32" s="530"/>
      <c r="L32" s="2134"/>
      <c r="M32" s="2131"/>
      <c r="N32" s="2131"/>
      <c r="O32" s="2136"/>
      <c r="P32" s="3736"/>
      <c r="Q32" s="3519"/>
      <c r="R32" s="1567"/>
      <c r="S32" s="1568"/>
      <c r="T32" s="1567"/>
      <c r="U32" s="1568"/>
      <c r="V32" s="1567"/>
      <c r="W32" s="1568"/>
      <c r="X32" s="1569"/>
      <c r="Y32" s="3736"/>
      <c r="Z32" s="3518"/>
      <c r="AA32" s="3524">
        <v>1</v>
      </c>
      <c r="AB32" s="3524">
        <v>1</v>
      </c>
      <c r="AC32" s="3524">
        <v>1</v>
      </c>
    </row>
    <row r="33" spans="1:29" ht="20.25" hidden="1">
      <c r="A33" s="531"/>
      <c r="B33" s="565" t="s">
        <v>548</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736"/>
      <c r="Q33" s="3522" t="str">
        <f t="shared" si="8"/>
        <v>临街状况</v>
      </c>
      <c r="R33" s="1572" t="s">
        <v>8</v>
      </c>
      <c r="S33" s="1573">
        <f t="shared" ref="S33:S47" si="10">F33</f>
        <v>100</v>
      </c>
      <c r="T33" s="1572" t="s">
        <v>8</v>
      </c>
      <c r="U33" s="1573">
        <f t="shared" ref="U33:U47" si="11">H33</f>
        <v>100</v>
      </c>
      <c r="V33" s="1572" t="s">
        <v>8</v>
      </c>
      <c r="W33" s="1573">
        <f t="shared" ref="W33:W47" si="12">J33</f>
        <v>100</v>
      </c>
      <c r="X33" s="3521"/>
      <c r="Y33" s="3736"/>
      <c r="Z33" s="3523" t="str">
        <f t="shared" ref="Z33:Z47" si="13">Q33</f>
        <v>临街状况</v>
      </c>
      <c r="AA33" s="3524">
        <f t="shared" si="3"/>
        <v>1</v>
      </c>
      <c r="AB33" s="3524">
        <f t="shared" si="4"/>
        <v>1</v>
      </c>
      <c r="AC33" s="3524">
        <f t="shared" si="5"/>
        <v>1</v>
      </c>
    </row>
    <row r="34" spans="1:29" ht="27">
      <c r="A34" s="531"/>
      <c r="B34" s="577" t="s">
        <v>549</v>
      </c>
      <c r="C34" s="3501" t="s">
        <v>3656</v>
      </c>
      <c r="D34" s="562">
        <v>100</v>
      </c>
      <c r="E34" s="3502" t="s">
        <v>3748</v>
      </c>
      <c r="F34" s="558">
        <f>SUMIF(108:108,E35,109:109)-SUMIF(108:108,C35,109:109)+100</f>
        <v>101</v>
      </c>
      <c r="G34" s="3501" t="s">
        <v>3747</v>
      </c>
      <c r="H34" s="558">
        <f>SUMIF(108:108,G35,109:109)-SUMIF(108:108,C35,109:109)+100</f>
        <v>100</v>
      </c>
      <c r="I34" s="3502" t="s">
        <v>3746</v>
      </c>
      <c r="J34" s="558">
        <f>SUMIF(108:108,I35,109:109)-SUMIF(108:108,C35,109:109)+100</f>
        <v>100</v>
      </c>
      <c r="K34" s="534">
        <v>1</v>
      </c>
      <c r="L34" s="2141"/>
      <c r="M34" s="2131"/>
      <c r="N34" s="2131"/>
      <c r="O34" s="2140"/>
      <c r="P34" s="3736"/>
      <c r="Q34" s="3522" t="str">
        <f t="shared" si="8"/>
        <v>毗邻道路的类型与等级</v>
      </c>
      <c r="R34" s="1572" t="s">
        <v>8</v>
      </c>
      <c r="S34" s="1573">
        <f t="shared" si="10"/>
        <v>101</v>
      </c>
      <c r="T34" s="1572" t="s">
        <v>8</v>
      </c>
      <c r="U34" s="1573">
        <f t="shared" si="11"/>
        <v>100</v>
      </c>
      <c r="V34" s="1572" t="s">
        <v>8</v>
      </c>
      <c r="W34" s="1573">
        <f t="shared" si="12"/>
        <v>100</v>
      </c>
      <c r="X34" s="3521"/>
      <c r="Y34" s="3736"/>
      <c r="Z34" s="3523" t="str">
        <f t="shared" si="13"/>
        <v>毗邻道路的类型与等级</v>
      </c>
      <c r="AA34" s="3524">
        <f t="shared" si="3"/>
        <v>0.99009900990099009</v>
      </c>
      <c r="AB34" s="3524">
        <f t="shared" si="4"/>
        <v>1</v>
      </c>
      <c r="AC34" s="3524">
        <f t="shared" si="5"/>
        <v>1</v>
      </c>
    </row>
    <row r="35" spans="1:29" ht="21" thickBot="1">
      <c r="A35" s="531"/>
      <c r="B35" s="565"/>
      <c r="C35" s="553" t="s">
        <v>3660</v>
      </c>
      <c r="D35" s="556"/>
      <c r="E35" s="575" t="s">
        <v>3749</v>
      </c>
      <c r="F35" s="554"/>
      <c r="G35" s="553" t="s">
        <v>3660</v>
      </c>
      <c r="H35" s="554"/>
      <c r="I35" s="575" t="s">
        <v>3660</v>
      </c>
      <c r="J35" s="554"/>
      <c r="K35" s="580"/>
      <c r="L35" s="2141"/>
      <c r="M35" s="2131"/>
      <c r="N35" s="2131"/>
      <c r="O35" s="2140"/>
      <c r="P35" s="3736"/>
      <c r="Q35" s="3522"/>
      <c r="R35" s="1572"/>
      <c r="S35" s="1573"/>
      <c r="T35" s="1572"/>
      <c r="U35" s="1573"/>
      <c r="V35" s="1572"/>
      <c r="W35" s="1573"/>
      <c r="X35" s="3521"/>
      <c r="Y35" s="3736"/>
      <c r="Z35" s="3523"/>
      <c r="AA35" s="3524">
        <v>1</v>
      </c>
      <c r="AB35" s="3524">
        <v>1</v>
      </c>
      <c r="AC35" s="3524">
        <v>1</v>
      </c>
    </row>
    <row r="36" spans="1:29" ht="21" hidden="1" thickBot="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736"/>
      <c r="Q36" s="3522" t="str">
        <f t="shared" si="8"/>
        <v>土地级别</v>
      </c>
      <c r="R36" s="1572" t="s">
        <v>8</v>
      </c>
      <c r="S36" s="1573">
        <f t="shared" si="10"/>
        <v>100</v>
      </c>
      <c r="T36" s="1572" t="s">
        <v>8</v>
      </c>
      <c r="U36" s="1573">
        <f t="shared" si="11"/>
        <v>100</v>
      </c>
      <c r="V36" s="1572" t="s">
        <v>8</v>
      </c>
      <c r="W36" s="1573">
        <f t="shared" si="12"/>
        <v>100</v>
      </c>
      <c r="X36" s="3521"/>
      <c r="Y36" s="3736"/>
      <c r="Z36" s="3523" t="str">
        <f t="shared" si="13"/>
        <v>土地级别</v>
      </c>
      <c r="AA36" s="3524">
        <f t="shared" si="3"/>
        <v>1</v>
      </c>
      <c r="AB36" s="3524">
        <f t="shared" si="4"/>
        <v>1</v>
      </c>
      <c r="AC36" s="3524">
        <f t="shared" si="5"/>
        <v>1</v>
      </c>
    </row>
    <row r="37" spans="1:29" ht="21" hidden="1" thickBot="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736"/>
      <c r="Q37" s="3522">
        <f t="shared" si="8"/>
        <v>0</v>
      </c>
      <c r="R37" s="1572" t="s">
        <v>8</v>
      </c>
      <c r="S37" s="1573">
        <f t="shared" si="10"/>
        <v>100</v>
      </c>
      <c r="T37" s="1572" t="s">
        <v>8</v>
      </c>
      <c r="U37" s="1573">
        <f t="shared" si="11"/>
        <v>100</v>
      </c>
      <c r="V37" s="1572" t="s">
        <v>8</v>
      </c>
      <c r="W37" s="1573">
        <f t="shared" si="12"/>
        <v>100</v>
      </c>
      <c r="X37" s="3521"/>
      <c r="Y37" s="3736"/>
      <c r="Z37" s="3523">
        <f t="shared" si="13"/>
        <v>0</v>
      </c>
      <c r="AA37" s="3524">
        <f t="shared" si="3"/>
        <v>1</v>
      </c>
      <c r="AB37" s="3524">
        <f t="shared" si="4"/>
        <v>1</v>
      </c>
      <c r="AC37" s="3524">
        <f t="shared" si="5"/>
        <v>1</v>
      </c>
    </row>
    <row r="38" spans="1:29" ht="21" hidden="1" thickBot="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737" t="s">
        <v>551</v>
      </c>
      <c r="Q38" s="3522">
        <f t="shared" si="8"/>
        <v>0</v>
      </c>
      <c r="R38" s="1572" t="s">
        <v>8</v>
      </c>
      <c r="S38" s="1573">
        <f t="shared" si="10"/>
        <v>100</v>
      </c>
      <c r="T38" s="1572" t="s">
        <v>8</v>
      </c>
      <c r="U38" s="1573">
        <f t="shared" si="11"/>
        <v>100</v>
      </c>
      <c r="V38" s="1572" t="s">
        <v>8</v>
      </c>
      <c r="W38" s="1573">
        <f t="shared" si="12"/>
        <v>100</v>
      </c>
      <c r="X38" s="3521"/>
      <c r="Y38" s="3738" t="s">
        <v>551</v>
      </c>
      <c r="Z38" s="3523">
        <f t="shared" si="13"/>
        <v>0</v>
      </c>
      <c r="AA38" s="3524">
        <f t="shared" si="3"/>
        <v>1</v>
      </c>
      <c r="AB38" s="3524">
        <f t="shared" si="4"/>
        <v>1</v>
      </c>
      <c r="AC38" s="3524">
        <f t="shared" si="5"/>
        <v>1</v>
      </c>
    </row>
    <row r="39" spans="1:29" s="1338"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738"/>
      <c r="Q39" s="3522">
        <f t="shared" si="8"/>
        <v>0</v>
      </c>
      <c r="R39" s="1576" t="s">
        <v>8</v>
      </c>
      <c r="S39" s="1577">
        <f t="shared" si="10"/>
        <v>100</v>
      </c>
      <c r="T39" s="1576" t="s">
        <v>8</v>
      </c>
      <c r="U39" s="1577">
        <f t="shared" si="11"/>
        <v>100</v>
      </c>
      <c r="V39" s="1576" t="s">
        <v>8</v>
      </c>
      <c r="W39" s="1577">
        <f t="shared" si="12"/>
        <v>100</v>
      </c>
      <c r="X39" s="1578"/>
      <c r="Y39" s="3738"/>
      <c r="Z39" s="1579">
        <f t="shared" si="13"/>
        <v>0</v>
      </c>
      <c r="AA39" s="3524">
        <f t="shared" si="3"/>
        <v>1</v>
      </c>
      <c r="AB39" s="3524">
        <f t="shared" si="4"/>
        <v>1</v>
      </c>
      <c r="AC39" s="3524">
        <f t="shared" si="5"/>
        <v>1</v>
      </c>
    </row>
    <row r="40" spans="1:29" ht="20.25">
      <c r="A40" s="2931" t="s">
        <v>2754</v>
      </c>
      <c r="B40" s="594" t="s">
        <v>553</v>
      </c>
      <c r="C40" s="595">
        <f>'数据-基础表'!A3</f>
        <v>28172.14</v>
      </c>
      <c r="D40" s="596">
        <v>100</v>
      </c>
      <c r="E40" s="595">
        <f>土地案例!F4</f>
        <v>118397.4</v>
      </c>
      <c r="F40" s="596">
        <f>LOOKUP(E40,119:119,120:120)-LOOKUP(C40,119:119,120:120)+100</f>
        <v>101</v>
      </c>
      <c r="G40" s="595">
        <f>土地案例!F5</f>
        <v>65017.22</v>
      </c>
      <c r="H40" s="596">
        <f>LOOKUP(G40,119:119,120:120)-LOOKUP(C40,119:119,120:120)+100</f>
        <v>100</v>
      </c>
      <c r="I40" s="597">
        <f>土地案例!F6</f>
        <v>41446.550000000003</v>
      </c>
      <c r="J40" s="596">
        <f>LOOKUP(I40,119:119,120:120)-LOOKUP(C40,119:119,120:120)+100</f>
        <v>100</v>
      </c>
      <c r="K40" s="580"/>
      <c r="L40" s="2141"/>
      <c r="M40" s="2131"/>
      <c r="N40" s="2131"/>
      <c r="O40" s="2140"/>
      <c r="P40" s="3738"/>
      <c r="Q40" s="3522" t="str">
        <f>B40</f>
        <v>宗地面积</v>
      </c>
      <c r="R40" s="1572" t="s">
        <v>8</v>
      </c>
      <c r="S40" s="1573">
        <f t="shared" si="10"/>
        <v>101</v>
      </c>
      <c r="T40" s="1572" t="s">
        <v>8</v>
      </c>
      <c r="U40" s="1573">
        <f t="shared" si="11"/>
        <v>100</v>
      </c>
      <c r="V40" s="1572" t="s">
        <v>8</v>
      </c>
      <c r="W40" s="1573">
        <f t="shared" si="12"/>
        <v>100</v>
      </c>
      <c r="X40" s="3521"/>
      <c r="Y40" s="3738"/>
      <c r="Z40" s="3523" t="str">
        <f t="shared" si="13"/>
        <v>宗地面积</v>
      </c>
      <c r="AA40" s="3524">
        <f t="shared" si="3"/>
        <v>0.99009900990099009</v>
      </c>
      <c r="AB40" s="3524">
        <f t="shared" si="4"/>
        <v>1</v>
      </c>
      <c r="AC40" s="3524">
        <f t="shared" si="5"/>
        <v>1</v>
      </c>
    </row>
    <row r="41" spans="1:29" ht="20.25">
      <c r="A41" s="593"/>
      <c r="B41" s="526" t="s">
        <v>554</v>
      </c>
      <c r="C41" s="598" t="s">
        <v>3654</v>
      </c>
      <c r="D41" s="539">
        <v>100</v>
      </c>
      <c r="E41" s="598" t="s">
        <v>3654</v>
      </c>
      <c r="F41" s="539">
        <f>SUMIF(121:121,E41,122:122)-SUMIF(121:121,C41,122:122)+100</f>
        <v>100</v>
      </c>
      <c r="G41" s="598" t="s">
        <v>3654</v>
      </c>
      <c r="H41" s="539">
        <f>SUMIF(121:121,G41,122:122)-SUMIF(121:121,C41,122:122)+100</f>
        <v>100</v>
      </c>
      <c r="I41" s="598" t="s">
        <v>3654</v>
      </c>
      <c r="J41" s="539">
        <f>SUMIF(121:121,I41,122:122)-SUMIF(121:121,C41,122:122)+100</f>
        <v>100</v>
      </c>
      <c r="K41" s="583">
        <v>2</v>
      </c>
      <c r="L41" s="2141"/>
      <c r="M41" s="2131"/>
      <c r="N41" s="2131"/>
      <c r="O41" s="2140"/>
      <c r="P41" s="3738"/>
      <c r="Q41" s="3522" t="str">
        <f t="shared" ref="Q41:Q47" si="14">B41</f>
        <v>宗地形状</v>
      </c>
      <c r="R41" s="1572" t="s">
        <v>8</v>
      </c>
      <c r="S41" s="1573">
        <f t="shared" si="10"/>
        <v>100</v>
      </c>
      <c r="T41" s="1572" t="s">
        <v>8</v>
      </c>
      <c r="U41" s="1573">
        <f t="shared" si="11"/>
        <v>100</v>
      </c>
      <c r="V41" s="1572" t="s">
        <v>8</v>
      </c>
      <c r="W41" s="1573">
        <f t="shared" si="12"/>
        <v>100</v>
      </c>
      <c r="X41" s="3521"/>
      <c r="Y41" s="3738"/>
      <c r="Z41" s="3523" t="str">
        <f t="shared" si="13"/>
        <v>宗地形状</v>
      </c>
      <c r="AA41" s="3524">
        <f t="shared" si="3"/>
        <v>1</v>
      </c>
      <c r="AB41" s="3524">
        <f t="shared" si="4"/>
        <v>1</v>
      </c>
      <c r="AC41" s="3524">
        <f t="shared" si="5"/>
        <v>1</v>
      </c>
    </row>
    <row r="42" spans="1:29" ht="20.25" hidden="1">
      <c r="A42" s="593"/>
      <c r="B42" s="526" t="s">
        <v>555</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738"/>
      <c r="Q42" s="3522" t="str">
        <f t="shared" si="14"/>
        <v>临街宽度及深度</v>
      </c>
      <c r="R42" s="1572" t="s">
        <v>8</v>
      </c>
      <c r="S42" s="1573">
        <f t="shared" si="10"/>
        <v>100</v>
      </c>
      <c r="T42" s="1572" t="s">
        <v>8</v>
      </c>
      <c r="U42" s="1573">
        <f t="shared" si="11"/>
        <v>100</v>
      </c>
      <c r="V42" s="1572" t="s">
        <v>8</v>
      </c>
      <c r="W42" s="1573">
        <f t="shared" si="12"/>
        <v>100</v>
      </c>
      <c r="X42" s="3521"/>
      <c r="Y42" s="3738"/>
      <c r="Z42" s="3523" t="str">
        <f t="shared" si="13"/>
        <v>临街宽度及深度</v>
      </c>
      <c r="AA42" s="3524">
        <f t="shared" si="3"/>
        <v>1</v>
      </c>
      <c r="AB42" s="3524">
        <f t="shared" si="4"/>
        <v>1</v>
      </c>
      <c r="AC42" s="3524">
        <f t="shared" si="5"/>
        <v>1</v>
      </c>
    </row>
    <row r="43" spans="1:29" s="1219" customFormat="1" ht="20.25">
      <c r="A43" s="599"/>
      <c r="B43" s="1894" t="s">
        <v>2422</v>
      </c>
      <c r="C43" s="600" t="s">
        <v>3652</v>
      </c>
      <c r="D43" s="254">
        <v>100</v>
      </c>
      <c r="E43" s="600" t="s">
        <v>3652</v>
      </c>
      <c r="F43" s="539">
        <f>SUMIF(125:125,E43,126:126)-SUMIF(125:125,C43,126:126)+100</f>
        <v>100</v>
      </c>
      <c r="G43" s="600" t="s">
        <v>3652</v>
      </c>
      <c r="H43" s="539">
        <f>SUMIF(125:125,G43,126:126)-SUMIF(125:125,C43,126:126)+100</f>
        <v>100</v>
      </c>
      <c r="I43" s="600" t="s">
        <v>3652</v>
      </c>
      <c r="J43" s="539">
        <f>SUMIF(125:125,I43,126:126)-SUMIF(125:125,C43,126:126)+100</f>
        <v>100</v>
      </c>
      <c r="K43" s="583">
        <v>2</v>
      </c>
      <c r="L43" s="2134"/>
      <c r="M43" s="2131"/>
      <c r="N43" s="2131"/>
      <c r="O43" s="2136"/>
      <c r="P43" s="3738"/>
      <c r="Q43" s="3522" t="str">
        <f t="shared" si="14"/>
        <v>宗地开发程度</v>
      </c>
      <c r="R43" s="1567" t="s">
        <v>8</v>
      </c>
      <c r="S43" s="1568">
        <f t="shared" si="10"/>
        <v>100</v>
      </c>
      <c r="T43" s="1567" t="s">
        <v>8</v>
      </c>
      <c r="U43" s="1568">
        <f t="shared" si="11"/>
        <v>100</v>
      </c>
      <c r="V43" s="1567" t="s">
        <v>8</v>
      </c>
      <c r="W43" s="1568">
        <f t="shared" si="12"/>
        <v>100</v>
      </c>
      <c r="X43" s="1569"/>
      <c r="Y43" s="3738"/>
      <c r="Z43" s="3518" t="str">
        <f t="shared" si="13"/>
        <v>宗地开发程度</v>
      </c>
      <c r="AA43" s="1570">
        <f t="shared" si="3"/>
        <v>1</v>
      </c>
      <c r="AB43" s="1570">
        <f t="shared" si="4"/>
        <v>1</v>
      </c>
      <c r="AC43" s="1570">
        <f t="shared" si="5"/>
        <v>1</v>
      </c>
    </row>
    <row r="44" spans="1:29" ht="20.25">
      <c r="A44" s="593"/>
      <c r="B44" s="526" t="s">
        <v>556</v>
      </c>
      <c r="C44" s="598" t="s">
        <v>3650</v>
      </c>
      <c r="D44" s="539">
        <v>100</v>
      </c>
      <c r="E44" s="598" t="s">
        <v>3650</v>
      </c>
      <c r="F44" s="539">
        <f>SUMIF(127:127,E44,128:128)-SUMIF(127:127,C44,128:128)+100</f>
        <v>100</v>
      </c>
      <c r="G44" s="598" t="s">
        <v>3650</v>
      </c>
      <c r="H44" s="539">
        <f>SUMIF(127:127,G44,128:128)-SUMIF(127:127,C44,128:128)+100</f>
        <v>100</v>
      </c>
      <c r="I44" s="598" t="s">
        <v>3650</v>
      </c>
      <c r="J44" s="539">
        <f>SUMIF(127:127,I44,128:128)-SUMIF(127:127,C44,128:128)+100</f>
        <v>100</v>
      </c>
      <c r="K44" s="583">
        <v>2</v>
      </c>
      <c r="L44" s="2141"/>
      <c r="M44" s="2131"/>
      <c r="N44" s="2131"/>
      <c r="O44" s="2140"/>
      <c r="P44" s="3738" t="s">
        <v>551</v>
      </c>
      <c r="Q44" s="3522" t="str">
        <f t="shared" si="14"/>
        <v>工程地质条件</v>
      </c>
      <c r="R44" s="1572" t="s">
        <v>8</v>
      </c>
      <c r="S44" s="1573">
        <f t="shared" si="10"/>
        <v>100</v>
      </c>
      <c r="T44" s="1572" t="s">
        <v>8</v>
      </c>
      <c r="U44" s="1573">
        <f t="shared" si="11"/>
        <v>100</v>
      </c>
      <c r="V44" s="1572" t="s">
        <v>8</v>
      </c>
      <c r="W44" s="1573">
        <f t="shared" si="12"/>
        <v>100</v>
      </c>
      <c r="X44" s="3521"/>
      <c r="Y44" s="3738" t="s">
        <v>551</v>
      </c>
      <c r="Z44" s="3523" t="str">
        <f t="shared" si="13"/>
        <v>工程地质条件</v>
      </c>
      <c r="AA44" s="3524">
        <f t="shared" si="3"/>
        <v>1</v>
      </c>
      <c r="AB44" s="3524">
        <f t="shared" si="4"/>
        <v>1</v>
      </c>
      <c r="AC44" s="3524">
        <f t="shared" si="5"/>
        <v>1</v>
      </c>
    </row>
    <row r="45" spans="1:29" ht="20.25">
      <c r="A45" s="593"/>
      <c r="B45" s="3534" t="s">
        <v>3764</v>
      </c>
      <c r="C45" s="541"/>
      <c r="D45" s="539">
        <v>100</v>
      </c>
      <c r="E45" s="3532"/>
      <c r="F45" s="539">
        <f>SUMIF(129:129,E45,130:130)-SUMIF(129:129,C45,130:130)+100</f>
        <v>100</v>
      </c>
      <c r="G45" s="541"/>
      <c r="H45" s="539">
        <f>SUMIF(129:129,G45,130:130)-SUMIF(129:129,C45,130:130)+100</f>
        <v>100</v>
      </c>
      <c r="I45" s="540">
        <v>4973</v>
      </c>
      <c r="J45" s="539">
        <f>SUMIF(129:129,I45,130:130)-SUMIF(129:129,C45,130:130)+100</f>
        <v>100</v>
      </c>
      <c r="K45" s="580"/>
      <c r="L45" s="2141"/>
      <c r="M45" s="2131"/>
      <c r="N45" s="2131"/>
      <c r="O45" s="2140"/>
      <c r="P45" s="3738"/>
      <c r="Q45" s="3522" t="str">
        <f t="shared" si="14"/>
        <v>商业自持</v>
      </c>
      <c r="R45" s="1572" t="s">
        <v>8</v>
      </c>
      <c r="S45" s="1573">
        <f t="shared" si="10"/>
        <v>100</v>
      </c>
      <c r="T45" s="1572" t="s">
        <v>8</v>
      </c>
      <c r="U45" s="1573">
        <f t="shared" si="11"/>
        <v>100</v>
      </c>
      <c r="V45" s="1572" t="s">
        <v>8</v>
      </c>
      <c r="W45" s="1573">
        <f t="shared" si="12"/>
        <v>100</v>
      </c>
      <c r="X45" s="3521"/>
      <c r="Y45" s="3738"/>
      <c r="Z45" s="3523" t="str">
        <f t="shared" si="13"/>
        <v>商业自持</v>
      </c>
      <c r="AA45" s="3524">
        <f t="shared" si="3"/>
        <v>1</v>
      </c>
      <c r="AB45" s="3524">
        <f t="shared" si="4"/>
        <v>1</v>
      </c>
      <c r="AC45" s="3524">
        <f t="shared" si="5"/>
        <v>1</v>
      </c>
    </row>
    <row r="46" spans="1:29" ht="20.25">
      <c r="A46" s="593"/>
      <c r="B46" s="3534" t="s">
        <v>3763</v>
      </c>
      <c r="C46" s="541"/>
      <c r="D46" s="539">
        <v>100</v>
      </c>
      <c r="E46" s="541">
        <v>274849</v>
      </c>
      <c r="F46" s="539">
        <f>SUMIF(131:131,E46,132:132)-SUMIF(131:131,C46,132:132)+100</f>
        <v>100</v>
      </c>
      <c r="G46" s="541"/>
      <c r="H46" s="539">
        <f>SUMIF(131:131,G46,132:132)-SUMIF(131:131,C46,132:132)+100</f>
        <v>100</v>
      </c>
      <c r="I46" s="540">
        <v>56609.9</v>
      </c>
      <c r="J46" s="539">
        <f>SUMIF(131:131,I46,132:132)-SUMIF(131:131,C46,132:132)+100</f>
        <v>100</v>
      </c>
      <c r="K46" s="580"/>
      <c r="L46" s="2141"/>
      <c r="M46" s="2131"/>
      <c r="N46" s="2131"/>
      <c r="O46" s="2140"/>
      <c r="P46" s="3738"/>
      <c r="Q46" s="3522" t="str">
        <f t="shared" si="14"/>
        <v>现房销售</v>
      </c>
      <c r="R46" s="1572" t="s">
        <v>8</v>
      </c>
      <c r="S46" s="1573">
        <f t="shared" si="10"/>
        <v>100</v>
      </c>
      <c r="T46" s="1572" t="s">
        <v>8</v>
      </c>
      <c r="U46" s="1573">
        <f t="shared" si="11"/>
        <v>100</v>
      </c>
      <c r="V46" s="1572" t="s">
        <v>8</v>
      </c>
      <c r="W46" s="1573">
        <f t="shared" si="12"/>
        <v>100</v>
      </c>
      <c r="X46" s="3521"/>
      <c r="Y46" s="3738"/>
      <c r="Z46" s="3523" t="str">
        <f t="shared" si="13"/>
        <v>现房销售</v>
      </c>
      <c r="AA46" s="3524">
        <f t="shared" si="3"/>
        <v>1</v>
      </c>
      <c r="AB46" s="3524">
        <f t="shared" si="4"/>
        <v>1</v>
      </c>
      <c r="AC46" s="3524">
        <f t="shared" si="5"/>
        <v>1</v>
      </c>
    </row>
    <row r="47" spans="1:29" s="1338" customFormat="1" ht="21" thickBot="1">
      <c r="A47" s="602"/>
      <c r="B47" s="3534" t="s">
        <v>3762</v>
      </c>
      <c r="C47" s="603">
        <f>'数据-基础表'!AL13</f>
        <v>0</v>
      </c>
      <c r="D47" s="604">
        <v>100</v>
      </c>
      <c r="E47" s="541"/>
      <c r="F47" s="545">
        <f>SUMIF(133:133,E47,134:134)-SUMIF(133:133,C47,134:134)+100</f>
        <v>100</v>
      </c>
      <c r="G47" s="3532">
        <v>8574</v>
      </c>
      <c r="H47" s="545">
        <f>SUMIF(133:133,G47,134:134)-SUMIF(133:133,C47,134:134)+100</f>
        <v>100</v>
      </c>
      <c r="I47" s="541"/>
      <c r="J47" s="545">
        <f>SUMIF(133:133,I47,134:134)-SUMIF(133:133,C47,134:134)+100</f>
        <v>100</v>
      </c>
      <c r="K47" s="605"/>
      <c r="L47" s="2139"/>
      <c r="M47" s="2131"/>
      <c r="N47" s="2131"/>
      <c r="O47" s="2142"/>
      <c r="P47" s="3738"/>
      <c r="Q47" s="3522" t="str">
        <f t="shared" si="14"/>
        <v>租赁型保障房</v>
      </c>
      <c r="R47" s="1576" t="s">
        <v>8</v>
      </c>
      <c r="S47" s="1577">
        <f t="shared" si="10"/>
        <v>100</v>
      </c>
      <c r="T47" s="1576" t="s">
        <v>8</v>
      </c>
      <c r="U47" s="1577">
        <f t="shared" si="11"/>
        <v>100</v>
      </c>
      <c r="V47" s="1576" t="s">
        <v>8</v>
      </c>
      <c r="W47" s="1577">
        <f t="shared" si="12"/>
        <v>100</v>
      </c>
      <c r="X47" s="1578"/>
      <c r="Y47" s="3738"/>
      <c r="Z47" s="1579" t="str">
        <f t="shared" si="13"/>
        <v>租赁型保障房</v>
      </c>
      <c r="AA47" s="3524">
        <f t="shared" si="3"/>
        <v>1</v>
      </c>
      <c r="AB47" s="3524">
        <f t="shared" si="4"/>
        <v>1</v>
      </c>
      <c r="AC47" s="3524">
        <f t="shared" si="5"/>
        <v>1</v>
      </c>
    </row>
    <row r="48" spans="1:29" ht="20.25">
      <c r="A48" s="606" t="s">
        <v>557</v>
      </c>
      <c r="B48" s="607" t="s">
        <v>3668</v>
      </c>
      <c r="C48" s="608" t="s">
        <v>1</v>
      </c>
      <c r="D48" s="609"/>
      <c r="E48" s="610">
        <v>6351</v>
      </c>
      <c r="F48" s="611"/>
      <c r="G48" s="612">
        <v>5893</v>
      </c>
      <c r="H48" s="613"/>
      <c r="I48" s="610">
        <v>6611</v>
      </c>
      <c r="J48" s="613"/>
      <c r="K48" s="1339"/>
      <c r="L48" s="2143"/>
      <c r="M48" s="2131"/>
      <c r="N48" s="2131"/>
      <c r="O48" s="2144"/>
      <c r="P48" s="3733" t="str">
        <f>A48</f>
        <v>成交单价</v>
      </c>
      <c r="Q48" s="3733"/>
      <c r="R48" s="3747">
        <f>E48</f>
        <v>6351</v>
      </c>
      <c r="S48" s="3747"/>
      <c r="T48" s="3747">
        <f>G48</f>
        <v>5893</v>
      </c>
      <c r="U48" s="3747"/>
      <c r="V48" s="3747">
        <f>I48</f>
        <v>6611</v>
      </c>
      <c r="W48" s="3747"/>
      <c r="X48" s="1558"/>
      <c r="Y48" s="1580"/>
      <c r="Z48" s="1558"/>
      <c r="AA48" s="1558"/>
      <c r="AB48" s="1558"/>
      <c r="AC48" s="1558"/>
    </row>
    <row r="49" spans="1:29" ht="21" thickBot="1">
      <c r="A49" s="614" t="s">
        <v>2692</v>
      </c>
      <c r="B49" s="615"/>
      <c r="C49" s="616">
        <f>R50</f>
        <v>7154</v>
      </c>
      <c r="D49" s="617"/>
      <c r="E49" s="616">
        <f>R49</f>
        <v>7591</v>
      </c>
      <c r="F49" s="618"/>
      <c r="G49" s="619">
        <f>T49</f>
        <v>6470</v>
      </c>
      <c r="H49" s="617"/>
      <c r="I49" s="616">
        <f>V49</f>
        <v>7401</v>
      </c>
      <c r="J49" s="617"/>
      <c r="K49" s="1340"/>
      <c r="L49" s="2143"/>
      <c r="M49" s="2131"/>
      <c r="N49" s="2131"/>
      <c r="O49" s="2144"/>
      <c r="P49" s="3733" t="str">
        <f>A49</f>
        <v>比较价格（元/平方米）</v>
      </c>
      <c r="Q49" s="3733"/>
      <c r="R49" s="3757">
        <f>ROUND(PRODUCT(R48,AA9:AA47),0)</f>
        <v>7591</v>
      </c>
      <c r="S49" s="3757"/>
      <c r="T49" s="3757">
        <f>ROUND(PRODUCT(T48,AB9:AB47),0)</f>
        <v>6470</v>
      </c>
      <c r="U49" s="3757"/>
      <c r="V49" s="3757">
        <f>ROUND(PRODUCT(V48,AC9:AC47),0)</f>
        <v>7401</v>
      </c>
      <c r="W49" s="3757"/>
      <c r="X49" s="1558"/>
      <c r="Y49" s="1558"/>
      <c r="Z49" s="1558"/>
      <c r="AA49" s="1558"/>
      <c r="AB49" s="1558"/>
      <c r="AC49" s="1558"/>
    </row>
    <row r="50" spans="1:29" ht="21" thickBot="1">
      <c r="A50" s="620" t="s">
        <v>2923</v>
      </c>
      <c r="B50" s="621"/>
      <c r="C50" s="622">
        <f>R50</f>
        <v>7154</v>
      </c>
      <c r="D50" s="622"/>
      <c r="E50" s="622"/>
      <c r="F50" s="622"/>
      <c r="G50" s="622"/>
      <c r="H50" s="622"/>
      <c r="I50" s="622"/>
      <c r="J50" s="622"/>
      <c r="K50" s="1341"/>
      <c r="L50" s="2143"/>
      <c r="M50" s="2131"/>
      <c r="N50" s="2131"/>
      <c r="O50" s="2144"/>
      <c r="P50" s="3754" t="str">
        <f>A50</f>
        <v>估价对象XX用房的比较价格（楼面单价，元/平方米）</v>
      </c>
      <c r="Q50" s="3755"/>
      <c r="R50" s="3756">
        <f>ROUND(AVERAGE(R49:V49),0)</f>
        <v>7154</v>
      </c>
      <c r="S50" s="3756"/>
      <c r="T50" s="3756"/>
      <c r="U50" s="3756"/>
      <c r="V50" s="3756"/>
      <c r="W50" s="3756"/>
      <c r="X50" s="1558"/>
      <c r="Y50" s="1558"/>
      <c r="Z50" s="1558"/>
      <c r="AA50" s="1558"/>
      <c r="AB50" s="1558"/>
      <c r="AC50" s="1558"/>
    </row>
    <row r="51" spans="1:29" ht="20.25">
      <c r="A51" s="2144"/>
      <c r="B51" s="2144"/>
      <c r="C51" s="2144"/>
      <c r="D51" s="2144"/>
      <c r="E51" s="2144">
        <f>E40*E13</f>
        <v>295993.5</v>
      </c>
      <c r="F51" s="2144"/>
      <c r="G51" s="2147"/>
      <c r="H51" s="2144"/>
      <c r="I51" s="2144">
        <f>I40*I13</f>
        <v>62169.825000000004</v>
      </c>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f>E46/E51</f>
        <v>0.92856430968923309</v>
      </c>
      <c r="F52" s="2144"/>
      <c r="G52" s="2144"/>
      <c r="H52" s="2144"/>
      <c r="I52" s="2144">
        <f>I46/I51</f>
        <v>0.91056875260626835</v>
      </c>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f>IF(E48&lt;E49,E49/E48-1,E48/E49-1)</f>
        <v>0.19524484333175884</v>
      </c>
      <c r="F53" s="626" t="str">
        <f>IF(OR(E53&gt;=0.3,E53&lt;=-0.3),"超过30%","")</f>
        <v/>
      </c>
      <c r="G53" s="625">
        <f>IF(G48&lt;G49,G49/G48-1,G48/G49-1)</f>
        <v>9.791277787205166E-2</v>
      </c>
      <c r="H53" s="626" t="str">
        <f>IF(OR(G53&gt;=0.3,G53&lt;=-0.3),"超过30%","")</f>
        <v/>
      </c>
      <c r="I53" s="625">
        <f>IF(I48&lt;I49,I49/I48-1,I48/I49-1)</f>
        <v>0.11949780668582655</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f>IF(E49&lt;G49,G49/E49-1,E49/G49-1)</f>
        <v>0.17326120556414226</v>
      </c>
      <c r="F54" s="626" t="str">
        <f>IF(OR(E54&gt;=0.2,E54&lt;=-0.2),"超过20%","")</f>
        <v/>
      </c>
      <c r="G54" s="625">
        <f>IF(G49&lt;I49,I49/G49-1,G49/I49-1)</f>
        <v>0.1438948995363214</v>
      </c>
      <c r="H54" s="626" t="str">
        <f>IF(OR(G54&gt;=0.2,G54&lt;=-0.2),"超过20%","")</f>
        <v/>
      </c>
      <c r="I54" s="625">
        <f>IF(I49&lt;E49,E49/I49-1,I49/E49-1)</f>
        <v>2.5672206458586588E-2</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3" t="s">
        <v>560</v>
      </c>
      <c r="D55" s="627"/>
      <c r="E55" s="625">
        <f>IF(E48&lt;G48,G48/E48-1,E48/G48-1)</f>
        <v>7.7719328016290445E-2</v>
      </c>
      <c r="F55" s="626" t="str">
        <f>IF(OR(E55&gt;=0.3,E55&lt;=-0.3),"超过30%","")</f>
        <v/>
      </c>
      <c r="G55" s="625">
        <f>IF(G48&lt;I48,I48/G48-1,G48/I48-1)</f>
        <v>0.12183947055828948</v>
      </c>
      <c r="H55" s="626" t="str">
        <f>IF(OR(G55&gt;=0.3,G55&lt;=-0.3),"超过30%","")</f>
        <v/>
      </c>
      <c r="I55" s="625">
        <f>IF(I48&lt;E48,E48/I48-1,I48/E48-1)</f>
        <v>4.0938434892142883E-2</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561</v>
      </c>
      <c r="B57" s="629" t="s">
        <v>562</v>
      </c>
      <c r="C57" s="1559" t="s">
        <v>3775</v>
      </c>
      <c r="D57" s="2226" t="s">
        <v>2293</v>
      </c>
      <c r="E57" s="630" t="s">
        <v>563</v>
      </c>
      <c r="F57" s="631" t="s">
        <v>564</v>
      </c>
      <c r="G57" s="3717" t="s">
        <v>2281</v>
      </c>
      <c r="H57" s="3718"/>
      <c r="I57" s="1554" t="s">
        <v>1723</v>
      </c>
      <c r="J57" s="1554" t="str">
        <f>项目基本情况!F41</f>
        <v>陕西省西安市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2" t="s">
        <v>565</v>
      </c>
      <c r="B58" s="633">
        <f>C50</f>
        <v>7154</v>
      </c>
      <c r="C58" s="634">
        <v>1</v>
      </c>
      <c r="D58" s="2227">
        <v>1</v>
      </c>
      <c r="E58" s="634">
        <f>'数据-汇总表'!E8+'数据-汇总表'!E9</f>
        <v>84316</v>
      </c>
      <c r="F58" s="635">
        <f t="shared" ref="F58:F67" si="15">ROUND(B58*E58/10000,0)</f>
        <v>60320</v>
      </c>
      <c r="G58" s="3719"/>
      <c r="H58" s="3720"/>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566</v>
      </c>
      <c r="B59" s="637">
        <f>ROUND($C$50*C59*D59,0)</f>
        <v>0</v>
      </c>
      <c r="C59" s="377">
        <f t="shared" ref="C59:C67" si="16">IF($C$57="北京市系数",I59,J59)</f>
        <v>0</v>
      </c>
      <c r="D59" s="2228">
        <v>0.25</v>
      </c>
      <c r="E59" s="638">
        <v>0</v>
      </c>
      <c r="F59" s="635">
        <f t="shared" si="15"/>
        <v>0</v>
      </c>
      <c r="G59" s="3721"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567</v>
      </c>
      <c r="B60" s="637">
        <f t="shared" ref="B60:B67" si="17">ROUND($C$50*C60*D60,0)</f>
        <v>0</v>
      </c>
      <c r="C60" s="377">
        <f t="shared" si="16"/>
        <v>0</v>
      </c>
      <c r="D60" s="2228">
        <v>0.25</v>
      </c>
      <c r="E60" s="638">
        <v>0</v>
      </c>
      <c r="F60" s="635">
        <f t="shared" si="15"/>
        <v>0</v>
      </c>
      <c r="G60" s="3721"/>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568</v>
      </c>
      <c r="B61" s="637">
        <f t="shared" si="17"/>
        <v>0</v>
      </c>
      <c r="C61" s="377">
        <f t="shared" si="16"/>
        <v>0</v>
      </c>
      <c r="D61" s="2228">
        <v>0.25</v>
      </c>
      <c r="E61" s="638">
        <v>0</v>
      </c>
      <c r="F61" s="635">
        <f t="shared" si="15"/>
        <v>0</v>
      </c>
      <c r="G61" s="3721"/>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6" t="s">
        <v>569</v>
      </c>
      <c r="B62" s="637">
        <f t="shared" si="17"/>
        <v>0</v>
      </c>
      <c r="C62" s="377">
        <f t="shared" si="16"/>
        <v>0</v>
      </c>
      <c r="D62" s="2228">
        <v>0.25</v>
      </c>
      <c r="E62" s="638">
        <v>0</v>
      </c>
      <c r="F62" s="635">
        <f t="shared" si="15"/>
        <v>0</v>
      </c>
      <c r="G62" s="3721"/>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2326</v>
      </c>
      <c r="B63" s="637">
        <f t="shared" si="17"/>
        <v>0</v>
      </c>
      <c r="C63" s="377">
        <f t="shared" si="16"/>
        <v>0</v>
      </c>
      <c r="D63" s="2228">
        <v>0.25</v>
      </c>
      <c r="E63" s="640">
        <f>'数据-汇总表'!E11</f>
        <v>0</v>
      </c>
      <c r="F63" s="635">
        <f t="shared" si="15"/>
        <v>0</v>
      </c>
      <c r="G63" s="3520"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6" t="s">
        <v>570</v>
      </c>
      <c r="B64" s="637">
        <f t="shared" si="17"/>
        <v>0</v>
      </c>
      <c r="C64" s="377">
        <f t="shared" si="16"/>
        <v>0</v>
      </c>
      <c r="D64" s="2228">
        <v>0.25</v>
      </c>
      <c r="E64" s="640">
        <f>'数据-汇总表'!E12</f>
        <v>0</v>
      </c>
      <c r="F64" s="635">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6" t="s">
        <v>571</v>
      </c>
      <c r="B65" s="637">
        <f t="shared" si="17"/>
        <v>0</v>
      </c>
      <c r="C65" s="377">
        <f t="shared" si="16"/>
        <v>0</v>
      </c>
      <c r="D65" s="2228">
        <v>0.25</v>
      </c>
      <c r="E65" s="640">
        <f>'数据-汇总表'!E13</f>
        <v>0</v>
      </c>
      <c r="F65" s="635">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6" t="s">
        <v>572</v>
      </c>
      <c r="B66" s="637">
        <f t="shared" si="17"/>
        <v>0</v>
      </c>
      <c r="C66" s="377">
        <f t="shared" si="16"/>
        <v>0</v>
      </c>
      <c r="D66" s="2228">
        <v>0.25</v>
      </c>
      <c r="E66" s="640">
        <f>'数据-汇总表'!E14</f>
        <v>0</v>
      </c>
      <c r="F66" s="635">
        <f t="shared" si="15"/>
        <v>0</v>
      </c>
      <c r="G66" s="3520"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6" t="s">
        <v>573</v>
      </c>
      <c r="B67" s="637">
        <f t="shared" si="17"/>
        <v>0</v>
      </c>
      <c r="C67" s="377">
        <f t="shared" si="16"/>
        <v>0</v>
      </c>
      <c r="D67" s="2228">
        <v>0.25</v>
      </c>
      <c r="E67" s="640">
        <f>'数据-汇总表'!E15</f>
        <v>0</v>
      </c>
      <c r="F67" s="635">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1" t="s">
        <v>574</v>
      </c>
      <c r="B68" s="642" t="s">
        <v>14</v>
      </c>
      <c r="C68" s="642" t="s">
        <v>14</v>
      </c>
      <c r="D68" s="642" t="s">
        <v>2294</v>
      </c>
      <c r="E68" s="642">
        <f>IF(B48="楼面地价",SUM(E58:E67),'数据-汇总表'!D3)</f>
        <v>84316</v>
      </c>
      <c r="F68" s="643">
        <f>IF(B48="楼面地价",SUM(F58:F67),ROUND(C50*E68/10000,0))</f>
        <v>60320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3" t="str">
        <f>YEAR(C9)&amp;"-"&amp;MONTH(C9)&amp;"-1"</f>
        <v>2018-2-1</v>
      </c>
      <c r="D70" s="2823">
        <f>EDATE(C70,-3)</f>
        <v>43040</v>
      </c>
      <c r="E70" s="2823">
        <f t="shared" ref="E70:N70" si="18">EDATE(D70,-3)</f>
        <v>42948</v>
      </c>
      <c r="F70" s="2823">
        <f t="shared" si="18"/>
        <v>42856</v>
      </c>
      <c r="G70" s="2823">
        <f t="shared" si="18"/>
        <v>42767</v>
      </c>
      <c r="H70" s="2823">
        <f t="shared" si="18"/>
        <v>42675</v>
      </c>
      <c r="I70" s="2823">
        <f t="shared" si="18"/>
        <v>42583</v>
      </c>
      <c r="J70" s="2823">
        <f t="shared" si="18"/>
        <v>42491</v>
      </c>
      <c r="K70" s="2823">
        <f t="shared" si="18"/>
        <v>42401</v>
      </c>
      <c r="L70" s="2823">
        <f t="shared" si="18"/>
        <v>42309</v>
      </c>
      <c r="M70" s="2823">
        <f t="shared" si="18"/>
        <v>42217</v>
      </c>
      <c r="N70" s="2823">
        <f t="shared" si="18"/>
        <v>42125</v>
      </c>
      <c r="O70" s="2144"/>
      <c r="P70" s="2144"/>
      <c r="Q70" s="2144"/>
      <c r="R70" s="2144"/>
      <c r="S70" s="2144"/>
      <c r="T70" s="2144"/>
      <c r="U70" s="2144"/>
      <c r="V70" s="2144"/>
      <c r="W70" s="2144"/>
      <c r="X70" s="2144"/>
      <c r="Y70" s="2144"/>
      <c r="Z70" s="2144"/>
      <c r="AA70" s="2144"/>
      <c r="AB70" s="2144"/>
      <c r="AC70" s="2144"/>
    </row>
    <row r="71" spans="1:29" ht="21.75" thickBot="1">
      <c r="A71" s="1583" t="s">
        <v>575</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91" t="s">
        <v>2532</v>
      </c>
      <c r="B72" s="2592"/>
      <c r="C72" s="2825"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8"/>
      <c r="P72" s="2159"/>
      <c r="Q72" s="2160"/>
      <c r="R72" s="2160"/>
      <c r="S72" s="2160"/>
      <c r="T72" s="2160"/>
      <c r="U72" s="2160"/>
      <c r="V72" s="2160"/>
      <c r="W72" s="2160"/>
      <c r="X72" s="2160"/>
      <c r="Y72" s="2160"/>
      <c r="Z72" s="2160"/>
      <c r="AA72" s="2160"/>
      <c r="AB72" s="2160"/>
      <c r="AC72" s="2160"/>
    </row>
    <row r="73" spans="1:29" s="1219" customFormat="1" ht="27" customHeight="1">
      <c r="A73" s="2830" t="s">
        <v>923</v>
      </c>
      <c r="B73" s="478" t="str">
        <f>"北京市平均增长率"&amp;TEXT(SUMIF(基准地价!N21:N25,A73,基准地价!P21:P25),"0.00%")</f>
        <v>北京市平均增长率2.55%</v>
      </c>
      <c r="C73" s="893">
        <v>100</v>
      </c>
      <c r="D73" s="3498">
        <f>C73-$C$74</f>
        <v>98</v>
      </c>
      <c r="E73" s="3498">
        <f t="shared" ref="E73:N73" si="20">D73-$C$74</f>
        <v>96</v>
      </c>
      <c r="F73" s="3498">
        <f t="shared" si="20"/>
        <v>94</v>
      </c>
      <c r="G73" s="3498">
        <f t="shared" si="20"/>
        <v>92</v>
      </c>
      <c r="H73" s="3498">
        <f t="shared" si="20"/>
        <v>90</v>
      </c>
      <c r="I73" s="3498">
        <f t="shared" si="20"/>
        <v>88</v>
      </c>
      <c r="J73" s="3498">
        <f t="shared" si="20"/>
        <v>86</v>
      </c>
      <c r="K73" s="3498">
        <f t="shared" si="20"/>
        <v>84</v>
      </c>
      <c r="L73" s="3498">
        <f t="shared" si="20"/>
        <v>82</v>
      </c>
      <c r="M73" s="3498">
        <f t="shared" si="20"/>
        <v>80</v>
      </c>
      <c r="N73" s="3498">
        <f t="shared" si="20"/>
        <v>78</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820" t="s">
        <v>2646</v>
      </c>
      <c r="B74" s="2829"/>
      <c r="C74" s="2814">
        <v>2</v>
      </c>
      <c r="D74" s="2815"/>
      <c r="E74" s="2815"/>
      <c r="F74" s="2815"/>
      <c r="G74" s="2815"/>
      <c r="H74" s="2815"/>
      <c r="I74" s="2815"/>
      <c r="J74" s="2815"/>
      <c r="K74" s="2815"/>
      <c r="L74" s="2815"/>
      <c r="M74" s="2815"/>
      <c r="N74" s="2815"/>
      <c r="O74" s="2161"/>
      <c r="P74" s="2157"/>
      <c r="Q74" s="2157"/>
      <c r="R74" s="1992"/>
      <c r="S74" s="1992"/>
      <c r="T74" s="1992"/>
      <c r="U74" s="1992"/>
      <c r="V74" s="1992"/>
      <c r="W74" s="1992"/>
      <c r="X74" s="1992"/>
      <c r="Y74" s="1992"/>
      <c r="Z74" s="1992"/>
      <c r="AA74" s="1992"/>
      <c r="AB74" s="1992"/>
      <c r="AC74" s="1992"/>
    </row>
    <row r="75" spans="1:29" s="1219" customFormat="1" ht="15">
      <c r="A75" s="658" t="s">
        <v>532</v>
      </c>
      <c r="B75" s="647"/>
      <c r="C75" s="659" t="s">
        <v>577</v>
      </c>
      <c r="D75" s="3538" t="s">
        <v>3772</v>
      </c>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8"/>
      <c r="B76" s="647"/>
      <c r="C76" s="648">
        <v>100</v>
      </c>
      <c r="D76" s="649">
        <v>110</v>
      </c>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42.75">
      <c r="A77" s="663" t="s">
        <v>578</v>
      </c>
      <c r="B77" s="664" t="s">
        <v>535</v>
      </c>
      <c r="C77" s="3503" t="s">
        <v>3667</v>
      </c>
      <c r="D77" s="597" t="str">
        <f>土地案例!E4</f>
        <v>居住用地</v>
      </c>
      <c r="E77" s="597" t="str">
        <f>土地案例!E5</f>
        <v>综合用地</v>
      </c>
      <c r="F77" s="597" t="str">
        <f>土地案例!E6</f>
        <v>其他普通商品住房用地</v>
      </c>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100</v>
      </c>
      <c r="E78" s="670">
        <v>100</v>
      </c>
      <c r="F78" s="670">
        <v>100</v>
      </c>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538</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29.25" thickTop="1">
      <c r="A81" s="668"/>
      <c r="B81" s="680" t="s">
        <v>539</v>
      </c>
      <c r="C81" s="681" t="str">
        <f>C82&amp;"（含）"&amp;"-"&amp;D82</f>
        <v>1（含）-1.5</v>
      </c>
      <c r="D81" s="681" t="str">
        <f t="shared" ref="D81:L81" si="21">D82&amp;"（含）"&amp;"-"&amp;E82</f>
        <v>1.5（含）-2</v>
      </c>
      <c r="E81" s="681" t="str">
        <f t="shared" si="21"/>
        <v>2（含）-2.5</v>
      </c>
      <c r="F81" s="681" t="str">
        <f t="shared" si="21"/>
        <v>2.5（含）-3</v>
      </c>
      <c r="G81" s="681" t="str">
        <f t="shared" si="21"/>
        <v>3（含）-3.5</v>
      </c>
      <c r="H81" s="681" t="str">
        <f t="shared" si="21"/>
        <v>3.5（含）-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1</v>
      </c>
      <c r="D82" s="540">
        <v>1.5</v>
      </c>
      <c r="E82" s="540">
        <v>2</v>
      </c>
      <c r="F82" s="540">
        <v>2.5</v>
      </c>
      <c r="G82" s="540">
        <v>3</v>
      </c>
      <c r="H82" s="540">
        <v>3.5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6"/>
      <c r="B86" s="672" t="str">
        <f>B15</f>
        <v>竞拍限制条件</v>
      </c>
      <c r="C86" s="3499" t="s">
        <v>3768</v>
      </c>
      <c r="D86" s="3499" t="s">
        <v>3770</v>
      </c>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6"/>
      <c r="B87" s="677"/>
      <c r="C87" s="691">
        <v>100</v>
      </c>
      <c r="D87" s="691">
        <v>90</v>
      </c>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540</v>
      </c>
      <c r="B90" s="664" t="s">
        <v>579</v>
      </c>
      <c r="C90" s="702" t="s">
        <v>580</v>
      </c>
      <c r="D90" s="702" t="s">
        <v>581</v>
      </c>
      <c r="E90" s="702" t="s">
        <v>582</v>
      </c>
      <c r="F90" s="702" t="s">
        <v>583</v>
      </c>
      <c r="G90" s="702" t="s">
        <v>584</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95</v>
      </c>
      <c r="E91" s="678">
        <f>D91-$K17</f>
        <v>90</v>
      </c>
      <c r="F91" s="678">
        <f>E91-$K17</f>
        <v>85</v>
      </c>
      <c r="G91" s="678">
        <f>F91-$K17</f>
        <v>80</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585</v>
      </c>
      <c r="C92" s="707" t="s">
        <v>580</v>
      </c>
      <c r="D92" s="707" t="s">
        <v>581</v>
      </c>
      <c r="E92" s="707" t="s">
        <v>582</v>
      </c>
      <c r="F92" s="707" t="s">
        <v>583</v>
      </c>
      <c r="G92" s="707" t="s">
        <v>584</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97</v>
      </c>
      <c r="E93" s="678">
        <f>D93-$K19</f>
        <v>94</v>
      </c>
      <c r="F93" s="678">
        <f>E93-$K19</f>
        <v>91</v>
      </c>
      <c r="G93" s="678">
        <f>F93-$K19</f>
        <v>88</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586</v>
      </c>
      <c r="C94" s="707" t="s">
        <v>580</v>
      </c>
      <c r="D94" s="707" t="s">
        <v>581</v>
      </c>
      <c r="E94" s="707" t="s">
        <v>582</v>
      </c>
      <c r="F94" s="707" t="s">
        <v>583</v>
      </c>
      <c r="G94" s="707" t="s">
        <v>584</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587</v>
      </c>
      <c r="C96" s="707" t="s">
        <v>580</v>
      </c>
      <c r="D96" s="707" t="s">
        <v>581</v>
      </c>
      <c r="E96" s="707" t="s">
        <v>582</v>
      </c>
      <c r="F96" s="707" t="s">
        <v>583</v>
      </c>
      <c r="G96" s="707" t="s">
        <v>584</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97</v>
      </c>
      <c r="E97" s="678">
        <f>D97-$K23</f>
        <v>94</v>
      </c>
      <c r="F97" s="678">
        <f>E97-$K23</f>
        <v>91</v>
      </c>
      <c r="G97" s="678">
        <f>F97-$K23</f>
        <v>88</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8"/>
      <c r="B99" s="677"/>
      <c r="C99" s="711">
        <v>100</v>
      </c>
      <c r="D99" s="678">
        <f>C99-$K25</f>
        <v>95</v>
      </c>
      <c r="E99" s="678">
        <f>D99-$K25</f>
        <v>90</v>
      </c>
      <c r="F99" s="678">
        <f>E99-$K25</f>
        <v>85</v>
      </c>
      <c r="G99" s="678">
        <f>F99-$K25</f>
        <v>80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6"/>
      <c r="B102" s="1895" t="s">
        <v>2548</v>
      </c>
      <c r="C102" s="702" t="s">
        <v>580</v>
      </c>
      <c r="D102" s="702" t="s">
        <v>581</v>
      </c>
      <c r="E102" s="702" t="s">
        <v>582</v>
      </c>
      <c r="F102" s="702" t="s">
        <v>583</v>
      </c>
      <c r="G102" s="702" t="s">
        <v>584</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6"/>
      <c r="B104" s="2620" t="s">
        <v>2549</v>
      </c>
      <c r="C104" s="2621" t="s">
        <v>2551</v>
      </c>
      <c r="D104" s="2621" t="s">
        <v>2552</v>
      </c>
      <c r="E104" s="2621" t="s">
        <v>2553</v>
      </c>
      <c r="F104" s="2621" t="s">
        <v>2554</v>
      </c>
      <c r="G104" s="2621" t="s">
        <v>2555</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549</v>
      </c>
      <c r="C108" s="3499" t="s">
        <v>3657</v>
      </c>
      <c r="D108" s="3499" t="s">
        <v>3658</v>
      </c>
      <c r="E108" s="3499" t="s">
        <v>3659</v>
      </c>
      <c r="F108" s="3499" t="s">
        <v>3661</v>
      </c>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6.5" hidden="1" thickTop="1" thickBot="1">
      <c r="A110" s="668"/>
      <c r="B110" s="672" t="s">
        <v>550</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6.5" hidden="1" thickTop="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6.5" hidden="1" thickTop="1" thickBot="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6.5" hidden="1" thickTop="1"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75" hidden="1" thickTop="1" thickBot="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6.5" hidden="1" thickTop="1"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8" customFormat="1" ht="15.75" hidden="1" thickTop="1" thickBot="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8" customFormat="1" ht="16.5" hidden="1" thickTop="1"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9.25" thickTop="1">
      <c r="A118" s="663" t="s">
        <v>552</v>
      </c>
      <c r="B118" s="664" t="s">
        <v>594</v>
      </c>
      <c r="C118" s="703" t="str">
        <f t="shared" ref="C118:L118" si="26">C119&amp;"(含)"&amp;"-"&amp;D119</f>
        <v>0(含)-100000</v>
      </c>
      <c r="D118" s="703" t="str">
        <f t="shared" si="26"/>
        <v>100000(含)-</v>
      </c>
      <c r="E118" s="703" t="str">
        <f t="shared" si="26"/>
        <v>(含)-</v>
      </c>
      <c r="F118" s="703" t="str">
        <f t="shared" si="26"/>
        <v>(含)-</v>
      </c>
      <c r="G118" s="703" t="str">
        <f t="shared" si="26"/>
        <v>(含)-</v>
      </c>
      <c r="H118" s="703" t="str">
        <f t="shared" si="26"/>
        <v>(含)-</v>
      </c>
      <c r="I118" s="703" t="str">
        <f t="shared" si="26"/>
        <v>(含)-</v>
      </c>
      <c r="J118" s="3116" t="str">
        <f t="shared" si="26"/>
        <v>(含)-</v>
      </c>
      <c r="K118" s="3116" t="str">
        <f t="shared" si="26"/>
        <v>(含)-</v>
      </c>
      <c r="L118" s="3117" t="str">
        <f t="shared" si="26"/>
        <v>(含)-</v>
      </c>
      <c r="M118" s="311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100000</v>
      </c>
      <c r="E119" s="729"/>
      <c r="F119" s="729"/>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101</v>
      </c>
      <c r="E120" s="725">
        <v>102</v>
      </c>
      <c r="F120" s="725">
        <v>103</v>
      </c>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595</v>
      </c>
      <c r="C121" s="3500" t="s">
        <v>3655</v>
      </c>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5"/>
      <c r="O122" s="2165"/>
      <c r="P122" s="2164"/>
      <c r="Q122" s="2157"/>
      <c r="R122" s="2144"/>
      <c r="S122" s="2144"/>
      <c r="T122" s="2144"/>
      <c r="U122" s="2144"/>
      <c r="V122" s="2144"/>
      <c r="W122" s="2144"/>
      <c r="X122" s="2144"/>
      <c r="Y122" s="2144"/>
      <c r="Z122" s="2144"/>
      <c r="AA122" s="2144"/>
      <c r="AB122" s="2144"/>
      <c r="AC122" s="2144"/>
    </row>
    <row r="123" spans="1:29" ht="15.75" hidden="1" thickTop="1" thickBot="1">
      <c r="A123" s="734"/>
      <c r="B123" s="672" t="s">
        <v>596</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6.5" hidden="1" thickTop="1"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7"/>
      <c r="B125" s="1895" t="s">
        <v>2423</v>
      </c>
      <c r="C125" s="1374" t="s">
        <v>3653</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597</v>
      </c>
      <c r="C127" s="3499" t="s">
        <v>3651</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4"/>
      <c r="B129" s="672" t="str">
        <f>B45</f>
        <v>商业自持</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6.5" hidden="1" thickTop="1"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4"/>
      <c r="B131" s="672" t="str">
        <f>B46</f>
        <v>现房销售</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6.5" hidden="1" thickTop="1"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7"/>
      <c r="B133" s="672" t="str">
        <f>B47</f>
        <v>租赁型保障房</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8" customFormat="1" ht="16.5" hidden="1" thickTop="1"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3"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disablePrompts="1"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51"/>
  <sheetViews>
    <sheetView workbookViewId="0">
      <selection activeCell="M4" sqref="M4"/>
    </sheetView>
  </sheetViews>
  <sheetFormatPr defaultRowHeight="12.75"/>
  <cols>
    <col min="1" max="1" width="44.625" style="3482" customWidth="1"/>
    <col min="2" max="2" width="6.25" style="3482" hidden="1" customWidth="1"/>
    <col min="3" max="3" width="13.875" style="3482" hidden="1" customWidth="1"/>
    <col min="4" max="4" width="7.875" style="3482" hidden="1" customWidth="1"/>
    <col min="5" max="5" width="20.75" style="3482" customWidth="1"/>
    <col min="6" max="7" width="13.875" style="3482" customWidth="1"/>
    <col min="8" max="8" width="16.125" style="3482" customWidth="1"/>
    <col min="9" max="9" width="9" style="3482" customWidth="1"/>
    <col min="10" max="10" width="31.375" style="3482" customWidth="1"/>
    <col min="11" max="11" width="10.625" style="3482" customWidth="1"/>
    <col min="12" max="12" width="14.375" style="3482" customWidth="1"/>
    <col min="13" max="13" width="6.25" style="3482" customWidth="1"/>
    <col min="14" max="14" width="24.5" style="3482" customWidth="1"/>
    <col min="15" max="16384" width="9" style="3482"/>
  </cols>
  <sheetData>
    <row r="1" spans="1:14">
      <c r="A1" s="3482" t="s">
        <v>3643</v>
      </c>
      <c r="B1" s="3482" t="s">
        <v>3642</v>
      </c>
      <c r="C1" s="3482" t="s">
        <v>3641</v>
      </c>
      <c r="D1" s="3482" t="s">
        <v>3640</v>
      </c>
      <c r="E1" s="3482" t="s">
        <v>3639</v>
      </c>
      <c r="F1" s="3482" t="s">
        <v>3638</v>
      </c>
      <c r="G1" s="3482" t="s">
        <v>3637</v>
      </c>
      <c r="H1" s="3482" t="s">
        <v>2032</v>
      </c>
      <c r="I1" s="3482" t="s">
        <v>3636</v>
      </c>
      <c r="J1" s="3482" t="s">
        <v>3635</v>
      </c>
      <c r="K1" s="3482" t="s">
        <v>3634</v>
      </c>
      <c r="L1" s="3482" t="s">
        <v>3633</v>
      </c>
      <c r="M1" s="3482" t="s">
        <v>3632</v>
      </c>
      <c r="N1" s="3482" t="s">
        <v>3631</v>
      </c>
    </row>
    <row r="2" spans="1:14">
      <c r="A2" s="3482" t="s">
        <v>3630</v>
      </c>
      <c r="B2" s="3482" t="s">
        <v>3204</v>
      </c>
      <c r="C2" s="3482" t="s">
        <v>3208</v>
      </c>
      <c r="D2" s="3482" t="s">
        <v>3202</v>
      </c>
      <c r="E2" s="3482" t="s">
        <v>3629</v>
      </c>
      <c r="F2" s="3482">
        <v>72800.570000000007</v>
      </c>
      <c r="G2" s="3482">
        <v>315362.5</v>
      </c>
      <c r="H2" s="3482" t="s">
        <v>3628</v>
      </c>
      <c r="I2" s="3482" t="s">
        <v>3589</v>
      </c>
      <c r="J2" s="3482" t="s">
        <v>3627</v>
      </c>
      <c r="K2" s="3482">
        <v>290000</v>
      </c>
      <c r="L2" s="3482">
        <v>9195.77</v>
      </c>
      <c r="M2" s="3482" t="s">
        <v>2817</v>
      </c>
      <c r="N2" s="3482" t="s">
        <v>3197</v>
      </c>
    </row>
    <row r="3" spans="1:14" s="3528" customFormat="1">
      <c r="A3" s="3528" t="s">
        <v>3626</v>
      </c>
      <c r="B3" s="3528" t="s">
        <v>3204</v>
      </c>
      <c r="C3" s="3528" t="s">
        <v>3203</v>
      </c>
      <c r="D3" s="3528" t="s">
        <v>3202</v>
      </c>
      <c r="E3" s="3528" t="s">
        <v>3201</v>
      </c>
      <c r="F3" s="3528">
        <v>91611.35</v>
      </c>
      <c r="G3" s="3528">
        <v>256511.8</v>
      </c>
      <c r="H3" s="3528" t="s">
        <v>3625</v>
      </c>
      <c r="I3" s="3528" t="s">
        <v>3596</v>
      </c>
      <c r="J3" s="3528" t="s">
        <v>3624</v>
      </c>
      <c r="K3" s="3528">
        <v>185000</v>
      </c>
      <c r="L3" s="3528">
        <v>7212.14</v>
      </c>
      <c r="M3" s="3528">
        <v>168.12</v>
      </c>
      <c r="N3" s="3528" t="s">
        <v>3197</v>
      </c>
    </row>
    <row r="4" spans="1:14" s="3530" customFormat="1">
      <c r="A4" s="3530" t="s">
        <v>3623</v>
      </c>
      <c r="B4" s="3530" t="s">
        <v>3204</v>
      </c>
      <c r="C4" s="3530" t="s">
        <v>3203</v>
      </c>
      <c r="D4" s="3530" t="s">
        <v>3202</v>
      </c>
      <c r="E4" s="3530" t="s">
        <v>3212</v>
      </c>
      <c r="F4" s="3530">
        <v>118397.4</v>
      </c>
      <c r="G4" s="3530">
        <v>295993.40000000002</v>
      </c>
      <c r="H4" s="3530" t="s">
        <v>3486</v>
      </c>
      <c r="I4" s="3530" t="s">
        <v>3362</v>
      </c>
      <c r="J4" s="3530" t="s">
        <v>3622</v>
      </c>
      <c r="K4" s="3530">
        <v>188000</v>
      </c>
      <c r="L4" s="3530">
        <v>6351.48</v>
      </c>
      <c r="M4" s="3530">
        <v>168.57</v>
      </c>
      <c r="N4" s="3530" t="s">
        <v>3197</v>
      </c>
    </row>
    <row r="5" spans="1:14" s="3530" customFormat="1">
      <c r="A5" s="3530" t="s">
        <v>3621</v>
      </c>
      <c r="B5" s="3530" t="s">
        <v>3204</v>
      </c>
      <c r="C5" s="3530" t="s">
        <v>3208</v>
      </c>
      <c r="D5" s="3530" t="s">
        <v>3202</v>
      </c>
      <c r="E5" s="3530" t="s">
        <v>3350</v>
      </c>
      <c r="F5" s="3530">
        <v>65017.22</v>
      </c>
      <c r="G5" s="3530">
        <v>182048.2</v>
      </c>
      <c r="H5" s="3530" t="s">
        <v>3572</v>
      </c>
      <c r="I5" s="3530" t="s">
        <v>3585</v>
      </c>
      <c r="J5" s="3530" t="s">
        <v>3620</v>
      </c>
      <c r="K5" s="3530">
        <v>107280</v>
      </c>
      <c r="L5" s="3530">
        <v>5892.93</v>
      </c>
      <c r="M5" s="3530" t="s">
        <v>2817</v>
      </c>
      <c r="N5" s="3530" t="s">
        <v>3206</v>
      </c>
    </row>
    <row r="6" spans="1:14" s="3530" customFormat="1">
      <c r="A6" s="3530" t="s">
        <v>3619</v>
      </c>
      <c r="B6" s="3530" t="s">
        <v>3204</v>
      </c>
      <c r="C6" s="3530" t="s">
        <v>3203</v>
      </c>
      <c r="D6" s="3530" t="s">
        <v>3202</v>
      </c>
      <c r="E6" s="3530" t="s">
        <v>3201</v>
      </c>
      <c r="F6" s="3530">
        <v>41446.550000000003</v>
      </c>
      <c r="G6" s="3530">
        <v>62169.83</v>
      </c>
      <c r="H6" s="3530" t="s">
        <v>3617</v>
      </c>
      <c r="I6" s="3530" t="s">
        <v>3611</v>
      </c>
      <c r="J6" s="3530" t="s">
        <v>3618</v>
      </c>
      <c r="K6" s="3530">
        <v>33209</v>
      </c>
      <c r="L6" s="3530">
        <v>5341.65</v>
      </c>
      <c r="M6" s="3530" t="s">
        <v>2817</v>
      </c>
      <c r="N6" s="3530" t="s">
        <v>3197</v>
      </c>
    </row>
    <row r="7" spans="1:14" s="3529" customFormat="1">
      <c r="A7" s="3529" t="s">
        <v>3788</v>
      </c>
      <c r="B7" s="3529" t="s">
        <v>3204</v>
      </c>
      <c r="C7" s="3529" t="s">
        <v>3203</v>
      </c>
      <c r="D7" s="3529" t="s">
        <v>3202</v>
      </c>
      <c r="E7" s="3529" t="s">
        <v>3201</v>
      </c>
      <c r="F7" s="3529">
        <v>56142.38</v>
      </c>
      <c r="G7" s="3529">
        <v>84213.57</v>
      </c>
      <c r="H7" s="3529" t="s">
        <v>3617</v>
      </c>
      <c r="I7" s="3529" t="s">
        <v>3256</v>
      </c>
      <c r="J7" s="3529" t="s">
        <v>3571</v>
      </c>
      <c r="K7" s="3529">
        <v>40800</v>
      </c>
      <c r="L7" s="3529">
        <v>4844.8100000000004</v>
      </c>
      <c r="M7" s="3529">
        <v>0</v>
      </c>
      <c r="N7" s="3529" t="s">
        <v>3197</v>
      </c>
    </row>
    <row r="8" spans="1:14" s="3529" customFormat="1">
      <c r="A8" s="3529" t="s">
        <v>3616</v>
      </c>
      <c r="B8" s="3529" t="s">
        <v>3204</v>
      </c>
      <c r="C8" s="3529" t="s">
        <v>3203</v>
      </c>
      <c r="D8" s="3529" t="s">
        <v>3202</v>
      </c>
      <c r="E8" s="3529" t="s">
        <v>3203</v>
      </c>
      <c r="F8" s="3529">
        <v>20579.64</v>
      </c>
      <c r="G8" s="3529">
        <v>57622.99</v>
      </c>
      <c r="H8" s="3529" t="s">
        <v>3453</v>
      </c>
      <c r="I8" s="3529" t="s">
        <v>3614</v>
      </c>
      <c r="J8" s="3529" t="s">
        <v>3595</v>
      </c>
      <c r="K8" s="3529">
        <v>25440</v>
      </c>
      <c r="L8" s="3529">
        <v>4414.8900000000003</v>
      </c>
      <c r="M8" s="3529">
        <v>0</v>
      </c>
      <c r="N8" s="3529" t="s">
        <v>3197</v>
      </c>
    </row>
    <row r="9" spans="1:14" s="3527" customFormat="1">
      <c r="A9" s="3527" t="s">
        <v>3615</v>
      </c>
      <c r="B9" s="3527" t="s">
        <v>3204</v>
      </c>
      <c r="C9" s="3527" t="s">
        <v>3203</v>
      </c>
      <c r="D9" s="3527" t="s">
        <v>3202</v>
      </c>
      <c r="E9" s="3527" t="s">
        <v>3203</v>
      </c>
      <c r="F9" s="3527">
        <v>22425.25</v>
      </c>
      <c r="G9" s="3527">
        <v>62790.7</v>
      </c>
      <c r="H9" s="3527" t="s">
        <v>3453</v>
      </c>
      <c r="I9" s="3527" t="s">
        <v>3614</v>
      </c>
      <c r="J9" s="3527" t="s">
        <v>3595</v>
      </c>
      <c r="K9" s="3527">
        <v>27720</v>
      </c>
      <c r="L9" s="3527">
        <v>4414.67</v>
      </c>
      <c r="M9" s="3527">
        <v>0</v>
      </c>
      <c r="N9" s="3527" t="s">
        <v>3197</v>
      </c>
    </row>
    <row r="10" spans="1:14" s="3527" customFormat="1">
      <c r="A10" s="3527" t="s">
        <v>3613</v>
      </c>
      <c r="B10" s="3527" t="s">
        <v>3204</v>
      </c>
      <c r="C10" s="3527" t="s">
        <v>3203</v>
      </c>
      <c r="D10" s="3527" t="s">
        <v>3202</v>
      </c>
      <c r="E10" s="3527" t="s">
        <v>3201</v>
      </c>
      <c r="F10" s="3527">
        <v>107503.2</v>
      </c>
      <c r="G10" s="3527">
        <v>215006.4</v>
      </c>
      <c r="H10" s="3527" t="s">
        <v>3577</v>
      </c>
      <c r="I10" s="3527" t="s">
        <v>3611</v>
      </c>
      <c r="J10" s="3527" t="s">
        <v>3610</v>
      </c>
      <c r="K10" s="3527">
        <v>93260</v>
      </c>
      <c r="L10" s="3527">
        <v>4337.55</v>
      </c>
      <c r="M10" s="3527" t="s">
        <v>2817</v>
      </c>
      <c r="N10" s="3527" t="s">
        <v>3197</v>
      </c>
    </row>
    <row r="11" spans="1:14" s="3527" customFormat="1">
      <c r="A11" s="3527" t="s">
        <v>3612</v>
      </c>
      <c r="B11" s="3527" t="s">
        <v>3204</v>
      </c>
      <c r="C11" s="3527" t="s">
        <v>3203</v>
      </c>
      <c r="D11" s="3527" t="s">
        <v>3202</v>
      </c>
      <c r="E11" s="3527" t="s">
        <v>3201</v>
      </c>
      <c r="F11" s="3527">
        <v>76899.179999999993</v>
      </c>
      <c r="G11" s="3527">
        <v>153798.39999999999</v>
      </c>
      <c r="H11" s="3527" t="s">
        <v>3577</v>
      </c>
      <c r="I11" s="3527" t="s">
        <v>3611</v>
      </c>
      <c r="J11" s="3527" t="s">
        <v>3610</v>
      </c>
      <c r="K11" s="3527">
        <v>65500</v>
      </c>
      <c r="L11" s="3527">
        <v>4258.8100000000004</v>
      </c>
      <c r="M11" s="3527" t="s">
        <v>2817</v>
      </c>
      <c r="N11" s="3527" t="s">
        <v>3197</v>
      </c>
    </row>
    <row r="12" spans="1:14" s="3527" customFormat="1">
      <c r="A12" s="3527" t="s">
        <v>3609</v>
      </c>
      <c r="B12" s="3527" t="s">
        <v>3204</v>
      </c>
      <c r="C12" s="3527" t="s">
        <v>3208</v>
      </c>
      <c r="D12" s="3527" t="s">
        <v>3202</v>
      </c>
      <c r="E12" s="3527" t="s">
        <v>3294</v>
      </c>
      <c r="F12" s="3527">
        <v>91902.91</v>
      </c>
      <c r="G12" s="3527">
        <v>119473.8</v>
      </c>
      <c r="H12" s="3527" t="s">
        <v>3608</v>
      </c>
      <c r="I12" s="3527" t="s">
        <v>3292</v>
      </c>
      <c r="J12" s="3527" t="s">
        <v>3607</v>
      </c>
      <c r="K12" s="3527">
        <v>50660</v>
      </c>
      <c r="L12" s="3527">
        <v>4240.26</v>
      </c>
      <c r="M12" s="3527">
        <v>0</v>
      </c>
      <c r="N12" s="3527" t="s">
        <v>3290</v>
      </c>
    </row>
    <row r="13" spans="1:14" s="3527" customFormat="1">
      <c r="A13" s="3527" t="s">
        <v>3606</v>
      </c>
      <c r="B13" s="3527" t="s">
        <v>3204</v>
      </c>
      <c r="C13" s="3527" t="s">
        <v>3203</v>
      </c>
      <c r="D13" s="3527" t="s">
        <v>3202</v>
      </c>
      <c r="E13" s="3527" t="s">
        <v>3203</v>
      </c>
      <c r="F13" s="3527">
        <v>47760.51</v>
      </c>
      <c r="G13" s="3527">
        <v>143281.5</v>
      </c>
      <c r="H13" s="3527" t="s">
        <v>3604</v>
      </c>
      <c r="I13" s="3527" t="s">
        <v>3596</v>
      </c>
      <c r="J13" s="3527" t="s">
        <v>3595</v>
      </c>
      <c r="K13" s="3527">
        <v>59040</v>
      </c>
      <c r="L13" s="3527">
        <v>4120.5600000000004</v>
      </c>
      <c r="M13" s="3527">
        <v>0</v>
      </c>
      <c r="N13" s="3527" t="s">
        <v>3197</v>
      </c>
    </row>
    <row r="14" spans="1:14" s="3527" customFormat="1">
      <c r="A14" s="3527" t="s">
        <v>3605</v>
      </c>
      <c r="B14" s="3527" t="s">
        <v>3204</v>
      </c>
      <c r="C14" s="3527" t="s">
        <v>3203</v>
      </c>
      <c r="D14" s="3527" t="s">
        <v>3202</v>
      </c>
      <c r="E14" s="3527" t="s">
        <v>3203</v>
      </c>
      <c r="F14" s="3527">
        <v>51754.7</v>
      </c>
      <c r="G14" s="3527">
        <v>155264.1</v>
      </c>
      <c r="H14" s="3527" t="s">
        <v>3604</v>
      </c>
      <c r="I14" s="3527" t="s">
        <v>3596</v>
      </c>
      <c r="J14" s="3527" t="s">
        <v>3595</v>
      </c>
      <c r="K14" s="3527">
        <v>63970</v>
      </c>
      <c r="L14" s="3527">
        <v>4120.07</v>
      </c>
      <c r="M14" s="3527">
        <v>0</v>
      </c>
      <c r="N14" s="3527" t="s">
        <v>3197</v>
      </c>
    </row>
    <row r="15" spans="1:14" s="3510" customFormat="1">
      <c r="A15" s="3510" t="s">
        <v>3603</v>
      </c>
      <c r="B15" s="3510" t="s">
        <v>3204</v>
      </c>
      <c r="C15" s="3510" t="s">
        <v>3203</v>
      </c>
      <c r="D15" s="3510" t="s">
        <v>3202</v>
      </c>
      <c r="E15" s="3510" t="s">
        <v>3201</v>
      </c>
      <c r="F15" s="3510">
        <v>53010.04</v>
      </c>
      <c r="G15" s="3510">
        <v>185535.1</v>
      </c>
      <c r="H15" s="3510" t="s">
        <v>3402</v>
      </c>
      <c r="I15" s="3510" t="s">
        <v>3589</v>
      </c>
      <c r="J15" s="3510" t="s">
        <v>3602</v>
      </c>
      <c r="K15" s="3510">
        <v>74380</v>
      </c>
      <c r="L15" s="3510">
        <v>4008.94</v>
      </c>
      <c r="M15" s="3510" t="s">
        <v>2817</v>
      </c>
      <c r="N15" s="3510" t="s">
        <v>3197</v>
      </c>
    </row>
    <row r="16" spans="1:14">
      <c r="A16" s="3482" t="s">
        <v>3601</v>
      </c>
      <c r="B16" s="3482" t="s">
        <v>3204</v>
      </c>
      <c r="C16" s="3482" t="s">
        <v>3208</v>
      </c>
      <c r="D16" s="3482" t="s">
        <v>3202</v>
      </c>
      <c r="E16" s="3482" t="s">
        <v>3350</v>
      </c>
      <c r="F16" s="3482">
        <v>30633.919999999998</v>
      </c>
      <c r="G16" s="3482">
        <v>76584.800000000003</v>
      </c>
      <c r="H16" s="3482" t="s">
        <v>3486</v>
      </c>
      <c r="I16" s="3482" t="s">
        <v>3585</v>
      </c>
      <c r="J16" s="3482" t="s">
        <v>3584</v>
      </c>
      <c r="K16" s="3482">
        <v>27680</v>
      </c>
      <c r="L16" s="3482">
        <v>3614.28</v>
      </c>
      <c r="M16" s="3482">
        <v>0</v>
      </c>
      <c r="N16" s="3482" t="s">
        <v>3206</v>
      </c>
    </row>
    <row r="17" spans="1:14">
      <c r="A17" s="3482" t="s">
        <v>3600</v>
      </c>
      <c r="B17" s="3482" t="s">
        <v>3204</v>
      </c>
      <c r="C17" s="3482" t="s">
        <v>3208</v>
      </c>
      <c r="D17" s="3482" t="s">
        <v>3271</v>
      </c>
      <c r="E17" s="3482" t="s">
        <v>3201</v>
      </c>
      <c r="F17" s="3482">
        <v>140736.5</v>
      </c>
      <c r="G17" s="3482">
        <v>281473</v>
      </c>
      <c r="H17" s="3482" t="s">
        <v>3577</v>
      </c>
      <c r="I17" s="3482" t="s">
        <v>3593</v>
      </c>
      <c r="J17" s="3482" t="s">
        <v>3599</v>
      </c>
      <c r="K17" s="3482">
        <v>101265</v>
      </c>
      <c r="L17" s="3482">
        <v>3597.67</v>
      </c>
      <c r="M17" s="3482">
        <v>0</v>
      </c>
      <c r="N17" s="3482" t="s">
        <v>3197</v>
      </c>
    </row>
    <row r="18" spans="1:14">
      <c r="A18" s="3482" t="s">
        <v>3598</v>
      </c>
      <c r="B18" s="3482" t="s">
        <v>3204</v>
      </c>
      <c r="C18" s="3482" t="s">
        <v>3203</v>
      </c>
      <c r="D18" s="3482" t="s">
        <v>3202</v>
      </c>
      <c r="E18" s="3482" t="s">
        <v>3203</v>
      </c>
      <c r="F18" s="3482">
        <v>21036.2</v>
      </c>
      <c r="G18" s="3482">
        <v>73626.7</v>
      </c>
      <c r="H18" s="3482" t="s">
        <v>3402</v>
      </c>
      <c r="I18" s="3482" t="s">
        <v>3596</v>
      </c>
      <c r="J18" s="3482" t="s">
        <v>3595</v>
      </c>
      <c r="K18" s="3482">
        <v>26010</v>
      </c>
      <c r="L18" s="3482">
        <v>3532.69</v>
      </c>
      <c r="M18" s="3482">
        <v>0</v>
      </c>
      <c r="N18" s="3482" t="s">
        <v>3197</v>
      </c>
    </row>
    <row r="19" spans="1:14">
      <c r="A19" s="3482" t="s">
        <v>3597</v>
      </c>
      <c r="B19" s="3482" t="s">
        <v>3204</v>
      </c>
      <c r="C19" s="3482" t="s">
        <v>3203</v>
      </c>
      <c r="D19" s="3482" t="s">
        <v>3202</v>
      </c>
      <c r="E19" s="3482" t="s">
        <v>3203</v>
      </c>
      <c r="F19" s="3482">
        <v>22802.17</v>
      </c>
      <c r="G19" s="3482">
        <v>79807.600000000006</v>
      </c>
      <c r="H19" s="3482" t="s">
        <v>3402</v>
      </c>
      <c r="I19" s="3482" t="s">
        <v>3596</v>
      </c>
      <c r="J19" s="3482" t="s">
        <v>3595</v>
      </c>
      <c r="K19" s="3482">
        <v>28190</v>
      </c>
      <c r="L19" s="3482">
        <v>3532.25</v>
      </c>
      <c r="M19" s="3482">
        <v>0</v>
      </c>
      <c r="N19" s="3482" t="s">
        <v>3197</v>
      </c>
    </row>
    <row r="20" spans="1:14">
      <c r="A20" s="3482" t="s">
        <v>3594</v>
      </c>
      <c r="B20" s="3482" t="s">
        <v>3204</v>
      </c>
      <c r="C20" s="3482" t="s">
        <v>3203</v>
      </c>
      <c r="D20" s="3482" t="s">
        <v>3271</v>
      </c>
      <c r="E20" s="3482" t="s">
        <v>3201</v>
      </c>
      <c r="F20" s="3482">
        <v>86685.86</v>
      </c>
      <c r="G20" s="3482">
        <v>173371.7</v>
      </c>
      <c r="H20" s="3482" t="s">
        <v>3577</v>
      </c>
      <c r="I20" s="3482" t="s">
        <v>3593</v>
      </c>
      <c r="J20" s="3482" t="s">
        <v>3592</v>
      </c>
      <c r="K20" s="3482">
        <v>59840</v>
      </c>
      <c r="L20" s="3482">
        <v>3451.53</v>
      </c>
      <c r="M20" s="3482">
        <v>0</v>
      </c>
      <c r="N20" s="3482" t="s">
        <v>3197</v>
      </c>
    </row>
    <row r="21" spans="1:14">
      <c r="A21" s="3482" t="s">
        <v>3591</v>
      </c>
      <c r="B21" s="3482" t="s">
        <v>3204</v>
      </c>
      <c r="C21" s="3482" t="s">
        <v>3203</v>
      </c>
      <c r="D21" s="3482" t="s">
        <v>3202</v>
      </c>
      <c r="E21" s="3482" t="s">
        <v>3201</v>
      </c>
      <c r="F21" s="3482">
        <v>35655.64</v>
      </c>
      <c r="G21" s="3482">
        <v>164729.1</v>
      </c>
      <c r="H21" s="3482" t="s">
        <v>3590</v>
      </c>
      <c r="I21" s="3482" t="s">
        <v>3589</v>
      </c>
      <c r="J21" s="3482" t="s">
        <v>3588</v>
      </c>
      <c r="K21" s="3482">
        <v>56418.58</v>
      </c>
      <c r="L21" s="3482">
        <v>3424.92</v>
      </c>
      <c r="M21" s="3482" t="s">
        <v>2817</v>
      </c>
      <c r="N21" s="3482" t="s">
        <v>3197</v>
      </c>
    </row>
    <row r="22" spans="1:14">
      <c r="A22" s="3482" t="s">
        <v>3587</v>
      </c>
      <c r="B22" s="3482" t="s">
        <v>3204</v>
      </c>
      <c r="C22" s="3482" t="s">
        <v>3208</v>
      </c>
      <c r="D22" s="3482" t="s">
        <v>3202</v>
      </c>
      <c r="E22" s="3482" t="s">
        <v>3350</v>
      </c>
      <c r="F22" s="3482">
        <v>119065.60000000001</v>
      </c>
      <c r="G22" s="3482">
        <v>314949.90000000002</v>
      </c>
      <c r="H22" s="3482" t="s">
        <v>3586</v>
      </c>
      <c r="I22" s="3482" t="s">
        <v>3585</v>
      </c>
      <c r="J22" s="3482" t="s">
        <v>3584</v>
      </c>
      <c r="K22" s="3482">
        <v>106390</v>
      </c>
      <c r="L22" s="3482">
        <v>3378</v>
      </c>
      <c r="M22" s="3482">
        <v>0</v>
      </c>
      <c r="N22" s="3482" t="s">
        <v>3206</v>
      </c>
    </row>
    <row r="23" spans="1:14">
      <c r="A23" s="3482" t="s">
        <v>3583</v>
      </c>
      <c r="B23" s="3482" t="s">
        <v>3204</v>
      </c>
      <c r="C23" s="3482" t="s">
        <v>3203</v>
      </c>
      <c r="D23" s="3482" t="s">
        <v>3271</v>
      </c>
      <c r="E23" s="3482" t="s">
        <v>3201</v>
      </c>
      <c r="F23" s="3482">
        <v>20618.07</v>
      </c>
      <c r="G23" s="3482">
        <v>41236.14</v>
      </c>
      <c r="H23" s="3482" t="s">
        <v>3408</v>
      </c>
      <c r="I23" s="3482" t="s">
        <v>3582</v>
      </c>
      <c r="J23" s="3482" t="s">
        <v>3581</v>
      </c>
      <c r="K23" s="3482">
        <v>12500</v>
      </c>
      <c r="L23" s="3482">
        <v>3031.32</v>
      </c>
      <c r="M23" s="3482" t="s">
        <v>2817</v>
      </c>
      <c r="N23" s="3482" t="s">
        <v>3197</v>
      </c>
    </row>
    <row r="24" spans="1:14">
      <c r="A24" s="3482" t="s">
        <v>3580</v>
      </c>
      <c r="B24" s="3482" t="s">
        <v>3204</v>
      </c>
      <c r="C24" s="3482" t="s">
        <v>3203</v>
      </c>
      <c r="D24" s="3482" t="s">
        <v>3202</v>
      </c>
      <c r="E24" s="3482" t="s">
        <v>3201</v>
      </c>
      <c r="F24" s="3482">
        <v>63213.73</v>
      </c>
      <c r="G24" s="3482">
        <v>126427.5</v>
      </c>
      <c r="H24" s="3482" t="s">
        <v>3577</v>
      </c>
      <c r="I24" s="3482" t="s">
        <v>3292</v>
      </c>
      <c r="J24" s="3482" t="s">
        <v>3579</v>
      </c>
      <c r="K24" s="3482">
        <v>36375</v>
      </c>
      <c r="L24" s="3482">
        <v>2877.13</v>
      </c>
      <c r="M24" s="3482">
        <v>0</v>
      </c>
      <c r="N24" s="3482" t="s">
        <v>3197</v>
      </c>
    </row>
    <row r="25" spans="1:14">
      <c r="A25" s="3482" t="s">
        <v>3578</v>
      </c>
      <c r="B25" s="3482" t="s">
        <v>3204</v>
      </c>
      <c r="C25" s="3482" t="s">
        <v>3208</v>
      </c>
      <c r="D25" s="3482" t="s">
        <v>3202</v>
      </c>
      <c r="E25" s="3482" t="s">
        <v>3294</v>
      </c>
      <c r="F25" s="3482">
        <v>122744.7</v>
      </c>
      <c r="G25" s="3482">
        <v>245489.5</v>
      </c>
      <c r="H25" s="3482" t="s">
        <v>3577</v>
      </c>
      <c r="I25" s="3482" t="s">
        <v>3292</v>
      </c>
      <c r="J25" s="3482" t="s">
        <v>3576</v>
      </c>
      <c r="K25" s="3482">
        <v>68870</v>
      </c>
      <c r="L25" s="3482">
        <v>2805.42</v>
      </c>
      <c r="M25" s="3482">
        <v>0</v>
      </c>
      <c r="N25" s="3482" t="s">
        <v>3290</v>
      </c>
    </row>
    <row r="26" spans="1:14">
      <c r="A26" s="3482" t="s">
        <v>3575</v>
      </c>
      <c r="B26" s="3482" t="s">
        <v>3204</v>
      </c>
      <c r="C26" s="3482" t="s">
        <v>3208</v>
      </c>
      <c r="D26" s="3482" t="s">
        <v>3202</v>
      </c>
      <c r="E26" s="3482" t="s">
        <v>3350</v>
      </c>
      <c r="F26" s="3482">
        <v>105165.4</v>
      </c>
      <c r="G26" s="3482">
        <v>157748.1</v>
      </c>
      <c r="H26" s="3482" t="s">
        <v>3574</v>
      </c>
      <c r="I26" s="3482" t="s">
        <v>3507</v>
      </c>
      <c r="J26" s="3482" t="s">
        <v>3510</v>
      </c>
      <c r="K26" s="3482">
        <v>43860</v>
      </c>
      <c r="L26" s="3482">
        <v>2780.38</v>
      </c>
      <c r="M26" s="3482">
        <v>0</v>
      </c>
      <c r="N26" s="3482" t="s">
        <v>3206</v>
      </c>
    </row>
    <row r="27" spans="1:14">
      <c r="A27" s="3482" t="s">
        <v>3573</v>
      </c>
      <c r="B27" s="3482" t="s">
        <v>3204</v>
      </c>
      <c r="C27" s="3482" t="s">
        <v>3203</v>
      </c>
      <c r="D27" s="3482" t="s">
        <v>3202</v>
      </c>
      <c r="E27" s="3482" t="s">
        <v>3201</v>
      </c>
      <c r="F27" s="3482">
        <v>74674.28</v>
      </c>
      <c r="G27" s="3482">
        <v>209088</v>
      </c>
      <c r="H27" s="3482" t="s">
        <v>3572</v>
      </c>
      <c r="I27" s="3482" t="s">
        <v>3256</v>
      </c>
      <c r="J27" s="3482" t="s">
        <v>3571</v>
      </c>
      <c r="K27" s="3482">
        <v>57700</v>
      </c>
      <c r="L27" s="3482">
        <v>2759.59</v>
      </c>
      <c r="M27" s="3482">
        <v>0</v>
      </c>
      <c r="N27" s="3482" t="s">
        <v>3197</v>
      </c>
    </row>
    <row r="28" spans="1:14">
      <c r="A28" s="3482" t="s">
        <v>3570</v>
      </c>
      <c r="B28" s="3482" t="s">
        <v>3204</v>
      </c>
      <c r="C28" s="3482" t="s">
        <v>3208</v>
      </c>
      <c r="D28" s="3482" t="s">
        <v>3202</v>
      </c>
      <c r="E28" s="3482" t="s">
        <v>3207</v>
      </c>
      <c r="F28" s="3482">
        <v>118627.3</v>
      </c>
      <c r="G28" s="3482">
        <v>332156.40000000002</v>
      </c>
      <c r="H28" s="3482" t="s">
        <v>3453</v>
      </c>
      <c r="I28" s="3482" t="s">
        <v>3547</v>
      </c>
      <c r="J28" s="3482" t="s">
        <v>3569</v>
      </c>
      <c r="K28" s="3482">
        <v>91000</v>
      </c>
      <c r="L28" s="3482">
        <v>2739.67</v>
      </c>
      <c r="M28" s="3482">
        <v>40</v>
      </c>
      <c r="N28" s="3482" t="s">
        <v>3206</v>
      </c>
    </row>
    <row r="29" spans="1:14">
      <c r="A29" s="3482" t="s">
        <v>3568</v>
      </c>
      <c r="B29" s="3482" t="s">
        <v>3204</v>
      </c>
      <c r="C29" s="3482" t="s">
        <v>3203</v>
      </c>
      <c r="D29" s="3482" t="s">
        <v>3271</v>
      </c>
      <c r="E29" s="3482" t="s">
        <v>3567</v>
      </c>
      <c r="F29" s="3482">
        <v>34915.480000000003</v>
      </c>
      <c r="G29" s="3482">
        <v>52373.22</v>
      </c>
      <c r="H29" s="3482" t="s">
        <v>3303</v>
      </c>
      <c r="I29" s="3482" t="s">
        <v>3566</v>
      </c>
      <c r="J29" s="3482" t="s">
        <v>3565</v>
      </c>
      <c r="K29" s="3482">
        <v>13980</v>
      </c>
      <c r="L29" s="3482">
        <v>2669.3</v>
      </c>
      <c r="M29" s="3482" t="s">
        <v>2817</v>
      </c>
      <c r="N29" s="3482" t="s">
        <v>3197</v>
      </c>
    </row>
    <row r="30" spans="1:14">
      <c r="A30" s="3482" t="s">
        <v>3564</v>
      </c>
      <c r="B30" s="3482" t="s">
        <v>3204</v>
      </c>
      <c r="C30" s="3482" t="s">
        <v>3208</v>
      </c>
      <c r="D30" s="3482" t="s">
        <v>3271</v>
      </c>
      <c r="E30" s="3482" t="s">
        <v>3350</v>
      </c>
      <c r="F30" s="3482">
        <v>49197.48</v>
      </c>
      <c r="G30" s="3482">
        <v>137752.9</v>
      </c>
      <c r="H30" s="3482" t="s">
        <v>3563</v>
      </c>
      <c r="I30" s="3482" t="s">
        <v>3523</v>
      </c>
      <c r="J30" s="3482" t="s">
        <v>3562</v>
      </c>
      <c r="K30" s="3482">
        <v>34100</v>
      </c>
      <c r="L30" s="3482">
        <v>2475.44</v>
      </c>
      <c r="M30" s="3482">
        <v>0</v>
      </c>
      <c r="N30" s="3482" t="s">
        <v>3521</v>
      </c>
    </row>
    <row r="31" spans="1:14">
      <c r="A31" s="3482" t="s">
        <v>3561</v>
      </c>
      <c r="B31" s="3482" t="s">
        <v>3204</v>
      </c>
      <c r="C31" s="3482" t="s">
        <v>3203</v>
      </c>
      <c r="D31" s="3482" t="s">
        <v>3202</v>
      </c>
      <c r="E31" s="3482" t="s">
        <v>3201</v>
      </c>
      <c r="F31" s="3482">
        <v>53119.63</v>
      </c>
      <c r="G31" s="3482">
        <v>148735</v>
      </c>
      <c r="H31" s="3482" t="s">
        <v>3453</v>
      </c>
      <c r="I31" s="3482" t="s">
        <v>3424</v>
      </c>
      <c r="J31" s="3482" t="s">
        <v>3559</v>
      </c>
      <c r="K31" s="3482">
        <v>36660</v>
      </c>
      <c r="L31" s="3482">
        <v>2464.7800000000002</v>
      </c>
      <c r="M31" s="3482">
        <v>0</v>
      </c>
      <c r="N31" s="3482" t="s">
        <v>3197</v>
      </c>
    </row>
    <row r="32" spans="1:14">
      <c r="A32" s="3482" t="s">
        <v>3558</v>
      </c>
      <c r="B32" s="3482" t="s">
        <v>3204</v>
      </c>
      <c r="C32" s="3482" t="s">
        <v>3203</v>
      </c>
      <c r="D32" s="3482" t="s">
        <v>3202</v>
      </c>
      <c r="E32" s="3482" t="s">
        <v>3201</v>
      </c>
      <c r="F32" s="3482">
        <v>68644.55</v>
      </c>
      <c r="G32" s="3482">
        <v>102966.8</v>
      </c>
      <c r="H32" s="3482" t="s">
        <v>3539</v>
      </c>
      <c r="I32" s="3482" t="s">
        <v>3438</v>
      </c>
      <c r="J32" s="3482" t="s">
        <v>3560</v>
      </c>
      <c r="K32" s="3482">
        <v>25280</v>
      </c>
      <c r="L32" s="3482">
        <v>2455.15</v>
      </c>
      <c r="M32" s="3482" t="s">
        <v>2817</v>
      </c>
      <c r="N32" s="3482" t="s">
        <v>3197</v>
      </c>
    </row>
    <row r="33" spans="1:14">
      <c r="A33" s="3482" t="s">
        <v>3558</v>
      </c>
      <c r="B33" s="3482" t="s">
        <v>3204</v>
      </c>
      <c r="C33" s="3482" t="s">
        <v>3203</v>
      </c>
      <c r="D33" s="3482" t="s">
        <v>3202</v>
      </c>
      <c r="E33" s="3482" t="s">
        <v>3201</v>
      </c>
      <c r="F33" s="3482">
        <v>124317.3</v>
      </c>
      <c r="G33" s="3482">
        <v>186475.9</v>
      </c>
      <c r="H33" s="3482" t="s">
        <v>3539</v>
      </c>
      <c r="I33" s="3482" t="s">
        <v>3438</v>
      </c>
      <c r="J33" s="3482" t="s">
        <v>3559</v>
      </c>
      <c r="K33" s="3482">
        <v>45775</v>
      </c>
      <c r="L33" s="3482">
        <v>2454.73</v>
      </c>
      <c r="M33" s="3482" t="s">
        <v>2817</v>
      </c>
      <c r="N33" s="3482" t="s">
        <v>3197</v>
      </c>
    </row>
    <row r="34" spans="1:14">
      <c r="A34" s="3482" t="s">
        <v>3558</v>
      </c>
      <c r="B34" s="3482" t="s">
        <v>3204</v>
      </c>
      <c r="C34" s="3482" t="s">
        <v>3203</v>
      </c>
      <c r="D34" s="3482" t="s">
        <v>3202</v>
      </c>
      <c r="E34" s="3482" t="s">
        <v>3201</v>
      </c>
      <c r="F34" s="3482">
        <v>93024.68</v>
      </c>
      <c r="G34" s="3482">
        <v>139537</v>
      </c>
      <c r="H34" s="3482" t="s">
        <v>3539</v>
      </c>
      <c r="I34" s="3482" t="s">
        <v>3438</v>
      </c>
      <c r="J34" s="3482" t="s">
        <v>3557</v>
      </c>
      <c r="K34" s="3482">
        <v>34225</v>
      </c>
      <c r="L34" s="3482">
        <v>2452.75</v>
      </c>
      <c r="M34" s="3482" t="s">
        <v>2817</v>
      </c>
      <c r="N34" s="3482" t="s">
        <v>3197</v>
      </c>
    </row>
    <row r="35" spans="1:14">
      <c r="A35" s="3482" t="s">
        <v>3556</v>
      </c>
      <c r="B35" s="3482" t="s">
        <v>3204</v>
      </c>
      <c r="C35" s="3482" t="s">
        <v>3208</v>
      </c>
      <c r="D35" s="3482" t="s">
        <v>3202</v>
      </c>
      <c r="E35" s="3482" t="s">
        <v>3555</v>
      </c>
      <c r="F35" s="3482">
        <v>78116.039999999994</v>
      </c>
      <c r="G35" s="3482">
        <v>185058.3</v>
      </c>
      <c r="H35" s="3482" t="s">
        <v>3554</v>
      </c>
      <c r="I35" s="3482" t="s">
        <v>3233</v>
      </c>
      <c r="J35" s="3482" t="s">
        <v>3553</v>
      </c>
      <c r="K35" s="3482">
        <v>44600</v>
      </c>
      <c r="L35" s="3482">
        <v>2410.0500000000002</v>
      </c>
      <c r="M35" s="3482">
        <v>0</v>
      </c>
      <c r="N35" s="3482" t="s">
        <v>3552</v>
      </c>
    </row>
    <row r="36" spans="1:14">
      <c r="A36" s="3482" t="s">
        <v>3551</v>
      </c>
      <c r="B36" s="3482" t="s">
        <v>3204</v>
      </c>
      <c r="C36" s="3482" t="s">
        <v>3203</v>
      </c>
      <c r="D36" s="3482" t="s">
        <v>3271</v>
      </c>
      <c r="E36" s="3482" t="s">
        <v>3201</v>
      </c>
      <c r="F36" s="3482">
        <v>16700.560000000001</v>
      </c>
      <c r="G36" s="3482">
        <v>58451.96</v>
      </c>
      <c r="H36" s="3482" t="s">
        <v>3313</v>
      </c>
      <c r="I36" s="3482" t="s">
        <v>3355</v>
      </c>
      <c r="J36" s="3482" t="s">
        <v>3549</v>
      </c>
      <c r="K36" s="3482">
        <v>14055</v>
      </c>
      <c r="L36" s="3482">
        <v>2404.5300000000002</v>
      </c>
      <c r="M36" s="3482">
        <v>0</v>
      </c>
      <c r="N36" s="3482" t="s">
        <v>3197</v>
      </c>
    </row>
    <row r="37" spans="1:14">
      <c r="A37" s="3482" t="s">
        <v>3550</v>
      </c>
      <c r="B37" s="3482" t="s">
        <v>3204</v>
      </c>
      <c r="C37" s="3482" t="s">
        <v>3203</v>
      </c>
      <c r="D37" s="3482" t="s">
        <v>3271</v>
      </c>
      <c r="E37" s="3482" t="s">
        <v>3201</v>
      </c>
      <c r="F37" s="3482">
        <v>5482.03</v>
      </c>
      <c r="G37" s="3482">
        <v>19187.11</v>
      </c>
      <c r="H37" s="3482" t="s">
        <v>3313</v>
      </c>
      <c r="I37" s="3482" t="s">
        <v>3355</v>
      </c>
      <c r="J37" s="3482" t="s">
        <v>3549</v>
      </c>
      <c r="K37" s="3482">
        <v>4600</v>
      </c>
      <c r="L37" s="3482">
        <v>2397.44</v>
      </c>
      <c r="M37" s="3482">
        <v>0</v>
      </c>
      <c r="N37" s="3482" t="s">
        <v>3197</v>
      </c>
    </row>
    <row r="38" spans="1:14">
      <c r="A38" s="3482" t="s">
        <v>3548</v>
      </c>
      <c r="B38" s="3482" t="s">
        <v>3204</v>
      </c>
      <c r="C38" s="3482" t="s">
        <v>3208</v>
      </c>
      <c r="D38" s="3482" t="s">
        <v>3202</v>
      </c>
      <c r="E38" s="3482" t="s">
        <v>3207</v>
      </c>
      <c r="F38" s="3482">
        <v>9847.2099999999991</v>
      </c>
      <c r="G38" s="3482">
        <v>19694.419999999998</v>
      </c>
      <c r="H38" s="3482" t="s">
        <v>3408</v>
      </c>
      <c r="I38" s="3482" t="s">
        <v>3547</v>
      </c>
      <c r="J38" s="3482" t="s">
        <v>3546</v>
      </c>
      <c r="K38" s="3482">
        <v>4680</v>
      </c>
      <c r="L38" s="3482">
        <v>2376.3000000000002</v>
      </c>
      <c r="M38" s="3482">
        <v>0</v>
      </c>
      <c r="N38" s="3482" t="s">
        <v>3206</v>
      </c>
    </row>
    <row r="39" spans="1:14">
      <c r="A39" s="3482" t="s">
        <v>3545</v>
      </c>
      <c r="B39" s="3482" t="s">
        <v>3204</v>
      </c>
      <c r="C39" s="3482" t="s">
        <v>3208</v>
      </c>
      <c r="D39" s="3482" t="s">
        <v>3202</v>
      </c>
      <c r="E39" s="3482" t="s">
        <v>3350</v>
      </c>
      <c r="F39" s="3482">
        <v>15445.22</v>
      </c>
      <c r="G39" s="3482">
        <v>32434.959999999999</v>
      </c>
      <c r="H39" s="3482" t="s">
        <v>3544</v>
      </c>
      <c r="I39" s="3482" t="s">
        <v>3543</v>
      </c>
      <c r="J39" s="3482" t="s">
        <v>3542</v>
      </c>
      <c r="K39" s="3482">
        <v>7600</v>
      </c>
      <c r="L39" s="3482">
        <v>2343.15</v>
      </c>
      <c r="M39" s="3482">
        <v>0</v>
      </c>
      <c r="N39" s="3482" t="s">
        <v>3266</v>
      </c>
    </row>
    <row r="40" spans="1:14">
      <c r="A40" s="3482" t="s">
        <v>3541</v>
      </c>
      <c r="B40" s="3482" t="s">
        <v>3204</v>
      </c>
      <c r="C40" s="3482" t="s">
        <v>3203</v>
      </c>
      <c r="D40" s="3482" t="s">
        <v>3202</v>
      </c>
      <c r="E40" s="3482" t="s">
        <v>3203</v>
      </c>
      <c r="F40" s="3482">
        <v>89425</v>
      </c>
      <c r="G40" s="3482">
        <v>134137.5</v>
      </c>
      <c r="H40" s="3482" t="s">
        <v>3539</v>
      </c>
      <c r="I40" s="3482" t="s">
        <v>3335</v>
      </c>
      <c r="J40" s="3482" t="s">
        <v>3538</v>
      </c>
      <c r="K40" s="3482">
        <v>31350</v>
      </c>
      <c r="L40" s="3482">
        <v>2337.15</v>
      </c>
      <c r="M40" s="3482">
        <v>1.62</v>
      </c>
      <c r="N40" s="3482" t="s">
        <v>3197</v>
      </c>
    </row>
    <row r="41" spans="1:14">
      <c r="A41" s="3482" t="s">
        <v>3540</v>
      </c>
      <c r="B41" s="3482" t="s">
        <v>3204</v>
      </c>
      <c r="C41" s="3482" t="s">
        <v>3203</v>
      </c>
      <c r="D41" s="3482" t="s">
        <v>3202</v>
      </c>
      <c r="E41" s="3482" t="s">
        <v>3203</v>
      </c>
      <c r="F41" s="3482">
        <v>91483</v>
      </c>
      <c r="G41" s="3482">
        <v>137224.5</v>
      </c>
      <c r="H41" s="3482" t="s">
        <v>3539</v>
      </c>
      <c r="I41" s="3482" t="s">
        <v>3335</v>
      </c>
      <c r="J41" s="3482" t="s">
        <v>3538</v>
      </c>
      <c r="K41" s="3482">
        <v>32040</v>
      </c>
      <c r="L41" s="3482">
        <v>2334.86</v>
      </c>
      <c r="M41" s="3482">
        <v>1.59</v>
      </c>
      <c r="N41" s="3482" t="s">
        <v>3197</v>
      </c>
    </row>
    <row r="42" spans="1:14">
      <c r="A42" s="3482" t="s">
        <v>3537</v>
      </c>
      <c r="B42" s="3482" t="s">
        <v>3204</v>
      </c>
      <c r="C42" s="3482" t="s">
        <v>3203</v>
      </c>
      <c r="D42" s="3482" t="s">
        <v>3202</v>
      </c>
      <c r="E42" s="3482" t="s">
        <v>3203</v>
      </c>
      <c r="F42" s="3482">
        <v>186242.3</v>
      </c>
      <c r="G42" s="3482">
        <v>465605.6</v>
      </c>
      <c r="H42" s="3482" t="s">
        <v>3486</v>
      </c>
      <c r="I42" s="3482" t="s">
        <v>3292</v>
      </c>
      <c r="J42" s="3482" t="s">
        <v>3536</v>
      </c>
      <c r="K42" s="3482">
        <v>106255</v>
      </c>
      <c r="L42" s="3482">
        <v>2282.0700000000002</v>
      </c>
      <c r="M42" s="3482">
        <v>0</v>
      </c>
      <c r="N42" s="3482" t="s">
        <v>3197</v>
      </c>
    </row>
    <row r="43" spans="1:14">
      <c r="A43" s="3482" t="s">
        <v>3535</v>
      </c>
      <c r="B43" s="3482" t="s">
        <v>3204</v>
      </c>
      <c r="C43" s="3482" t="s">
        <v>3208</v>
      </c>
      <c r="D43" s="3482" t="s">
        <v>3202</v>
      </c>
      <c r="E43" s="3482" t="s">
        <v>3294</v>
      </c>
      <c r="F43" s="3482">
        <v>134726.20000000001</v>
      </c>
      <c r="G43" s="3482">
        <v>336815.6</v>
      </c>
      <c r="H43" s="3482" t="s">
        <v>3486</v>
      </c>
      <c r="I43" s="3482" t="s">
        <v>3292</v>
      </c>
      <c r="J43" s="3482" t="s">
        <v>3534</v>
      </c>
      <c r="K43" s="3482">
        <v>76500</v>
      </c>
      <c r="L43" s="3482">
        <v>2271.2600000000002</v>
      </c>
      <c r="M43" s="3482">
        <v>0</v>
      </c>
      <c r="N43" s="3482" t="s">
        <v>3290</v>
      </c>
    </row>
    <row r="44" spans="1:14">
      <c r="A44" s="3482" t="s">
        <v>3533</v>
      </c>
      <c r="B44" s="3482" t="s">
        <v>3204</v>
      </c>
      <c r="C44" s="3482" t="s">
        <v>3208</v>
      </c>
      <c r="D44" s="3482" t="s">
        <v>3202</v>
      </c>
      <c r="E44" s="3482" t="s">
        <v>3294</v>
      </c>
      <c r="F44" s="3482">
        <v>57436.1</v>
      </c>
      <c r="G44" s="3482">
        <v>160821.1</v>
      </c>
      <c r="H44" s="3482" t="s">
        <v>3532</v>
      </c>
      <c r="I44" s="3482" t="s">
        <v>3335</v>
      </c>
      <c r="J44" s="3482" t="s">
        <v>3531</v>
      </c>
      <c r="K44" s="3482">
        <v>36185</v>
      </c>
      <c r="L44" s="3482">
        <v>2250.0100000000002</v>
      </c>
      <c r="M44" s="3482">
        <v>0</v>
      </c>
      <c r="N44" s="3482" t="s">
        <v>3290</v>
      </c>
    </row>
    <row r="45" spans="1:14">
      <c r="A45" s="3482" t="s">
        <v>3530</v>
      </c>
      <c r="B45" s="3482" t="s">
        <v>3204</v>
      </c>
      <c r="C45" s="3482" t="s">
        <v>3208</v>
      </c>
      <c r="D45" s="3482" t="s">
        <v>3202</v>
      </c>
      <c r="E45" s="3482" t="s">
        <v>3529</v>
      </c>
      <c r="F45" s="3482">
        <v>63843.21</v>
      </c>
      <c r="G45" s="3482">
        <v>217066.9</v>
      </c>
      <c r="H45" s="3482" t="s">
        <v>3528</v>
      </c>
      <c r="I45" s="3482" t="s">
        <v>3527</v>
      </c>
      <c r="J45" s="3482" t="s">
        <v>3526</v>
      </c>
      <c r="K45" s="3482">
        <v>48800</v>
      </c>
      <c r="L45" s="3482">
        <v>2248.15</v>
      </c>
      <c r="M45" s="3482">
        <v>0</v>
      </c>
      <c r="N45" s="3482" t="s">
        <v>3525</v>
      </c>
    </row>
    <row r="46" spans="1:14" s="3483" customFormat="1">
      <c r="A46" s="3482" t="s">
        <v>3524</v>
      </c>
      <c r="B46" s="3482" t="s">
        <v>3204</v>
      </c>
      <c r="C46" s="3482" t="s">
        <v>3208</v>
      </c>
      <c r="D46" s="3482" t="s">
        <v>3271</v>
      </c>
      <c r="E46" s="3482" t="s">
        <v>3350</v>
      </c>
      <c r="F46" s="3482">
        <v>30688.77</v>
      </c>
      <c r="G46" s="3482">
        <v>107410.7</v>
      </c>
      <c r="H46" s="3482" t="s">
        <v>3216</v>
      </c>
      <c r="I46" s="3482" t="s">
        <v>3523</v>
      </c>
      <c r="J46" s="3482" t="s">
        <v>3522</v>
      </c>
      <c r="K46" s="3482">
        <v>23700</v>
      </c>
      <c r="L46" s="3482">
        <v>2206.48</v>
      </c>
      <c r="M46" s="3482">
        <v>0</v>
      </c>
      <c r="N46" s="3482" t="s">
        <v>3521</v>
      </c>
    </row>
    <row r="47" spans="1:14" s="3483" customFormat="1">
      <c r="A47" s="3482" t="s">
        <v>3520</v>
      </c>
      <c r="B47" s="3482" t="s">
        <v>3204</v>
      </c>
      <c r="C47" s="3482" t="s">
        <v>3203</v>
      </c>
      <c r="D47" s="3482" t="s">
        <v>3202</v>
      </c>
      <c r="E47" s="3482" t="s">
        <v>3201</v>
      </c>
      <c r="F47" s="3482">
        <v>24149.599999999999</v>
      </c>
      <c r="G47" s="3482">
        <v>79693.679999999993</v>
      </c>
      <c r="H47" s="3482" t="s">
        <v>3230</v>
      </c>
      <c r="I47" s="3482" t="s">
        <v>3519</v>
      </c>
      <c r="J47" s="3482" t="s">
        <v>3518</v>
      </c>
      <c r="K47" s="3482">
        <v>17500</v>
      </c>
      <c r="L47" s="3482">
        <v>2195.9</v>
      </c>
      <c r="M47" s="3482">
        <v>0</v>
      </c>
      <c r="N47" s="3482" t="s">
        <v>3197</v>
      </c>
    </row>
    <row r="48" spans="1:14">
      <c r="A48" s="3482" t="s">
        <v>3517</v>
      </c>
      <c r="B48" s="3482" t="s">
        <v>3204</v>
      </c>
      <c r="C48" s="3482" t="s">
        <v>3208</v>
      </c>
      <c r="D48" s="3482" t="s">
        <v>3202</v>
      </c>
      <c r="E48" s="3482" t="s">
        <v>3294</v>
      </c>
      <c r="F48" s="3482">
        <v>85139.29</v>
      </c>
      <c r="G48" s="3482">
        <v>178792.5</v>
      </c>
      <c r="H48" s="3482" t="s">
        <v>3516</v>
      </c>
      <c r="I48" s="3482" t="s">
        <v>3501</v>
      </c>
      <c r="J48" s="3482" t="s">
        <v>3500</v>
      </c>
      <c r="K48" s="3482">
        <v>38010</v>
      </c>
      <c r="L48" s="3482">
        <v>2125.92</v>
      </c>
      <c r="M48" s="3482">
        <v>0</v>
      </c>
      <c r="N48" s="3482" t="s">
        <v>3290</v>
      </c>
    </row>
    <row r="49" spans="1:14">
      <c r="A49" s="3482" t="s">
        <v>3515</v>
      </c>
      <c r="B49" s="3482" t="s">
        <v>3204</v>
      </c>
      <c r="C49" s="3482" t="s">
        <v>3203</v>
      </c>
      <c r="D49" s="3482" t="s">
        <v>3202</v>
      </c>
      <c r="E49" s="3482" t="s">
        <v>3201</v>
      </c>
      <c r="F49" s="3482">
        <v>51111.82</v>
      </c>
      <c r="G49" s="3482">
        <v>150779.9</v>
      </c>
      <c r="H49" s="3482" t="s">
        <v>3514</v>
      </c>
      <c r="I49" s="3482" t="s">
        <v>3513</v>
      </c>
      <c r="J49" s="3482" t="s">
        <v>3512</v>
      </c>
      <c r="K49" s="3482">
        <v>31705</v>
      </c>
      <c r="L49" s="3482">
        <v>2102.73</v>
      </c>
      <c r="M49" s="3482">
        <v>0</v>
      </c>
      <c r="N49" s="3482" t="s">
        <v>3197</v>
      </c>
    </row>
    <row r="50" spans="1:14">
      <c r="A50" s="3482" t="s">
        <v>3511</v>
      </c>
      <c r="B50" s="3482" t="s">
        <v>3204</v>
      </c>
      <c r="C50" s="3482" t="s">
        <v>3203</v>
      </c>
      <c r="D50" s="3482" t="s">
        <v>3202</v>
      </c>
      <c r="E50" s="3482" t="s">
        <v>3212</v>
      </c>
      <c r="F50" s="3482">
        <v>30518.48</v>
      </c>
      <c r="G50" s="3482">
        <v>76296.2</v>
      </c>
      <c r="H50" s="3482" t="s">
        <v>3492</v>
      </c>
      <c r="I50" s="3482" t="s">
        <v>3491</v>
      </c>
      <c r="J50" s="3482" t="s">
        <v>3510</v>
      </c>
      <c r="K50" s="3482">
        <v>15600</v>
      </c>
      <c r="L50" s="3482">
        <v>2044.66</v>
      </c>
      <c r="M50" s="3482">
        <v>0</v>
      </c>
      <c r="N50" s="3482" t="s">
        <v>3197</v>
      </c>
    </row>
    <row r="51" spans="1:14">
      <c r="A51" s="3482" t="s">
        <v>3509</v>
      </c>
      <c r="B51" s="3482" t="s">
        <v>3204</v>
      </c>
      <c r="C51" s="3482" t="s">
        <v>3203</v>
      </c>
      <c r="D51" s="3482" t="s">
        <v>3202</v>
      </c>
      <c r="E51" s="3482" t="s">
        <v>3212</v>
      </c>
      <c r="F51" s="3482">
        <v>149195.20000000001</v>
      </c>
      <c r="G51" s="3482">
        <v>298390.40000000002</v>
      </c>
      <c r="H51" s="3482" t="s">
        <v>3508</v>
      </c>
      <c r="I51" s="3482" t="s">
        <v>3507</v>
      </c>
      <c r="J51" s="3482" t="s">
        <v>3490</v>
      </c>
      <c r="K51" s="3482">
        <v>60770</v>
      </c>
      <c r="L51" s="3482">
        <v>2036.58</v>
      </c>
      <c r="M51" s="3482">
        <v>0</v>
      </c>
      <c r="N51" s="3482" t="s">
        <v>3197</v>
      </c>
    </row>
    <row r="52" spans="1:14">
      <c r="A52" s="3482" t="s">
        <v>3506</v>
      </c>
      <c r="B52" s="3482" t="s">
        <v>3204</v>
      </c>
      <c r="C52" s="3482" t="s">
        <v>3208</v>
      </c>
      <c r="D52" s="3482" t="s">
        <v>3202</v>
      </c>
      <c r="E52" s="3482" t="s">
        <v>3207</v>
      </c>
      <c r="F52" s="3482">
        <v>20486.919999999998</v>
      </c>
      <c r="G52" s="3482">
        <v>71704.22</v>
      </c>
      <c r="H52" s="3482" t="s">
        <v>3402</v>
      </c>
      <c r="I52" s="3482" t="s">
        <v>3505</v>
      </c>
      <c r="J52" s="3482" t="s">
        <v>3504</v>
      </c>
      <c r="K52" s="3482">
        <v>14346</v>
      </c>
      <c r="L52" s="3482">
        <v>2000.72</v>
      </c>
      <c r="M52" s="3482">
        <v>0</v>
      </c>
      <c r="N52" s="3482" t="s">
        <v>3206</v>
      </c>
    </row>
    <row r="53" spans="1:14">
      <c r="A53" s="3482" t="s">
        <v>3503</v>
      </c>
      <c r="B53" s="3482" t="s">
        <v>3204</v>
      </c>
      <c r="C53" s="3482" t="s">
        <v>3208</v>
      </c>
      <c r="D53" s="3482" t="s">
        <v>3202</v>
      </c>
      <c r="E53" s="3482" t="s">
        <v>3294</v>
      </c>
      <c r="F53" s="3482">
        <v>74286.84</v>
      </c>
      <c r="G53" s="3482">
        <v>185717.1</v>
      </c>
      <c r="H53" s="3482" t="s">
        <v>3502</v>
      </c>
      <c r="I53" s="3482" t="s">
        <v>3501</v>
      </c>
      <c r="J53" s="3482" t="s">
        <v>3500</v>
      </c>
      <c r="K53" s="3482">
        <v>35320</v>
      </c>
      <c r="L53" s="3482">
        <v>1901.81</v>
      </c>
      <c r="M53" s="3482">
        <v>0</v>
      </c>
      <c r="N53" s="3482" t="s">
        <v>3290</v>
      </c>
    </row>
    <row r="54" spans="1:14" s="3483" customFormat="1">
      <c r="A54" s="3482" t="s">
        <v>3499</v>
      </c>
      <c r="B54" s="3482" t="s">
        <v>3204</v>
      </c>
      <c r="C54" s="3482" t="s">
        <v>3208</v>
      </c>
      <c r="D54" s="3482" t="s">
        <v>3202</v>
      </c>
      <c r="E54" s="3482" t="s">
        <v>3498</v>
      </c>
      <c r="F54" s="3482">
        <v>84470.8</v>
      </c>
      <c r="G54" s="3482">
        <v>329436.09999999998</v>
      </c>
      <c r="H54" s="3482" t="s">
        <v>3497</v>
      </c>
      <c r="I54" s="3482" t="s">
        <v>3496</v>
      </c>
      <c r="J54" s="3482" t="s">
        <v>3495</v>
      </c>
      <c r="K54" s="3482">
        <v>60000</v>
      </c>
      <c r="L54" s="3482">
        <v>1821.28</v>
      </c>
      <c r="M54" s="3482">
        <v>0</v>
      </c>
      <c r="N54" s="3482" t="s">
        <v>3494</v>
      </c>
    </row>
    <row r="55" spans="1:14">
      <c r="A55" s="3482" t="s">
        <v>3493</v>
      </c>
      <c r="B55" s="3482" t="s">
        <v>3204</v>
      </c>
      <c r="C55" s="3482" t="s">
        <v>3203</v>
      </c>
      <c r="D55" s="3482" t="s">
        <v>3202</v>
      </c>
      <c r="E55" s="3482" t="s">
        <v>3212</v>
      </c>
      <c r="F55" s="3482">
        <v>68682.22</v>
      </c>
      <c r="G55" s="3482">
        <v>171705.5</v>
      </c>
      <c r="H55" s="3482" t="s">
        <v>3492</v>
      </c>
      <c r="I55" s="3482" t="s">
        <v>3491</v>
      </c>
      <c r="J55" s="3482" t="s">
        <v>3490</v>
      </c>
      <c r="K55" s="3482">
        <v>30770</v>
      </c>
      <c r="L55" s="3482">
        <v>1792.01</v>
      </c>
      <c r="M55" s="3482">
        <v>0</v>
      </c>
      <c r="N55" s="3482" t="s">
        <v>3197</v>
      </c>
    </row>
    <row r="56" spans="1:14">
      <c r="A56" s="3482" t="s">
        <v>3489</v>
      </c>
      <c r="B56" s="3482" t="s">
        <v>3204</v>
      </c>
      <c r="C56" s="3482" t="s">
        <v>3208</v>
      </c>
      <c r="D56" s="3482" t="s">
        <v>3202</v>
      </c>
      <c r="E56" s="3482" t="s">
        <v>3207</v>
      </c>
      <c r="F56" s="3482">
        <v>121784.5</v>
      </c>
      <c r="G56" s="3482">
        <v>340996.7</v>
      </c>
      <c r="H56" s="3482" t="s">
        <v>3453</v>
      </c>
      <c r="I56" s="3482" t="s">
        <v>3297</v>
      </c>
      <c r="J56" s="3482" t="s">
        <v>3488</v>
      </c>
      <c r="K56" s="3482">
        <v>60750</v>
      </c>
      <c r="L56" s="3482">
        <v>1781.53</v>
      </c>
      <c r="M56" s="3482">
        <v>0</v>
      </c>
      <c r="N56" s="3482" t="s">
        <v>3206</v>
      </c>
    </row>
    <row r="57" spans="1:14">
      <c r="A57" s="3482" t="s">
        <v>3487</v>
      </c>
      <c r="B57" s="3482" t="s">
        <v>3204</v>
      </c>
      <c r="C57" s="3482" t="s">
        <v>3203</v>
      </c>
      <c r="D57" s="3482" t="s">
        <v>3202</v>
      </c>
      <c r="E57" s="3482" t="s">
        <v>3201</v>
      </c>
      <c r="F57" s="3482">
        <v>221200.9</v>
      </c>
      <c r="G57" s="3482">
        <v>553002.4</v>
      </c>
      <c r="H57" s="3482" t="s">
        <v>3486</v>
      </c>
      <c r="I57" s="3482" t="s">
        <v>3485</v>
      </c>
      <c r="J57" s="3482" t="s">
        <v>3484</v>
      </c>
      <c r="K57" s="3482">
        <v>97150</v>
      </c>
      <c r="L57" s="3482">
        <v>1756.76</v>
      </c>
      <c r="M57" s="3482">
        <v>0</v>
      </c>
      <c r="N57" s="3482" t="s">
        <v>3197</v>
      </c>
    </row>
    <row r="58" spans="1:14">
      <c r="A58" s="3482" t="s">
        <v>3483</v>
      </c>
      <c r="B58" s="3482" t="s">
        <v>3204</v>
      </c>
      <c r="C58" s="3482" t="s">
        <v>3208</v>
      </c>
      <c r="D58" s="3482" t="s">
        <v>3202</v>
      </c>
      <c r="E58" s="3482" t="s">
        <v>3207</v>
      </c>
      <c r="F58" s="3482">
        <v>96366.52</v>
      </c>
      <c r="G58" s="3482">
        <v>481832.6</v>
      </c>
      <c r="H58" s="3482" t="s">
        <v>3482</v>
      </c>
      <c r="I58" s="3482" t="s">
        <v>3387</v>
      </c>
      <c r="J58" s="3482" t="s">
        <v>3481</v>
      </c>
      <c r="K58" s="3482">
        <v>83075</v>
      </c>
      <c r="L58" s="3482">
        <v>1724.15</v>
      </c>
      <c r="M58" s="3482">
        <v>0</v>
      </c>
      <c r="N58" s="3482" t="s">
        <v>3206</v>
      </c>
    </row>
    <row r="59" spans="1:14">
      <c r="A59" s="3482" t="s">
        <v>3480</v>
      </c>
      <c r="B59" s="3482" t="s">
        <v>3204</v>
      </c>
      <c r="C59" s="3482" t="s">
        <v>3203</v>
      </c>
      <c r="D59" s="3482" t="s">
        <v>3202</v>
      </c>
      <c r="E59" s="3482" t="s">
        <v>3201</v>
      </c>
      <c r="F59" s="3482">
        <v>18568.13</v>
      </c>
      <c r="G59" s="3482">
        <v>88755.66</v>
      </c>
      <c r="H59" s="3482" t="s">
        <v>3479</v>
      </c>
      <c r="I59" s="3482" t="s">
        <v>3397</v>
      </c>
      <c r="J59" s="3482" t="s">
        <v>3478</v>
      </c>
      <c r="K59" s="3482">
        <v>14712</v>
      </c>
      <c r="L59" s="3482">
        <v>1657.57</v>
      </c>
      <c r="M59" s="3482">
        <v>0</v>
      </c>
      <c r="N59" s="3482" t="s">
        <v>3197</v>
      </c>
    </row>
    <row r="60" spans="1:14">
      <c r="A60" s="3482" t="s">
        <v>3477</v>
      </c>
      <c r="B60" s="3482" t="s">
        <v>3204</v>
      </c>
      <c r="C60" s="3482" t="s">
        <v>3203</v>
      </c>
      <c r="D60" s="3482" t="s">
        <v>3202</v>
      </c>
      <c r="E60" s="3482" t="s">
        <v>3201</v>
      </c>
      <c r="F60" s="3482">
        <v>17496.77</v>
      </c>
      <c r="G60" s="3482">
        <v>78735.460000000006</v>
      </c>
      <c r="H60" s="3482" t="s">
        <v>3476</v>
      </c>
      <c r="I60" s="3482" t="s">
        <v>3465</v>
      </c>
      <c r="J60" s="3482" t="s">
        <v>3475</v>
      </c>
      <c r="K60" s="3482">
        <v>13017</v>
      </c>
      <c r="L60" s="3482">
        <v>1653.25</v>
      </c>
      <c r="M60" s="3482">
        <v>0</v>
      </c>
      <c r="N60" s="3482" t="s">
        <v>3197</v>
      </c>
    </row>
    <row r="61" spans="1:14">
      <c r="A61" s="3482" t="s">
        <v>3474</v>
      </c>
      <c r="B61" s="3482" t="s">
        <v>3204</v>
      </c>
      <c r="C61" s="3482" t="s">
        <v>3208</v>
      </c>
      <c r="D61" s="3482" t="s">
        <v>3271</v>
      </c>
      <c r="E61" s="3482" t="s">
        <v>3350</v>
      </c>
      <c r="F61" s="3482">
        <v>66470.490000000005</v>
      </c>
      <c r="G61" s="3482">
        <v>199411.5</v>
      </c>
      <c r="H61" s="3482" t="s">
        <v>3269</v>
      </c>
      <c r="I61" s="3482" t="s">
        <v>3473</v>
      </c>
      <c r="J61" s="3482" t="s">
        <v>3472</v>
      </c>
      <c r="K61" s="3482">
        <v>31128</v>
      </c>
      <c r="L61" s="3482">
        <v>1560.99</v>
      </c>
      <c r="M61" s="3482" t="s">
        <v>2817</v>
      </c>
      <c r="N61" s="3482" t="s">
        <v>3206</v>
      </c>
    </row>
    <row r="62" spans="1:14">
      <c r="A62" s="3482" t="s">
        <v>3471</v>
      </c>
      <c r="B62" s="3482" t="s">
        <v>3204</v>
      </c>
      <c r="C62" s="3482" t="s">
        <v>3208</v>
      </c>
      <c r="D62" s="3482" t="s">
        <v>3202</v>
      </c>
      <c r="E62" s="3482" t="s">
        <v>3207</v>
      </c>
      <c r="F62" s="3482">
        <v>54606.12</v>
      </c>
      <c r="G62" s="3482">
        <v>163818.4</v>
      </c>
      <c r="H62" s="3482" t="s">
        <v>3462</v>
      </c>
      <c r="I62" s="3482" t="s">
        <v>3470</v>
      </c>
      <c r="J62" s="3482" t="s">
        <v>3469</v>
      </c>
      <c r="K62" s="3482">
        <v>25390</v>
      </c>
      <c r="L62" s="3482">
        <v>1549.89</v>
      </c>
      <c r="M62" s="3482">
        <v>0</v>
      </c>
      <c r="N62" s="3482" t="s">
        <v>3206</v>
      </c>
    </row>
    <row r="63" spans="1:14">
      <c r="A63" s="3482" t="s">
        <v>3468</v>
      </c>
      <c r="B63" s="3482" t="s">
        <v>3204</v>
      </c>
      <c r="C63" s="3482" t="s">
        <v>3203</v>
      </c>
      <c r="D63" s="3482" t="s">
        <v>3202</v>
      </c>
      <c r="E63" s="3482" t="s">
        <v>3201</v>
      </c>
      <c r="F63" s="3482">
        <v>29467.11</v>
      </c>
      <c r="G63" s="3482">
        <v>73667.77</v>
      </c>
      <c r="H63" s="3482" t="s">
        <v>3356</v>
      </c>
      <c r="I63" s="3482" t="s">
        <v>3397</v>
      </c>
      <c r="J63" s="3482" t="s">
        <v>3414</v>
      </c>
      <c r="K63" s="3482">
        <v>11400</v>
      </c>
      <c r="L63" s="3482">
        <v>1547.49</v>
      </c>
      <c r="M63" s="3482">
        <v>0</v>
      </c>
      <c r="N63" s="3482" t="s">
        <v>3197</v>
      </c>
    </row>
    <row r="64" spans="1:14">
      <c r="A64" s="3482" t="s">
        <v>3467</v>
      </c>
      <c r="B64" s="3482" t="s">
        <v>3204</v>
      </c>
      <c r="C64" s="3482" t="s">
        <v>3203</v>
      </c>
      <c r="D64" s="3482" t="s">
        <v>3202</v>
      </c>
      <c r="E64" s="3482" t="s">
        <v>3201</v>
      </c>
      <c r="F64" s="3482">
        <v>6239.46</v>
      </c>
      <c r="G64" s="3482">
        <v>31696.46</v>
      </c>
      <c r="H64" s="3482" t="s">
        <v>3466</v>
      </c>
      <c r="I64" s="3482" t="s">
        <v>3465</v>
      </c>
      <c r="J64" s="3482" t="s">
        <v>3464</v>
      </c>
      <c r="K64" s="3482">
        <v>4902</v>
      </c>
      <c r="L64" s="3482">
        <v>1546.53</v>
      </c>
      <c r="M64" s="3482">
        <v>0</v>
      </c>
      <c r="N64" s="3482" t="s">
        <v>3197</v>
      </c>
    </row>
    <row r="65" spans="1:14">
      <c r="A65" s="3482" t="s">
        <v>3463</v>
      </c>
      <c r="B65" s="3482" t="s">
        <v>3204</v>
      </c>
      <c r="C65" s="3482" t="s">
        <v>3203</v>
      </c>
      <c r="D65" s="3482" t="s">
        <v>3202</v>
      </c>
      <c r="E65" s="3482" t="s">
        <v>3201</v>
      </c>
      <c r="F65" s="3482">
        <v>45123.33</v>
      </c>
      <c r="G65" s="3482">
        <v>135370</v>
      </c>
      <c r="H65" s="3482" t="s">
        <v>3462</v>
      </c>
      <c r="I65" s="3482" t="s">
        <v>3461</v>
      </c>
      <c r="J65" s="3482" t="s">
        <v>3460</v>
      </c>
      <c r="K65" s="3482">
        <v>20750</v>
      </c>
      <c r="L65" s="3482">
        <v>1532.83</v>
      </c>
      <c r="M65" s="3482">
        <v>0</v>
      </c>
      <c r="N65" s="3482" t="s">
        <v>3197</v>
      </c>
    </row>
    <row r="66" spans="1:14" s="3483" customFormat="1">
      <c r="A66" s="3482" t="s">
        <v>3459</v>
      </c>
      <c r="B66" s="3482" t="s">
        <v>3204</v>
      </c>
      <c r="C66" s="3482" t="s">
        <v>3208</v>
      </c>
      <c r="D66" s="3482" t="s">
        <v>3202</v>
      </c>
      <c r="E66" s="3482" t="s">
        <v>3207</v>
      </c>
      <c r="F66" s="3482">
        <v>7680.46</v>
      </c>
      <c r="G66" s="3482">
        <v>19201.150000000001</v>
      </c>
      <c r="H66" s="3482" t="s">
        <v>3356</v>
      </c>
      <c r="I66" s="3482" t="s">
        <v>3241</v>
      </c>
      <c r="J66" s="3482" t="s">
        <v>3458</v>
      </c>
      <c r="K66" s="3482">
        <v>2900</v>
      </c>
      <c r="L66" s="3482">
        <v>1510.32</v>
      </c>
      <c r="M66" s="3482">
        <v>0</v>
      </c>
      <c r="N66" s="3482" t="s">
        <v>3206</v>
      </c>
    </row>
    <row r="67" spans="1:14">
      <c r="A67" s="3482" t="s">
        <v>3457</v>
      </c>
      <c r="B67" s="3482" t="s">
        <v>3204</v>
      </c>
      <c r="C67" s="3482" t="s">
        <v>3208</v>
      </c>
      <c r="D67" s="3482" t="s">
        <v>3271</v>
      </c>
      <c r="E67" s="3482" t="s">
        <v>3350</v>
      </c>
      <c r="F67" s="3482">
        <v>14943</v>
      </c>
      <c r="G67" s="3482">
        <v>54990.239999999998</v>
      </c>
      <c r="H67" s="3482" t="s">
        <v>3456</v>
      </c>
      <c r="I67" s="3482" t="s">
        <v>3393</v>
      </c>
      <c r="J67" s="3482" t="s">
        <v>3455</v>
      </c>
      <c r="K67" s="3482">
        <v>8300</v>
      </c>
      <c r="L67" s="3482">
        <v>1509.35</v>
      </c>
      <c r="M67" s="3482">
        <v>0</v>
      </c>
      <c r="N67" s="3482" t="s">
        <v>3206</v>
      </c>
    </row>
    <row r="68" spans="1:14">
      <c r="A68" s="3482" t="s">
        <v>3454</v>
      </c>
      <c r="B68" s="3482" t="s">
        <v>3204</v>
      </c>
      <c r="C68" s="3482" t="s">
        <v>3203</v>
      </c>
      <c r="D68" s="3482" t="s">
        <v>3202</v>
      </c>
      <c r="E68" s="3482" t="s">
        <v>3207</v>
      </c>
      <c r="F68" s="3482">
        <v>44701.4</v>
      </c>
      <c r="G68" s="3482">
        <v>125163.9</v>
      </c>
      <c r="H68" s="3482" t="s">
        <v>3453</v>
      </c>
      <c r="I68" s="3482" t="s">
        <v>3452</v>
      </c>
      <c r="J68" s="3482" t="s">
        <v>3451</v>
      </c>
      <c r="K68" s="3482">
        <v>18800</v>
      </c>
      <c r="L68" s="3482">
        <v>1502.02</v>
      </c>
      <c r="M68" s="3482">
        <v>0</v>
      </c>
      <c r="N68" s="3482" t="s">
        <v>3290</v>
      </c>
    </row>
    <row r="69" spans="1:14">
      <c r="A69" s="3482" t="s">
        <v>3450</v>
      </c>
      <c r="B69" s="3482" t="s">
        <v>3204</v>
      </c>
      <c r="C69" s="3482" t="s">
        <v>3203</v>
      </c>
      <c r="D69" s="3482" t="s">
        <v>3202</v>
      </c>
      <c r="E69" s="3482" t="s">
        <v>3201</v>
      </c>
      <c r="F69" s="3482">
        <v>72021.11</v>
      </c>
      <c r="G69" s="3482">
        <v>180052.8</v>
      </c>
      <c r="H69" s="3482" t="s">
        <v>3356</v>
      </c>
      <c r="I69" s="3482" t="s">
        <v>3441</v>
      </c>
      <c r="J69" s="3482" t="s">
        <v>3440</v>
      </c>
      <c r="K69" s="3482">
        <v>26200</v>
      </c>
      <c r="L69" s="3482">
        <v>1455.13</v>
      </c>
      <c r="M69" s="3482">
        <v>0</v>
      </c>
      <c r="N69" s="3482" t="s">
        <v>3197</v>
      </c>
    </row>
    <row r="70" spans="1:14">
      <c r="A70" s="3482" t="s">
        <v>3449</v>
      </c>
      <c r="B70" s="3482" t="s">
        <v>3204</v>
      </c>
      <c r="C70" s="3482" t="s">
        <v>3203</v>
      </c>
      <c r="D70" s="3482" t="s">
        <v>3202</v>
      </c>
      <c r="E70" s="3482" t="s">
        <v>3201</v>
      </c>
      <c r="F70" s="3482">
        <v>5700.21</v>
      </c>
      <c r="G70" s="3482">
        <v>19950.740000000002</v>
      </c>
      <c r="H70" s="3482" t="s">
        <v>3402</v>
      </c>
      <c r="I70" s="3482" t="s">
        <v>3448</v>
      </c>
      <c r="J70" s="3482" t="s">
        <v>3447</v>
      </c>
      <c r="K70" s="3482">
        <v>2900</v>
      </c>
      <c r="L70" s="3482">
        <v>1453.57</v>
      </c>
      <c r="M70" s="3482" t="s">
        <v>2817</v>
      </c>
      <c r="N70" s="3482" t="s">
        <v>3197</v>
      </c>
    </row>
    <row r="71" spans="1:14">
      <c r="A71" s="3482" t="s">
        <v>3446</v>
      </c>
      <c r="B71" s="3482" t="s">
        <v>3204</v>
      </c>
      <c r="C71" s="3482" t="s">
        <v>3203</v>
      </c>
      <c r="D71" s="3482" t="s">
        <v>3202</v>
      </c>
      <c r="E71" s="3482" t="s">
        <v>3201</v>
      </c>
      <c r="F71" s="3482">
        <v>37955.11</v>
      </c>
      <c r="G71" s="3482">
        <v>94887.77</v>
      </c>
      <c r="H71" s="3482" t="s">
        <v>3356</v>
      </c>
      <c r="I71" s="3482" t="s">
        <v>3441</v>
      </c>
      <c r="J71" s="3482" t="s">
        <v>3445</v>
      </c>
      <c r="K71" s="3482">
        <v>13780</v>
      </c>
      <c r="L71" s="3482">
        <v>1452.24</v>
      </c>
      <c r="M71" s="3482">
        <v>0</v>
      </c>
      <c r="N71" s="3482" t="s">
        <v>3197</v>
      </c>
    </row>
    <row r="72" spans="1:14">
      <c r="A72" s="3482" t="s">
        <v>3444</v>
      </c>
      <c r="B72" s="3482" t="s">
        <v>3204</v>
      </c>
      <c r="C72" s="3482" t="s">
        <v>3203</v>
      </c>
      <c r="D72" s="3482" t="s">
        <v>3202</v>
      </c>
      <c r="E72" s="3482" t="s">
        <v>3201</v>
      </c>
      <c r="F72" s="3482">
        <v>40241.269999999997</v>
      </c>
      <c r="G72" s="3482">
        <v>100603.2</v>
      </c>
      <c r="H72" s="3482" t="s">
        <v>3356</v>
      </c>
      <c r="I72" s="3482" t="s">
        <v>3441</v>
      </c>
      <c r="J72" s="3482" t="s">
        <v>3443</v>
      </c>
      <c r="K72" s="3482">
        <v>14610</v>
      </c>
      <c r="L72" s="3482">
        <v>1452.24</v>
      </c>
      <c r="M72" s="3482">
        <v>0</v>
      </c>
      <c r="N72" s="3482" t="s">
        <v>3197</v>
      </c>
    </row>
    <row r="73" spans="1:14">
      <c r="A73" s="3482" t="s">
        <v>3442</v>
      </c>
      <c r="B73" s="3482" t="s">
        <v>3204</v>
      </c>
      <c r="C73" s="3482" t="s">
        <v>3203</v>
      </c>
      <c r="D73" s="3482" t="s">
        <v>3202</v>
      </c>
      <c r="E73" s="3482" t="s">
        <v>3201</v>
      </c>
      <c r="F73" s="3482">
        <v>57750.82</v>
      </c>
      <c r="G73" s="3482">
        <v>144377</v>
      </c>
      <c r="H73" s="3482" t="s">
        <v>3356</v>
      </c>
      <c r="I73" s="3482" t="s">
        <v>3441</v>
      </c>
      <c r="J73" s="3482" t="s">
        <v>3440</v>
      </c>
      <c r="K73" s="3482">
        <v>20960</v>
      </c>
      <c r="L73" s="3482">
        <v>1451.75</v>
      </c>
      <c r="M73" s="3482">
        <v>0</v>
      </c>
      <c r="N73" s="3482" t="s">
        <v>3197</v>
      </c>
    </row>
    <row r="74" spans="1:14">
      <c r="A74" s="3482" t="s">
        <v>3439</v>
      </c>
      <c r="B74" s="3482" t="s">
        <v>3204</v>
      </c>
      <c r="C74" s="3482" t="s">
        <v>3203</v>
      </c>
      <c r="D74" s="3482" t="s">
        <v>3202</v>
      </c>
      <c r="E74" s="3482" t="s">
        <v>3201</v>
      </c>
      <c r="F74" s="3482">
        <v>13994.61</v>
      </c>
      <c r="G74" s="3482">
        <v>48981.14</v>
      </c>
      <c r="H74" s="3482">
        <v>3.5</v>
      </c>
      <c r="I74" s="3482" t="s">
        <v>3438</v>
      </c>
      <c r="J74" s="3482" t="s">
        <v>3255</v>
      </c>
      <c r="K74" s="3482">
        <v>7020</v>
      </c>
      <c r="L74" s="3482">
        <v>1433.2</v>
      </c>
      <c r="M74" s="3482" t="s">
        <v>2817</v>
      </c>
      <c r="N74" s="3482" t="s">
        <v>3197</v>
      </c>
    </row>
    <row r="75" spans="1:14">
      <c r="A75" s="3482" t="s">
        <v>3437</v>
      </c>
      <c r="B75" s="3482" t="s">
        <v>3204</v>
      </c>
      <c r="C75" s="3482" t="s">
        <v>3203</v>
      </c>
      <c r="D75" s="3482" t="s">
        <v>3202</v>
      </c>
      <c r="E75" s="3482" t="s">
        <v>3201</v>
      </c>
      <c r="F75" s="3482">
        <v>18459.71</v>
      </c>
      <c r="G75" s="3482">
        <v>46149.27</v>
      </c>
      <c r="H75" s="3482" t="s">
        <v>3356</v>
      </c>
      <c r="I75" s="3482" t="s">
        <v>3431</v>
      </c>
      <c r="J75" s="3482" t="s">
        <v>3423</v>
      </c>
      <c r="K75" s="3482">
        <v>6600</v>
      </c>
      <c r="L75" s="3482">
        <v>1430.14</v>
      </c>
      <c r="M75" s="3482">
        <v>0</v>
      </c>
      <c r="N75" s="3482" t="s">
        <v>3197</v>
      </c>
    </row>
    <row r="76" spans="1:14">
      <c r="A76" s="3482" t="s">
        <v>3432</v>
      </c>
      <c r="B76" s="3482" t="s">
        <v>3204</v>
      </c>
      <c r="C76" s="3482" t="s">
        <v>3203</v>
      </c>
      <c r="D76" s="3482" t="s">
        <v>3202</v>
      </c>
      <c r="E76" s="3482" t="s">
        <v>3201</v>
      </c>
      <c r="F76" s="3482">
        <v>32174.01</v>
      </c>
      <c r="G76" s="3482">
        <v>80435.02</v>
      </c>
      <c r="H76" s="3482" t="s">
        <v>3356</v>
      </c>
      <c r="I76" s="3482" t="s">
        <v>3431</v>
      </c>
      <c r="J76" s="3482" t="s">
        <v>3426</v>
      </c>
      <c r="K76" s="3482">
        <v>11490</v>
      </c>
      <c r="L76" s="3482">
        <v>1428.48</v>
      </c>
      <c r="M76" s="3482">
        <v>0</v>
      </c>
      <c r="N76" s="3482" t="s">
        <v>3197</v>
      </c>
    </row>
    <row r="77" spans="1:14">
      <c r="A77" s="3482" t="s">
        <v>3436</v>
      </c>
      <c r="B77" s="3482" t="s">
        <v>3204</v>
      </c>
      <c r="C77" s="3482" t="s">
        <v>3203</v>
      </c>
      <c r="D77" s="3482" t="s">
        <v>3202</v>
      </c>
      <c r="E77" s="3482" t="s">
        <v>3201</v>
      </c>
      <c r="F77" s="3482">
        <v>30638.48</v>
      </c>
      <c r="G77" s="3482">
        <v>76596.2</v>
      </c>
      <c r="H77" s="3482" t="s">
        <v>3356</v>
      </c>
      <c r="I77" s="3482" t="s">
        <v>3431</v>
      </c>
      <c r="J77" s="3482" t="s">
        <v>3423</v>
      </c>
      <c r="K77" s="3482">
        <v>10930</v>
      </c>
      <c r="L77" s="3482">
        <v>1426.96</v>
      </c>
      <c r="M77" s="3482">
        <v>0</v>
      </c>
      <c r="N77" s="3482" t="s">
        <v>3197</v>
      </c>
    </row>
    <row r="78" spans="1:14">
      <c r="A78" s="3482" t="s">
        <v>3435</v>
      </c>
      <c r="B78" s="3482" t="s">
        <v>3204</v>
      </c>
      <c r="C78" s="3482" t="s">
        <v>3203</v>
      </c>
      <c r="D78" s="3482" t="s">
        <v>3202</v>
      </c>
      <c r="E78" s="3482" t="s">
        <v>3201</v>
      </c>
      <c r="F78" s="3482">
        <v>30000.2</v>
      </c>
      <c r="G78" s="3482">
        <v>105000.7</v>
      </c>
      <c r="H78" s="3482" t="s">
        <v>3402</v>
      </c>
      <c r="I78" s="3482" t="s">
        <v>3434</v>
      </c>
      <c r="J78" s="3482" t="s">
        <v>3433</v>
      </c>
      <c r="K78" s="3482">
        <v>14972</v>
      </c>
      <c r="L78" s="3482">
        <v>1425.9</v>
      </c>
      <c r="M78" s="3482">
        <v>0</v>
      </c>
      <c r="N78" s="3482" t="s">
        <v>3197</v>
      </c>
    </row>
    <row r="79" spans="1:14">
      <c r="A79" s="3482" t="s">
        <v>3432</v>
      </c>
      <c r="B79" s="3482" t="s">
        <v>3204</v>
      </c>
      <c r="C79" s="3482" t="s">
        <v>3203</v>
      </c>
      <c r="D79" s="3482" t="s">
        <v>3202</v>
      </c>
      <c r="E79" s="3482" t="s">
        <v>3201</v>
      </c>
      <c r="F79" s="3482">
        <v>25761.64</v>
      </c>
      <c r="G79" s="3482">
        <v>64404.1</v>
      </c>
      <c r="H79" s="3482" t="s">
        <v>3356</v>
      </c>
      <c r="I79" s="3482" t="s">
        <v>3431</v>
      </c>
      <c r="J79" s="3482" t="s">
        <v>3426</v>
      </c>
      <c r="K79" s="3482">
        <v>9170</v>
      </c>
      <c r="L79" s="3482">
        <v>1423.81</v>
      </c>
      <c r="M79" s="3482">
        <v>0</v>
      </c>
      <c r="N79" s="3482" t="s">
        <v>3197</v>
      </c>
    </row>
    <row r="80" spans="1:14">
      <c r="A80" s="3482" t="s">
        <v>3430</v>
      </c>
      <c r="B80" s="3482" t="s">
        <v>3204</v>
      </c>
      <c r="C80" s="3482" t="s">
        <v>3208</v>
      </c>
      <c r="D80" s="3482" t="s">
        <v>3202</v>
      </c>
      <c r="E80" s="3482" t="s">
        <v>3207</v>
      </c>
      <c r="F80" s="3482">
        <v>99078.5</v>
      </c>
      <c r="G80" s="3482">
        <v>317051.2</v>
      </c>
      <c r="H80" s="3482" t="s">
        <v>3429</v>
      </c>
      <c r="I80" s="3482" t="s">
        <v>3411</v>
      </c>
      <c r="J80" s="3482" t="s">
        <v>3410</v>
      </c>
      <c r="K80" s="3482">
        <v>44440</v>
      </c>
      <c r="L80" s="3482">
        <v>1401.67</v>
      </c>
      <c r="M80" s="3482">
        <v>0</v>
      </c>
      <c r="N80" s="3482" t="s">
        <v>3206</v>
      </c>
    </row>
    <row r="81" spans="1:14">
      <c r="A81" s="3482" t="s">
        <v>3428</v>
      </c>
      <c r="B81" s="3482" t="s">
        <v>3204</v>
      </c>
      <c r="C81" s="3482" t="s">
        <v>3203</v>
      </c>
      <c r="D81" s="3482" t="s">
        <v>3202</v>
      </c>
      <c r="E81" s="3482" t="s">
        <v>3201</v>
      </c>
      <c r="F81" s="3482">
        <v>17739.150000000001</v>
      </c>
      <c r="G81" s="3482">
        <v>44347.88</v>
      </c>
      <c r="H81" s="3482" t="s">
        <v>3356</v>
      </c>
      <c r="I81" s="3482" t="s">
        <v>3424</v>
      </c>
      <c r="J81" s="3482" t="s">
        <v>3423</v>
      </c>
      <c r="K81" s="3482">
        <v>6210</v>
      </c>
      <c r="L81" s="3482">
        <v>1400.28</v>
      </c>
      <c r="M81" s="3482">
        <v>0</v>
      </c>
      <c r="N81" s="3482" t="s">
        <v>3197</v>
      </c>
    </row>
    <row r="82" spans="1:14">
      <c r="A82" s="3482" t="s">
        <v>3425</v>
      </c>
      <c r="B82" s="3482" t="s">
        <v>3204</v>
      </c>
      <c r="C82" s="3482" t="s">
        <v>3203</v>
      </c>
      <c r="D82" s="3482" t="s">
        <v>3202</v>
      </c>
      <c r="E82" s="3482" t="s">
        <v>3201</v>
      </c>
      <c r="F82" s="3482">
        <v>32544.26</v>
      </c>
      <c r="G82" s="3482">
        <v>81360.649999999994</v>
      </c>
      <c r="H82" s="3482" t="s">
        <v>3356</v>
      </c>
      <c r="I82" s="3482" t="s">
        <v>3424</v>
      </c>
      <c r="J82" s="3482" t="s">
        <v>3426</v>
      </c>
      <c r="K82" s="3482">
        <v>11390</v>
      </c>
      <c r="L82" s="3482">
        <v>1399.94</v>
      </c>
      <c r="M82" s="3482">
        <v>0</v>
      </c>
      <c r="N82" s="3482" t="s">
        <v>3197</v>
      </c>
    </row>
    <row r="83" spans="1:14">
      <c r="A83" s="3482" t="s">
        <v>3427</v>
      </c>
      <c r="B83" s="3482" t="s">
        <v>3204</v>
      </c>
      <c r="C83" s="3482" t="s">
        <v>3203</v>
      </c>
      <c r="D83" s="3482" t="s">
        <v>3202</v>
      </c>
      <c r="E83" s="3482" t="s">
        <v>3201</v>
      </c>
      <c r="F83" s="3482">
        <v>28783.4</v>
      </c>
      <c r="G83" s="3482">
        <v>71958.5</v>
      </c>
      <c r="H83" s="3482" t="s">
        <v>3356</v>
      </c>
      <c r="I83" s="3482" t="s">
        <v>3424</v>
      </c>
      <c r="J83" s="3482" t="s">
        <v>3426</v>
      </c>
      <c r="K83" s="3482">
        <v>10050</v>
      </c>
      <c r="L83" s="3482">
        <v>1396.64</v>
      </c>
      <c r="M83" s="3482">
        <v>0</v>
      </c>
      <c r="N83" s="3482" t="s">
        <v>3197</v>
      </c>
    </row>
    <row r="84" spans="1:14">
      <c r="A84" s="3482" t="s">
        <v>3425</v>
      </c>
      <c r="B84" s="3482" t="s">
        <v>3204</v>
      </c>
      <c r="C84" s="3482" t="s">
        <v>3203</v>
      </c>
      <c r="D84" s="3482" t="s">
        <v>3202</v>
      </c>
      <c r="E84" s="3482" t="s">
        <v>3201</v>
      </c>
      <c r="F84" s="3482">
        <v>24518.47</v>
      </c>
      <c r="G84" s="3482">
        <v>61296.18</v>
      </c>
      <c r="H84" s="3482" t="s">
        <v>3356</v>
      </c>
      <c r="I84" s="3482" t="s">
        <v>3424</v>
      </c>
      <c r="J84" s="3482" t="s">
        <v>3423</v>
      </c>
      <c r="K84" s="3482">
        <v>8540</v>
      </c>
      <c r="L84" s="3482">
        <v>1393.24</v>
      </c>
      <c r="M84" s="3482">
        <v>0</v>
      </c>
      <c r="N84" s="3482" t="s">
        <v>3197</v>
      </c>
    </row>
    <row r="85" spans="1:14">
      <c r="A85" s="3482" t="s">
        <v>3422</v>
      </c>
      <c r="B85" s="3482" t="s">
        <v>3204</v>
      </c>
      <c r="C85" s="3482" t="s">
        <v>3208</v>
      </c>
      <c r="D85" s="3482" t="s">
        <v>3202</v>
      </c>
      <c r="E85" s="3482" t="s">
        <v>3207</v>
      </c>
      <c r="F85" s="3482">
        <v>67662.48</v>
      </c>
      <c r="G85" s="3482">
        <v>221932.9</v>
      </c>
      <c r="H85" s="3482" t="s">
        <v>3421</v>
      </c>
      <c r="I85" s="3482" t="s">
        <v>3411</v>
      </c>
      <c r="J85" s="3482" t="s">
        <v>3410</v>
      </c>
      <c r="K85" s="3482">
        <v>30880</v>
      </c>
      <c r="L85" s="3482">
        <v>1391.41</v>
      </c>
      <c r="M85" s="3482">
        <v>0</v>
      </c>
      <c r="N85" s="3482" t="s">
        <v>3206</v>
      </c>
    </row>
    <row r="86" spans="1:14">
      <c r="A86" s="3482" t="s">
        <v>3420</v>
      </c>
      <c r="B86" s="3482" t="s">
        <v>3204</v>
      </c>
      <c r="C86" s="3482" t="s">
        <v>3203</v>
      </c>
      <c r="D86" s="3482" t="s">
        <v>3202</v>
      </c>
      <c r="E86" s="3482" t="s">
        <v>3201</v>
      </c>
      <c r="F86" s="3482">
        <v>7378.81</v>
      </c>
      <c r="G86" s="3482">
        <v>25825.84</v>
      </c>
      <c r="H86" s="3482" t="s">
        <v>3313</v>
      </c>
      <c r="I86" s="3482" t="s">
        <v>3419</v>
      </c>
      <c r="J86" s="3482" t="s">
        <v>3418</v>
      </c>
      <c r="K86" s="3482">
        <v>3560</v>
      </c>
      <c r="L86" s="3482">
        <v>1378.46</v>
      </c>
      <c r="M86" s="3482">
        <v>0</v>
      </c>
      <c r="N86" s="3482" t="s">
        <v>3197</v>
      </c>
    </row>
    <row r="87" spans="1:14">
      <c r="A87" s="3482" t="s">
        <v>3417</v>
      </c>
      <c r="B87" s="3482" t="s">
        <v>3204</v>
      </c>
      <c r="C87" s="3482" t="s">
        <v>3203</v>
      </c>
      <c r="D87" s="3482" t="s">
        <v>3202</v>
      </c>
      <c r="E87" s="3482" t="s">
        <v>3201</v>
      </c>
      <c r="F87" s="3482">
        <v>16752.38</v>
      </c>
      <c r="G87" s="3482">
        <v>46571.62</v>
      </c>
      <c r="H87" s="3482" t="s">
        <v>3416</v>
      </c>
      <c r="I87" s="3482" t="s">
        <v>3415</v>
      </c>
      <c r="J87" s="3482" t="s">
        <v>3414</v>
      </c>
      <c r="K87" s="3482">
        <v>6370</v>
      </c>
      <c r="L87" s="3482">
        <v>1367.78</v>
      </c>
      <c r="M87" s="3482">
        <v>0</v>
      </c>
      <c r="N87" s="3482" t="s">
        <v>3197</v>
      </c>
    </row>
    <row r="88" spans="1:14">
      <c r="A88" s="3482" t="s">
        <v>3413</v>
      </c>
      <c r="B88" s="3482" t="s">
        <v>3204</v>
      </c>
      <c r="C88" s="3482" t="s">
        <v>3208</v>
      </c>
      <c r="D88" s="3482" t="s">
        <v>3202</v>
      </c>
      <c r="E88" s="3482" t="s">
        <v>3207</v>
      </c>
      <c r="F88" s="3482">
        <v>56300.1</v>
      </c>
      <c r="G88" s="3482">
        <v>196487.3</v>
      </c>
      <c r="H88" s="3482" t="s">
        <v>3412</v>
      </c>
      <c r="I88" s="3482" t="s">
        <v>3411</v>
      </c>
      <c r="J88" s="3482" t="s">
        <v>3410</v>
      </c>
      <c r="K88" s="3482">
        <v>26440</v>
      </c>
      <c r="L88" s="3482">
        <v>1345.63</v>
      </c>
      <c r="M88" s="3482">
        <v>0</v>
      </c>
      <c r="N88" s="3482" t="s">
        <v>3206</v>
      </c>
    </row>
    <row r="89" spans="1:14">
      <c r="A89" s="3482" t="s">
        <v>3409</v>
      </c>
      <c r="B89" s="3482" t="s">
        <v>3204</v>
      </c>
      <c r="C89" s="3482" t="s">
        <v>3203</v>
      </c>
      <c r="D89" s="3482" t="s">
        <v>3202</v>
      </c>
      <c r="E89" s="3482" t="s">
        <v>3203</v>
      </c>
      <c r="F89" s="3482">
        <v>26495.77</v>
      </c>
      <c r="G89" s="3482">
        <v>52991.54</v>
      </c>
      <c r="H89" s="3482" t="s">
        <v>3408</v>
      </c>
      <c r="I89" s="3482" t="s">
        <v>3407</v>
      </c>
      <c r="J89" s="3482" t="s">
        <v>3406</v>
      </c>
      <c r="K89" s="3482">
        <v>6900</v>
      </c>
      <c r="L89" s="3482">
        <v>1302.08</v>
      </c>
      <c r="M89" s="3482">
        <v>0</v>
      </c>
      <c r="N89" s="3482" t="s">
        <v>3197</v>
      </c>
    </row>
    <row r="90" spans="1:14">
      <c r="A90" s="3482" t="s">
        <v>3405</v>
      </c>
      <c r="B90" s="3482" t="s">
        <v>3204</v>
      </c>
      <c r="C90" s="3482" t="s">
        <v>3203</v>
      </c>
      <c r="D90" s="3482" t="s">
        <v>3202</v>
      </c>
      <c r="E90" s="3482" t="s">
        <v>3201</v>
      </c>
      <c r="F90" s="3482">
        <v>36317.339999999997</v>
      </c>
      <c r="G90" s="3482">
        <v>127110.7</v>
      </c>
      <c r="H90" s="3482" t="s">
        <v>3402</v>
      </c>
      <c r="I90" s="3482" t="s">
        <v>3404</v>
      </c>
      <c r="J90" s="3482" t="s">
        <v>3386</v>
      </c>
      <c r="K90" s="3482">
        <v>15851</v>
      </c>
      <c r="L90" s="3482">
        <v>1247.01</v>
      </c>
      <c r="M90" s="3482">
        <v>0</v>
      </c>
      <c r="N90" s="3482" t="s">
        <v>3197</v>
      </c>
    </row>
    <row r="91" spans="1:14">
      <c r="A91" s="3482" t="s">
        <v>3403</v>
      </c>
      <c r="B91" s="3482" t="s">
        <v>3204</v>
      </c>
      <c r="C91" s="3482" t="s">
        <v>3203</v>
      </c>
      <c r="D91" s="3482" t="s">
        <v>3202</v>
      </c>
      <c r="E91" s="3482" t="s">
        <v>923</v>
      </c>
      <c r="F91" s="3482">
        <v>29355.97</v>
      </c>
      <c r="G91" s="3482">
        <v>102745.9</v>
      </c>
      <c r="H91" s="3482" t="s">
        <v>3402</v>
      </c>
      <c r="I91" s="3482" t="s">
        <v>3401</v>
      </c>
      <c r="J91" s="3482" t="s">
        <v>3400</v>
      </c>
      <c r="K91" s="3482">
        <v>11947</v>
      </c>
      <c r="L91" s="3482">
        <v>1162.76</v>
      </c>
      <c r="M91" s="3482">
        <v>0</v>
      </c>
      <c r="N91" s="3482" t="s">
        <v>3197</v>
      </c>
    </row>
    <row r="92" spans="1:14">
      <c r="A92" s="3482" t="s">
        <v>3399</v>
      </c>
      <c r="B92" s="3482" t="s">
        <v>3204</v>
      </c>
      <c r="C92" s="3482" t="s">
        <v>3203</v>
      </c>
      <c r="D92" s="3482" t="s">
        <v>3202</v>
      </c>
      <c r="E92" s="3482" t="s">
        <v>3201</v>
      </c>
      <c r="F92" s="3482">
        <v>11097.4</v>
      </c>
      <c r="G92" s="3482">
        <v>75906.22</v>
      </c>
      <c r="H92" s="3482" t="s">
        <v>3398</v>
      </c>
      <c r="I92" s="3482" t="s">
        <v>3397</v>
      </c>
      <c r="J92" s="3482" t="s">
        <v>3396</v>
      </c>
      <c r="K92" s="3482">
        <v>8330</v>
      </c>
      <c r="L92" s="3482">
        <v>1097.4100000000001</v>
      </c>
      <c r="M92" s="3482">
        <v>0</v>
      </c>
      <c r="N92" s="3482" t="s">
        <v>3197</v>
      </c>
    </row>
    <row r="93" spans="1:14">
      <c r="A93" s="3482" t="s">
        <v>3395</v>
      </c>
      <c r="B93" s="3482" t="s">
        <v>3204</v>
      </c>
      <c r="C93" s="3482" t="s">
        <v>3208</v>
      </c>
      <c r="D93" s="3482" t="s">
        <v>3271</v>
      </c>
      <c r="E93" s="3482" t="s">
        <v>3350</v>
      </c>
      <c r="F93" s="3482">
        <v>47078.07</v>
      </c>
      <c r="G93" s="3482">
        <v>207143.5</v>
      </c>
      <c r="H93" s="3482" t="s">
        <v>3394</v>
      </c>
      <c r="I93" s="3482" t="s">
        <v>3393</v>
      </c>
      <c r="J93" s="3482" t="s">
        <v>3392</v>
      </c>
      <c r="K93" s="3482">
        <v>22300</v>
      </c>
      <c r="L93" s="3482">
        <v>1076.54</v>
      </c>
      <c r="M93" s="3482">
        <v>0</v>
      </c>
      <c r="N93" s="3482" t="s">
        <v>3206</v>
      </c>
    </row>
    <row r="94" spans="1:14">
      <c r="A94" s="3482" t="s">
        <v>3391</v>
      </c>
      <c r="B94" s="3482" t="s">
        <v>3204</v>
      </c>
      <c r="C94" s="3482" t="s">
        <v>3203</v>
      </c>
      <c r="D94" s="3482" t="s">
        <v>3202</v>
      </c>
      <c r="E94" s="3482" t="s">
        <v>923</v>
      </c>
      <c r="F94" s="3482">
        <v>66811.09</v>
      </c>
      <c r="G94" s="3482">
        <v>286619.59999999998</v>
      </c>
      <c r="H94" s="3482" t="s">
        <v>3390</v>
      </c>
      <c r="I94" s="3482" t="s">
        <v>3387</v>
      </c>
      <c r="J94" s="3482" t="s">
        <v>3386</v>
      </c>
      <c r="K94" s="3482">
        <v>30760</v>
      </c>
      <c r="L94" s="3482">
        <v>1073.2</v>
      </c>
      <c r="M94" s="3482">
        <v>0</v>
      </c>
      <c r="N94" s="3482" t="s">
        <v>3197</v>
      </c>
    </row>
    <row r="95" spans="1:14">
      <c r="A95" s="3482" t="s">
        <v>3389</v>
      </c>
      <c r="B95" s="3482" t="s">
        <v>3204</v>
      </c>
      <c r="C95" s="3482" t="s">
        <v>3203</v>
      </c>
      <c r="D95" s="3482" t="s">
        <v>3202</v>
      </c>
      <c r="E95" s="3482" t="s">
        <v>923</v>
      </c>
      <c r="F95" s="3482">
        <v>72097.3</v>
      </c>
      <c r="G95" s="3482">
        <v>337415.4</v>
      </c>
      <c r="H95" s="3482" t="s">
        <v>3388</v>
      </c>
      <c r="I95" s="3482" t="s">
        <v>3387</v>
      </c>
      <c r="J95" s="3482" t="s">
        <v>3386</v>
      </c>
      <c r="K95" s="3482">
        <v>35780</v>
      </c>
      <c r="L95" s="3482">
        <v>1060.4100000000001</v>
      </c>
      <c r="M95" s="3482">
        <v>0</v>
      </c>
      <c r="N95" s="3482" t="s">
        <v>3197</v>
      </c>
    </row>
    <row r="96" spans="1:14">
      <c r="A96" s="3482" t="s">
        <v>3385</v>
      </c>
      <c r="B96" s="3482" t="s">
        <v>3204</v>
      </c>
      <c r="C96" s="3482" t="s">
        <v>3208</v>
      </c>
      <c r="D96" s="3482" t="s">
        <v>3202</v>
      </c>
      <c r="E96" s="3482" t="s">
        <v>3207</v>
      </c>
      <c r="F96" s="3482">
        <v>17112.18</v>
      </c>
      <c r="G96" s="3482">
        <v>82994.070000000007</v>
      </c>
      <c r="H96" s="3482" t="s">
        <v>3384</v>
      </c>
      <c r="I96" s="3482" t="s">
        <v>3383</v>
      </c>
      <c r="J96" s="3482" t="s">
        <v>3382</v>
      </c>
      <c r="K96" s="3482">
        <v>8677</v>
      </c>
      <c r="L96" s="3482">
        <v>1045.5</v>
      </c>
      <c r="M96" s="3482">
        <v>0</v>
      </c>
      <c r="N96" s="3482" t="s">
        <v>3290</v>
      </c>
    </row>
    <row r="97" spans="1:14">
      <c r="A97" s="3482" t="s">
        <v>3381</v>
      </c>
      <c r="B97" s="3482" t="s">
        <v>3204</v>
      </c>
      <c r="C97" s="3482" t="s">
        <v>3203</v>
      </c>
      <c r="D97" s="3482" t="s">
        <v>3202</v>
      </c>
      <c r="E97" s="3482" t="s">
        <v>923</v>
      </c>
      <c r="F97" s="3482">
        <v>117539.5</v>
      </c>
      <c r="G97" s="3482">
        <v>164555.29999999999</v>
      </c>
      <c r="H97" s="3482" t="s">
        <v>3380</v>
      </c>
      <c r="I97" s="3482" t="s">
        <v>3379</v>
      </c>
      <c r="J97" s="3482" t="s">
        <v>3378</v>
      </c>
      <c r="K97" s="3482">
        <v>17000</v>
      </c>
      <c r="L97" s="3482">
        <v>1033.08</v>
      </c>
      <c r="M97" s="3482">
        <v>0</v>
      </c>
      <c r="N97" s="3482" t="s">
        <v>3197</v>
      </c>
    </row>
    <row r="98" spans="1:14">
      <c r="A98" s="3482" t="s">
        <v>3376</v>
      </c>
      <c r="B98" s="3482" t="s">
        <v>3204</v>
      </c>
      <c r="C98" s="3482" t="s">
        <v>3208</v>
      </c>
      <c r="D98" s="3482" t="s">
        <v>3202</v>
      </c>
      <c r="E98" s="3482" t="s">
        <v>3207</v>
      </c>
      <c r="F98" s="3482">
        <v>76697.179999999993</v>
      </c>
      <c r="G98" s="3482">
        <v>257319</v>
      </c>
      <c r="H98" s="3482" t="s">
        <v>3377</v>
      </c>
      <c r="I98" s="3482" t="s">
        <v>3374</v>
      </c>
      <c r="J98" s="3482" t="s">
        <v>3373</v>
      </c>
      <c r="K98" s="3482">
        <v>24060</v>
      </c>
      <c r="L98" s="3482">
        <v>935.02</v>
      </c>
      <c r="M98" s="3482">
        <v>0</v>
      </c>
      <c r="N98" s="3482" t="s">
        <v>3206</v>
      </c>
    </row>
    <row r="99" spans="1:14">
      <c r="A99" s="3482" t="s">
        <v>3376</v>
      </c>
      <c r="B99" s="3482" t="s">
        <v>3204</v>
      </c>
      <c r="C99" s="3482" t="s">
        <v>3208</v>
      </c>
      <c r="D99" s="3482" t="s">
        <v>3202</v>
      </c>
      <c r="E99" s="3482" t="s">
        <v>3207</v>
      </c>
      <c r="F99" s="3482">
        <v>100127.9</v>
      </c>
      <c r="G99" s="3482">
        <v>337831.5</v>
      </c>
      <c r="H99" s="3482" t="s">
        <v>3375</v>
      </c>
      <c r="I99" s="3482" t="s">
        <v>3374</v>
      </c>
      <c r="J99" s="3482" t="s">
        <v>3373</v>
      </c>
      <c r="K99" s="3482">
        <v>31480</v>
      </c>
      <c r="L99" s="3482">
        <v>931.83</v>
      </c>
      <c r="M99" s="3482">
        <v>0</v>
      </c>
      <c r="N99" s="3482" t="s">
        <v>3206</v>
      </c>
    </row>
    <row r="100" spans="1:14">
      <c r="A100" s="3482" t="s">
        <v>3372</v>
      </c>
      <c r="B100" s="3482" t="s">
        <v>3204</v>
      </c>
      <c r="C100" s="3482" t="s">
        <v>3203</v>
      </c>
      <c r="D100" s="3482" t="s">
        <v>3202</v>
      </c>
      <c r="E100" s="3482" t="s">
        <v>3201</v>
      </c>
      <c r="F100" s="3482">
        <v>5590.16</v>
      </c>
      <c r="G100" s="3482">
        <v>18503.43</v>
      </c>
      <c r="H100" s="3482">
        <v>3.31</v>
      </c>
      <c r="I100" s="3482" t="s">
        <v>3332</v>
      </c>
      <c r="J100" s="3482" t="s">
        <v>3371</v>
      </c>
      <c r="K100" s="3482">
        <v>1559</v>
      </c>
      <c r="L100" s="3482">
        <v>842.54</v>
      </c>
      <c r="M100" s="3482">
        <v>0</v>
      </c>
      <c r="N100" s="3482" t="s">
        <v>3197</v>
      </c>
    </row>
    <row r="101" spans="1:14">
      <c r="A101" s="3482" t="s">
        <v>3370</v>
      </c>
      <c r="B101" s="3482" t="s">
        <v>3204</v>
      </c>
      <c r="C101" s="3482" t="s">
        <v>3203</v>
      </c>
      <c r="D101" s="3482" t="s">
        <v>3202</v>
      </c>
      <c r="E101" s="3482" t="s">
        <v>3201</v>
      </c>
      <c r="F101" s="3482">
        <v>44485.9</v>
      </c>
      <c r="G101" s="3482">
        <v>129898.8</v>
      </c>
      <c r="H101" s="3482">
        <v>2.92</v>
      </c>
      <c r="I101" s="3482" t="s">
        <v>3369</v>
      </c>
      <c r="J101" s="3482" t="s">
        <v>3368</v>
      </c>
      <c r="K101" s="3482">
        <v>10889</v>
      </c>
      <c r="L101" s="3482">
        <v>838.26</v>
      </c>
      <c r="M101" s="3482" t="s">
        <v>2817</v>
      </c>
      <c r="N101" s="3482" t="s">
        <v>3197</v>
      </c>
    </row>
    <row r="102" spans="1:14">
      <c r="A102" s="3482" t="s">
        <v>3365</v>
      </c>
      <c r="B102" s="3482" t="s">
        <v>3204</v>
      </c>
      <c r="C102" s="3482" t="s">
        <v>3208</v>
      </c>
      <c r="D102" s="3482" t="s">
        <v>3202</v>
      </c>
      <c r="E102" s="3482" t="s">
        <v>3364</v>
      </c>
      <c r="F102" s="3482">
        <v>30910.14</v>
      </c>
      <c r="G102" s="3482">
        <v>120858.6</v>
      </c>
      <c r="H102" s="3482" t="s">
        <v>3367</v>
      </c>
      <c r="I102" s="3482" t="s">
        <v>3362</v>
      </c>
      <c r="J102" s="3482" t="s">
        <v>3366</v>
      </c>
      <c r="K102" s="3482">
        <v>9810</v>
      </c>
      <c r="L102" s="3482">
        <v>811.69</v>
      </c>
      <c r="M102" s="3482">
        <v>0</v>
      </c>
      <c r="N102" s="3482" t="s">
        <v>3319</v>
      </c>
    </row>
    <row r="103" spans="1:14">
      <c r="A103" s="3482" t="s">
        <v>3365</v>
      </c>
      <c r="B103" s="3482" t="s">
        <v>3204</v>
      </c>
      <c r="C103" s="3482" t="s">
        <v>3208</v>
      </c>
      <c r="D103" s="3482" t="s">
        <v>3202</v>
      </c>
      <c r="E103" s="3482" t="s">
        <v>3364</v>
      </c>
      <c r="F103" s="3482">
        <v>61909.65</v>
      </c>
      <c r="G103" s="3482">
        <v>268687.90000000002</v>
      </c>
      <c r="H103" s="3482" t="s">
        <v>3363</v>
      </c>
      <c r="I103" s="3482" t="s">
        <v>3362</v>
      </c>
      <c r="J103" s="3482" t="s">
        <v>3361</v>
      </c>
      <c r="K103" s="3482">
        <v>20953</v>
      </c>
      <c r="L103" s="3482">
        <v>779.83</v>
      </c>
      <c r="M103" s="3482">
        <v>0</v>
      </c>
      <c r="N103" s="3482" t="s">
        <v>3319</v>
      </c>
    </row>
    <row r="104" spans="1:14" s="3483" customFormat="1">
      <c r="A104" s="3482" t="s">
        <v>3360</v>
      </c>
      <c r="B104" s="3482" t="s">
        <v>3204</v>
      </c>
      <c r="C104" s="3482" t="s">
        <v>3203</v>
      </c>
      <c r="D104" s="3482" t="s">
        <v>3202</v>
      </c>
      <c r="E104" s="3482" t="s">
        <v>3201</v>
      </c>
      <c r="F104" s="3482">
        <v>24659.5</v>
      </c>
      <c r="G104" s="3482">
        <v>119845.2</v>
      </c>
      <c r="H104" s="3482" t="s">
        <v>3359</v>
      </c>
      <c r="I104" s="3482" t="s">
        <v>3225</v>
      </c>
      <c r="J104" s="3482" t="s">
        <v>3358</v>
      </c>
      <c r="K104" s="3482">
        <v>9315</v>
      </c>
      <c r="L104" s="3482">
        <v>777.25</v>
      </c>
      <c r="M104" s="3482" t="s">
        <v>2817</v>
      </c>
      <c r="N104" s="3482" t="s">
        <v>3197</v>
      </c>
    </row>
    <row r="105" spans="1:14" s="3483" customFormat="1">
      <c r="A105" s="3482" t="s">
        <v>3357</v>
      </c>
      <c r="B105" s="3482" t="s">
        <v>3204</v>
      </c>
      <c r="C105" s="3482" t="s">
        <v>3203</v>
      </c>
      <c r="D105" s="3482" t="s">
        <v>3271</v>
      </c>
      <c r="E105" s="3482" t="s">
        <v>3201</v>
      </c>
      <c r="F105" s="3482">
        <v>100179.8</v>
      </c>
      <c r="G105" s="3482">
        <v>250449.5</v>
      </c>
      <c r="H105" s="3482" t="s">
        <v>3356</v>
      </c>
      <c r="I105" s="3482" t="s">
        <v>3355</v>
      </c>
      <c r="J105" s="3482" t="s">
        <v>3354</v>
      </c>
      <c r="K105" s="3482">
        <v>19000</v>
      </c>
      <c r="L105" s="3482">
        <v>758.63</v>
      </c>
      <c r="M105" s="3482">
        <v>0</v>
      </c>
      <c r="N105" s="3482" t="s">
        <v>3197</v>
      </c>
    </row>
    <row r="106" spans="1:14">
      <c r="A106" s="3482" t="s">
        <v>3353</v>
      </c>
      <c r="B106" s="3482" t="s">
        <v>3204</v>
      </c>
      <c r="C106" s="3482" t="s">
        <v>3203</v>
      </c>
      <c r="D106" s="3482" t="s">
        <v>3202</v>
      </c>
      <c r="E106" s="3482" t="s">
        <v>3201</v>
      </c>
      <c r="F106" s="3482">
        <v>70182</v>
      </c>
      <c r="G106" s="3482">
        <v>245637</v>
      </c>
      <c r="H106" s="3482" t="s">
        <v>3313</v>
      </c>
      <c r="I106" s="3482" t="s">
        <v>3325</v>
      </c>
      <c r="J106" s="3482" t="s">
        <v>3352</v>
      </c>
      <c r="K106" s="3482">
        <v>17450</v>
      </c>
      <c r="L106" s="3482">
        <v>710.39</v>
      </c>
      <c r="M106" s="3482" t="s">
        <v>2817</v>
      </c>
      <c r="N106" s="3482" t="s">
        <v>3197</v>
      </c>
    </row>
    <row r="107" spans="1:14">
      <c r="A107" s="3482" t="s">
        <v>3351</v>
      </c>
      <c r="B107" s="3482" t="s">
        <v>3204</v>
      </c>
      <c r="C107" s="3482" t="s">
        <v>3208</v>
      </c>
      <c r="D107" s="3482" t="s">
        <v>3202</v>
      </c>
      <c r="E107" s="3482" t="s">
        <v>3350</v>
      </c>
      <c r="F107" s="3482">
        <v>21849.5</v>
      </c>
      <c r="G107" s="3482">
        <v>50253.85</v>
      </c>
      <c r="H107" s="3482" t="s">
        <v>3349</v>
      </c>
      <c r="I107" s="3482" t="s">
        <v>3348</v>
      </c>
      <c r="J107" s="3482" t="s">
        <v>3347</v>
      </c>
      <c r="K107" s="3482">
        <v>3475</v>
      </c>
      <c r="L107" s="3482">
        <v>691.49</v>
      </c>
      <c r="M107" s="3482">
        <v>0</v>
      </c>
      <c r="N107" s="3482" t="s">
        <v>3266</v>
      </c>
    </row>
    <row r="108" spans="1:14">
      <c r="A108" s="3482" t="s">
        <v>3346</v>
      </c>
      <c r="B108" s="3482" t="s">
        <v>3204</v>
      </c>
      <c r="C108" s="3482" t="s">
        <v>3203</v>
      </c>
      <c r="D108" s="3482" t="s">
        <v>3202</v>
      </c>
      <c r="E108" s="3482" t="s">
        <v>3203</v>
      </c>
      <c r="F108" s="3482">
        <v>23478.400000000001</v>
      </c>
      <c r="G108" s="3482">
        <v>130305.1</v>
      </c>
      <c r="H108" s="3482" t="s">
        <v>3345</v>
      </c>
      <c r="I108" s="3482" t="s">
        <v>3335</v>
      </c>
      <c r="J108" s="3482" t="s">
        <v>3334</v>
      </c>
      <c r="K108" s="3482">
        <v>8181</v>
      </c>
      <c r="L108" s="3482">
        <v>627.83000000000004</v>
      </c>
      <c r="M108" s="3482">
        <v>0</v>
      </c>
      <c r="N108" s="3482" t="s">
        <v>3197</v>
      </c>
    </row>
    <row r="109" spans="1:14">
      <c r="A109" s="3482" t="s">
        <v>3344</v>
      </c>
      <c r="B109" s="3482" t="s">
        <v>3204</v>
      </c>
      <c r="C109" s="3482" t="s">
        <v>3203</v>
      </c>
      <c r="D109" s="3482" t="s">
        <v>3202</v>
      </c>
      <c r="E109" s="3482" t="s">
        <v>3201</v>
      </c>
      <c r="F109" s="3482">
        <v>43346.9</v>
      </c>
      <c r="G109" s="3482">
        <v>121371.3</v>
      </c>
      <c r="H109" s="3482" t="s">
        <v>3343</v>
      </c>
      <c r="I109" s="3482" t="s">
        <v>3241</v>
      </c>
      <c r="J109" s="3482" t="s">
        <v>3342</v>
      </c>
      <c r="K109" s="3482">
        <v>7607.34</v>
      </c>
      <c r="L109" s="3482">
        <v>626.77</v>
      </c>
      <c r="M109" s="3482">
        <v>0</v>
      </c>
      <c r="N109" s="3482" t="s">
        <v>3197</v>
      </c>
    </row>
    <row r="110" spans="1:14">
      <c r="A110" s="3482" t="s">
        <v>3341</v>
      </c>
      <c r="B110" s="3482" t="s">
        <v>3204</v>
      </c>
      <c r="C110" s="3482" t="s">
        <v>3203</v>
      </c>
      <c r="D110" s="3482" t="s">
        <v>3271</v>
      </c>
      <c r="E110" s="3482" t="s">
        <v>3201</v>
      </c>
      <c r="F110" s="3482">
        <v>5281.63</v>
      </c>
      <c r="G110" s="3482">
        <v>56724.71</v>
      </c>
      <c r="H110" s="3482" t="s">
        <v>3340</v>
      </c>
      <c r="I110" s="3482" t="s">
        <v>3339</v>
      </c>
      <c r="J110" s="3482" t="s">
        <v>3338</v>
      </c>
      <c r="K110" s="3482">
        <v>3547</v>
      </c>
      <c r="L110" s="3482">
        <v>625.29</v>
      </c>
      <c r="M110" s="3482" t="s">
        <v>2817</v>
      </c>
      <c r="N110" s="3482" t="s">
        <v>3197</v>
      </c>
    </row>
    <row r="111" spans="1:14">
      <c r="A111" s="3482" t="s">
        <v>3337</v>
      </c>
      <c r="B111" s="3482" t="s">
        <v>3204</v>
      </c>
      <c r="C111" s="3482" t="s">
        <v>3203</v>
      </c>
      <c r="D111" s="3482" t="s">
        <v>3202</v>
      </c>
      <c r="E111" s="3482" t="s">
        <v>3203</v>
      </c>
      <c r="F111" s="3482">
        <v>18521.2</v>
      </c>
      <c r="G111" s="3482">
        <v>94458.12</v>
      </c>
      <c r="H111" s="3482" t="s">
        <v>3336</v>
      </c>
      <c r="I111" s="3482" t="s">
        <v>3335</v>
      </c>
      <c r="J111" s="3482" t="s">
        <v>3334</v>
      </c>
      <c r="K111" s="3482">
        <v>5859</v>
      </c>
      <c r="L111" s="3482">
        <v>620.26</v>
      </c>
      <c r="M111" s="3482">
        <v>0</v>
      </c>
      <c r="N111" s="3482" t="s">
        <v>3197</v>
      </c>
    </row>
    <row r="112" spans="1:14">
      <c r="A112" s="3482" t="s">
        <v>3333</v>
      </c>
      <c r="B112" s="3482" t="s">
        <v>3204</v>
      </c>
      <c r="C112" s="3482" t="s">
        <v>3203</v>
      </c>
      <c r="D112" s="3482" t="s">
        <v>3202</v>
      </c>
      <c r="E112" s="3482" t="s">
        <v>3201</v>
      </c>
      <c r="F112" s="3482">
        <v>17085.43</v>
      </c>
      <c r="G112" s="3482">
        <v>97045.24</v>
      </c>
      <c r="H112" s="3482">
        <v>5.68</v>
      </c>
      <c r="I112" s="3482" t="s">
        <v>3332</v>
      </c>
      <c r="J112" s="3482" t="s">
        <v>3331</v>
      </c>
      <c r="K112" s="3482">
        <v>6018</v>
      </c>
      <c r="L112" s="3482">
        <v>620.12</v>
      </c>
      <c r="M112" s="3482">
        <v>0</v>
      </c>
      <c r="N112" s="3482" t="s">
        <v>3197</v>
      </c>
    </row>
    <row r="113" spans="1:14">
      <c r="A113" s="3482" t="s">
        <v>3330</v>
      </c>
      <c r="B113" s="3482" t="s">
        <v>3204</v>
      </c>
      <c r="C113" s="3482" t="s">
        <v>3203</v>
      </c>
      <c r="D113" s="3482" t="s">
        <v>3202</v>
      </c>
      <c r="E113" s="3482" t="s">
        <v>923</v>
      </c>
      <c r="F113" s="3482">
        <v>57679.33</v>
      </c>
      <c r="G113" s="3482">
        <v>160925.29999999999</v>
      </c>
      <c r="H113" s="3482" t="s">
        <v>3329</v>
      </c>
      <c r="I113" s="3482" t="s">
        <v>3287</v>
      </c>
      <c r="J113" s="3482" t="s">
        <v>3328</v>
      </c>
      <c r="K113" s="3482">
        <v>9700</v>
      </c>
      <c r="L113" s="3482">
        <v>602.75</v>
      </c>
      <c r="M113" s="3482">
        <v>0</v>
      </c>
      <c r="N113" s="3482" t="s">
        <v>3197</v>
      </c>
    </row>
    <row r="114" spans="1:14">
      <c r="A114" s="3482" t="s">
        <v>3327</v>
      </c>
      <c r="B114" s="3482" t="s">
        <v>3204</v>
      </c>
      <c r="C114" s="3482" t="s">
        <v>3203</v>
      </c>
      <c r="D114" s="3482" t="s">
        <v>3202</v>
      </c>
      <c r="E114" s="3482" t="s">
        <v>3201</v>
      </c>
      <c r="F114" s="3482">
        <v>11358.93</v>
      </c>
      <c r="G114" s="3482">
        <v>71561.259999999995</v>
      </c>
      <c r="H114" s="3482" t="s">
        <v>3326</v>
      </c>
      <c r="I114" s="3482" t="s">
        <v>3325</v>
      </c>
      <c r="J114" s="3482" t="s">
        <v>3324</v>
      </c>
      <c r="K114" s="3482">
        <v>4283</v>
      </c>
      <c r="L114" s="3482">
        <v>598.5</v>
      </c>
      <c r="M114" s="3482" t="s">
        <v>2817</v>
      </c>
      <c r="N114" s="3482" t="s">
        <v>3197</v>
      </c>
    </row>
    <row r="115" spans="1:14">
      <c r="A115" s="3482" t="s">
        <v>3323</v>
      </c>
      <c r="B115" s="3482" t="s">
        <v>3204</v>
      </c>
      <c r="C115" s="3482" t="s">
        <v>3203</v>
      </c>
      <c r="D115" s="3482" t="s">
        <v>3202</v>
      </c>
      <c r="E115" s="3482" t="s">
        <v>923</v>
      </c>
      <c r="F115" s="3482">
        <v>9347.25</v>
      </c>
      <c r="G115" s="3482">
        <v>27948.28</v>
      </c>
      <c r="H115" s="3482" t="s">
        <v>3322</v>
      </c>
      <c r="I115" s="3482" t="s">
        <v>3321</v>
      </c>
      <c r="J115" s="3482" t="s">
        <v>3320</v>
      </c>
      <c r="K115" s="3482">
        <v>1650</v>
      </c>
      <c r="L115" s="3482">
        <v>590.37</v>
      </c>
      <c r="M115" s="3482">
        <v>0</v>
      </c>
      <c r="N115" s="3482" t="s">
        <v>3319</v>
      </c>
    </row>
    <row r="116" spans="1:14">
      <c r="A116" s="3482" t="s">
        <v>3318</v>
      </c>
      <c r="B116" s="3482" t="s">
        <v>3204</v>
      </c>
      <c r="C116" s="3482" t="s">
        <v>3203</v>
      </c>
      <c r="D116" s="3482" t="s">
        <v>3202</v>
      </c>
      <c r="E116" s="3482" t="s">
        <v>3201</v>
      </c>
      <c r="F116" s="3482">
        <v>18050.79</v>
      </c>
      <c r="G116" s="3482">
        <v>67455.8</v>
      </c>
      <c r="H116" s="3482" t="s">
        <v>3317</v>
      </c>
      <c r="I116" s="3482" t="s">
        <v>3316</v>
      </c>
      <c r="J116" s="3482" t="s">
        <v>3315</v>
      </c>
      <c r="K116" s="3482">
        <v>3966</v>
      </c>
      <c r="L116" s="3482">
        <v>587.94000000000005</v>
      </c>
      <c r="M116" s="3482">
        <v>0</v>
      </c>
      <c r="N116" s="3482" t="s">
        <v>3197</v>
      </c>
    </row>
    <row r="117" spans="1:14">
      <c r="A117" s="3482" t="s">
        <v>3314</v>
      </c>
      <c r="B117" s="3482" t="s">
        <v>3204</v>
      </c>
      <c r="C117" s="3482" t="s">
        <v>3208</v>
      </c>
      <c r="D117" s="3482" t="s">
        <v>3202</v>
      </c>
      <c r="E117" s="3482" t="s">
        <v>3207</v>
      </c>
      <c r="F117" s="3482">
        <v>44504.67</v>
      </c>
      <c r="G117" s="3482">
        <v>155766.29999999999</v>
      </c>
      <c r="H117" s="3482" t="s">
        <v>3313</v>
      </c>
      <c r="I117" s="3482" t="s">
        <v>3312</v>
      </c>
      <c r="J117" s="3482" t="s">
        <v>3311</v>
      </c>
      <c r="K117" s="3482">
        <v>8820</v>
      </c>
      <c r="L117" s="3482">
        <v>566.23</v>
      </c>
      <c r="M117" s="3482">
        <v>0</v>
      </c>
      <c r="N117" s="3482" t="s">
        <v>3206</v>
      </c>
    </row>
    <row r="118" spans="1:14">
      <c r="A118" s="3482" t="s">
        <v>3310</v>
      </c>
      <c r="B118" s="3482" t="s">
        <v>3204</v>
      </c>
      <c r="C118" s="3482" t="s">
        <v>3203</v>
      </c>
      <c r="D118" s="3482" t="s">
        <v>3202</v>
      </c>
      <c r="E118" s="3482" t="s">
        <v>3201</v>
      </c>
      <c r="F118" s="3482">
        <v>7608.05</v>
      </c>
      <c r="G118" s="3482">
        <v>11412.08</v>
      </c>
      <c r="H118" s="3482" t="s">
        <v>3303</v>
      </c>
      <c r="I118" s="3482" t="s">
        <v>3229</v>
      </c>
      <c r="J118" s="3482" t="s">
        <v>3309</v>
      </c>
      <c r="K118" s="3482">
        <v>634</v>
      </c>
      <c r="L118" s="3482">
        <v>555.54</v>
      </c>
      <c r="M118" s="3482">
        <v>0</v>
      </c>
      <c r="N118" s="3482" t="s">
        <v>3197</v>
      </c>
    </row>
    <row r="119" spans="1:14">
      <c r="A119" s="3482" t="s">
        <v>3308</v>
      </c>
      <c r="B119" s="3482" t="s">
        <v>3204</v>
      </c>
      <c r="C119" s="3482" t="s">
        <v>3203</v>
      </c>
      <c r="D119" s="3482" t="s">
        <v>3202</v>
      </c>
      <c r="E119" s="3482" t="s">
        <v>923</v>
      </c>
      <c r="F119" s="3482">
        <v>7629.36</v>
      </c>
      <c r="G119" s="3482">
        <v>21743.68</v>
      </c>
      <c r="H119" s="3482" t="s">
        <v>3307</v>
      </c>
      <c r="I119" s="3482" t="s">
        <v>3282</v>
      </c>
      <c r="J119" s="3482" t="s">
        <v>3281</v>
      </c>
      <c r="K119" s="3482">
        <v>1200</v>
      </c>
      <c r="L119" s="3482">
        <v>551.87</v>
      </c>
      <c r="M119" s="3482">
        <v>0</v>
      </c>
      <c r="N119" s="3482" t="s">
        <v>3197</v>
      </c>
    </row>
    <row r="120" spans="1:14">
      <c r="A120" s="3482" t="s">
        <v>3306</v>
      </c>
      <c r="B120" s="3482" t="s">
        <v>3204</v>
      </c>
      <c r="C120" s="3482" t="s">
        <v>3203</v>
      </c>
      <c r="D120" s="3482" t="s">
        <v>3202</v>
      </c>
      <c r="E120" s="3482" t="s">
        <v>3203</v>
      </c>
      <c r="F120" s="3482">
        <v>48910.27</v>
      </c>
      <c r="G120" s="3482">
        <v>153578.29999999999</v>
      </c>
      <c r="H120" s="3482" t="s">
        <v>3305</v>
      </c>
      <c r="I120" s="3482" t="s">
        <v>3282</v>
      </c>
      <c r="J120" s="3482" t="s">
        <v>3281</v>
      </c>
      <c r="K120" s="3482">
        <v>8400</v>
      </c>
      <c r="L120" s="3482">
        <v>546.95000000000005</v>
      </c>
      <c r="M120" s="3482">
        <v>0</v>
      </c>
      <c r="N120" s="3482" t="s">
        <v>3197</v>
      </c>
    </row>
    <row r="121" spans="1:14" s="3483" customFormat="1">
      <c r="A121" s="3482" t="s">
        <v>3304</v>
      </c>
      <c r="B121" s="3482" t="s">
        <v>3204</v>
      </c>
      <c r="C121" s="3482" t="s">
        <v>3203</v>
      </c>
      <c r="D121" s="3482" t="s">
        <v>3202</v>
      </c>
      <c r="E121" s="3482" t="s">
        <v>3201</v>
      </c>
      <c r="F121" s="3482">
        <v>21175.62</v>
      </c>
      <c r="G121" s="3482">
        <v>31763.43</v>
      </c>
      <c r="H121" s="3482" t="s">
        <v>3303</v>
      </c>
      <c r="I121" s="3482" t="s">
        <v>3225</v>
      </c>
      <c r="J121" s="3482" t="s">
        <v>3302</v>
      </c>
      <c r="K121" s="3482">
        <v>1688</v>
      </c>
      <c r="L121" s="3482">
        <v>531.41999999999996</v>
      </c>
      <c r="M121" s="3482" t="s">
        <v>2817</v>
      </c>
      <c r="N121" s="3482" t="s">
        <v>3197</v>
      </c>
    </row>
    <row r="122" spans="1:14">
      <c r="A122" s="3482" t="s">
        <v>3301</v>
      </c>
      <c r="B122" s="3482" t="s">
        <v>3204</v>
      </c>
      <c r="C122" s="3482" t="s">
        <v>3208</v>
      </c>
      <c r="D122" s="3482" t="s">
        <v>3202</v>
      </c>
      <c r="E122" s="3482" t="s">
        <v>3207</v>
      </c>
      <c r="F122" s="3482">
        <v>32750.799999999999</v>
      </c>
      <c r="G122" s="3482">
        <v>105130.1</v>
      </c>
      <c r="H122" s="3482" t="s">
        <v>3300</v>
      </c>
      <c r="I122" s="3482" t="s">
        <v>3297</v>
      </c>
      <c r="J122" s="3482" t="s">
        <v>3296</v>
      </c>
      <c r="K122" s="3482">
        <v>5360</v>
      </c>
      <c r="L122" s="3482">
        <v>509.83</v>
      </c>
      <c r="M122" s="3482">
        <v>0</v>
      </c>
      <c r="N122" s="3482" t="s">
        <v>3206</v>
      </c>
    </row>
    <row r="123" spans="1:14">
      <c r="A123" s="3482" t="s">
        <v>3299</v>
      </c>
      <c r="B123" s="3482" t="s">
        <v>3204</v>
      </c>
      <c r="C123" s="3482" t="s">
        <v>3208</v>
      </c>
      <c r="D123" s="3482" t="s">
        <v>3202</v>
      </c>
      <c r="E123" s="3482" t="s">
        <v>3207</v>
      </c>
      <c r="F123" s="3482">
        <v>37012.61</v>
      </c>
      <c r="G123" s="3482">
        <v>120291</v>
      </c>
      <c r="H123" s="3482" t="s">
        <v>3298</v>
      </c>
      <c r="I123" s="3482" t="s">
        <v>3297</v>
      </c>
      <c r="J123" s="3482" t="s">
        <v>3296</v>
      </c>
      <c r="K123" s="3482">
        <v>6080</v>
      </c>
      <c r="L123" s="3482">
        <v>505.43</v>
      </c>
      <c r="M123" s="3482">
        <v>0</v>
      </c>
      <c r="N123" s="3482" t="s">
        <v>3206</v>
      </c>
    </row>
    <row r="124" spans="1:14">
      <c r="A124" s="3482" t="s">
        <v>3295</v>
      </c>
      <c r="B124" s="3482" t="s">
        <v>3204</v>
      </c>
      <c r="C124" s="3482" t="s">
        <v>3208</v>
      </c>
      <c r="D124" s="3482" t="s">
        <v>3202</v>
      </c>
      <c r="E124" s="3482" t="s">
        <v>3294</v>
      </c>
      <c r="F124" s="3482">
        <v>21472.6</v>
      </c>
      <c r="G124" s="3482">
        <v>75154.100000000006</v>
      </c>
      <c r="H124" s="3482" t="s">
        <v>3293</v>
      </c>
      <c r="I124" s="3482" t="s">
        <v>3292</v>
      </c>
      <c r="J124" s="3482" t="s">
        <v>3291</v>
      </c>
      <c r="K124" s="3482">
        <v>3784.55</v>
      </c>
      <c r="L124" s="3482">
        <v>503.56</v>
      </c>
      <c r="M124" s="3482">
        <v>0</v>
      </c>
      <c r="N124" s="3482" t="s">
        <v>3290</v>
      </c>
    </row>
    <row r="125" spans="1:14">
      <c r="A125" s="3482" t="s">
        <v>3289</v>
      </c>
      <c r="B125" s="3482" t="s">
        <v>3204</v>
      </c>
      <c r="C125" s="3482" t="s">
        <v>3208</v>
      </c>
      <c r="D125" s="3482" t="s">
        <v>3202</v>
      </c>
      <c r="E125" s="3482" t="s">
        <v>3207</v>
      </c>
      <c r="F125" s="3482">
        <v>16789.53</v>
      </c>
      <c r="G125" s="3482">
        <v>66318.64</v>
      </c>
      <c r="H125" s="3482" t="s">
        <v>3288</v>
      </c>
      <c r="I125" s="3482" t="s">
        <v>3287</v>
      </c>
      <c r="J125" s="3482" t="s">
        <v>3218</v>
      </c>
      <c r="K125" s="3482">
        <v>3299</v>
      </c>
      <c r="L125" s="3482">
        <v>497.44</v>
      </c>
      <c r="M125" s="3482">
        <v>0</v>
      </c>
      <c r="N125" s="3482" t="s">
        <v>3206</v>
      </c>
    </row>
    <row r="126" spans="1:14">
      <c r="A126" s="3482" t="s">
        <v>3286</v>
      </c>
      <c r="B126" s="3482" t="s">
        <v>3204</v>
      </c>
      <c r="C126" s="3482" t="s">
        <v>3208</v>
      </c>
      <c r="D126" s="3482" t="s">
        <v>3271</v>
      </c>
      <c r="E126" s="3482" t="s">
        <v>3270</v>
      </c>
      <c r="F126" s="3482">
        <v>117203.5</v>
      </c>
      <c r="G126" s="3482">
        <v>351610.4</v>
      </c>
      <c r="H126" s="3482" t="s">
        <v>3269</v>
      </c>
      <c r="I126" s="3482" t="s">
        <v>3268</v>
      </c>
      <c r="J126" s="3482" t="s">
        <v>3285</v>
      </c>
      <c r="K126" s="3482">
        <v>17222</v>
      </c>
      <c r="L126" s="3482">
        <v>489.8</v>
      </c>
      <c r="M126" s="3482" t="s">
        <v>2817</v>
      </c>
      <c r="N126" s="3482" t="s">
        <v>3266</v>
      </c>
    </row>
    <row r="127" spans="1:14">
      <c r="A127" s="3482" t="s">
        <v>3284</v>
      </c>
      <c r="B127" s="3482" t="s">
        <v>3204</v>
      </c>
      <c r="C127" s="3482" t="s">
        <v>3203</v>
      </c>
      <c r="D127" s="3482" t="s">
        <v>3202</v>
      </c>
      <c r="E127" s="3482" t="s">
        <v>923</v>
      </c>
      <c r="F127" s="3482">
        <v>64523.62</v>
      </c>
      <c r="G127" s="3482">
        <v>231639.8</v>
      </c>
      <c r="H127" s="3482" t="s">
        <v>3283</v>
      </c>
      <c r="I127" s="3482" t="s">
        <v>3282</v>
      </c>
      <c r="J127" s="3482" t="s">
        <v>3281</v>
      </c>
      <c r="K127" s="3482">
        <v>11200</v>
      </c>
      <c r="L127" s="3482">
        <v>483.5</v>
      </c>
      <c r="M127" s="3482">
        <v>0</v>
      </c>
      <c r="N127" s="3482" t="s">
        <v>3197</v>
      </c>
    </row>
    <row r="128" spans="1:14">
      <c r="A128" s="3482" t="s">
        <v>3280</v>
      </c>
      <c r="B128" s="3482" t="s">
        <v>3204</v>
      </c>
      <c r="C128" s="3482" t="s">
        <v>3203</v>
      </c>
      <c r="D128" s="3482" t="s">
        <v>3202</v>
      </c>
      <c r="E128" s="3482" t="s">
        <v>3201</v>
      </c>
      <c r="F128" s="3482">
        <v>42366.93</v>
      </c>
      <c r="G128" s="3482">
        <v>153792</v>
      </c>
      <c r="H128" s="3482" t="s">
        <v>3279</v>
      </c>
      <c r="I128" s="3482" t="s">
        <v>3278</v>
      </c>
      <c r="J128" s="3482" t="s">
        <v>3277</v>
      </c>
      <c r="K128" s="3482">
        <v>7280</v>
      </c>
      <c r="L128" s="3482">
        <v>473.37</v>
      </c>
      <c r="M128" s="3482">
        <v>0</v>
      </c>
      <c r="N128" s="3482" t="s">
        <v>3197</v>
      </c>
    </row>
    <row r="129" spans="1:14">
      <c r="A129" s="3482" t="s">
        <v>3276</v>
      </c>
      <c r="B129" s="3482" t="s">
        <v>3204</v>
      </c>
      <c r="C129" s="3482" t="s">
        <v>3203</v>
      </c>
      <c r="D129" s="3482" t="s">
        <v>3202</v>
      </c>
      <c r="E129" s="3482" t="s">
        <v>3201</v>
      </c>
      <c r="F129" s="3482">
        <v>63448.1</v>
      </c>
      <c r="G129" s="3482">
        <v>251254.5</v>
      </c>
      <c r="H129" s="3482" t="s">
        <v>3275</v>
      </c>
      <c r="I129" s="3482" t="s">
        <v>3274</v>
      </c>
      <c r="J129" s="3482" t="s">
        <v>3273</v>
      </c>
      <c r="K129" s="3482">
        <v>11200</v>
      </c>
      <c r="L129" s="3482">
        <v>445.75</v>
      </c>
      <c r="M129" s="3482">
        <v>0</v>
      </c>
      <c r="N129" s="3482" t="s">
        <v>3197</v>
      </c>
    </row>
    <row r="130" spans="1:14">
      <c r="A130" s="3482" t="s">
        <v>3272</v>
      </c>
      <c r="B130" s="3482" t="s">
        <v>3204</v>
      </c>
      <c r="C130" s="3482" t="s">
        <v>3208</v>
      </c>
      <c r="D130" s="3482" t="s">
        <v>3271</v>
      </c>
      <c r="E130" s="3482" t="s">
        <v>3270</v>
      </c>
      <c r="F130" s="3482">
        <v>49932.68</v>
      </c>
      <c r="G130" s="3482">
        <v>149798</v>
      </c>
      <c r="H130" s="3482" t="s">
        <v>3269</v>
      </c>
      <c r="I130" s="3482" t="s">
        <v>3268</v>
      </c>
      <c r="J130" s="3482" t="s">
        <v>3267</v>
      </c>
      <c r="K130" s="3482">
        <v>6501</v>
      </c>
      <c r="L130" s="3482">
        <v>433.98</v>
      </c>
      <c r="M130" s="3482" t="s">
        <v>2817</v>
      </c>
      <c r="N130" s="3482" t="s">
        <v>3266</v>
      </c>
    </row>
    <row r="131" spans="1:14">
      <c r="A131" s="3482" t="s">
        <v>3265</v>
      </c>
      <c r="B131" s="3482" t="s">
        <v>3204</v>
      </c>
      <c r="C131" s="3482" t="s">
        <v>3208</v>
      </c>
      <c r="D131" s="3482" t="s">
        <v>3202</v>
      </c>
      <c r="E131" s="3482" t="s">
        <v>3207</v>
      </c>
      <c r="F131" s="3482">
        <v>47781.84</v>
      </c>
      <c r="G131" s="3482">
        <v>202595</v>
      </c>
      <c r="H131" s="3482" t="s">
        <v>3264</v>
      </c>
      <c r="I131" s="3482" t="s">
        <v>3263</v>
      </c>
      <c r="J131" s="3482" t="s">
        <v>3262</v>
      </c>
      <c r="K131" s="3482">
        <v>8560</v>
      </c>
      <c r="L131" s="3482">
        <v>422.51</v>
      </c>
      <c r="M131" s="3482">
        <v>0</v>
      </c>
      <c r="N131" s="3482" t="s">
        <v>3206</v>
      </c>
    </row>
    <row r="132" spans="1:14">
      <c r="A132" s="3482" t="s">
        <v>3235</v>
      </c>
      <c r="B132" s="3482" t="s">
        <v>3204</v>
      </c>
      <c r="C132" s="3482" t="s">
        <v>3203</v>
      </c>
      <c r="D132" s="3482" t="s">
        <v>3202</v>
      </c>
      <c r="E132" s="3482" t="s">
        <v>3212</v>
      </c>
      <c r="F132" s="3482">
        <v>39093.129999999997</v>
      </c>
      <c r="G132" s="3482">
        <v>144644.6</v>
      </c>
      <c r="H132" s="3482" t="s">
        <v>3234</v>
      </c>
      <c r="I132" s="3482" t="s">
        <v>3233</v>
      </c>
      <c r="J132" s="3482" t="s">
        <v>3232</v>
      </c>
      <c r="K132" s="3482">
        <v>5880</v>
      </c>
      <c r="L132" s="3482">
        <v>406.5</v>
      </c>
      <c r="M132" s="3482">
        <v>0</v>
      </c>
      <c r="N132" s="3482" t="s">
        <v>3197</v>
      </c>
    </row>
    <row r="133" spans="1:14">
      <c r="A133" s="3482" t="s">
        <v>3261</v>
      </c>
      <c r="B133" s="3482" t="s">
        <v>3204</v>
      </c>
      <c r="C133" s="3482" t="s">
        <v>3208</v>
      </c>
      <c r="D133" s="3482" t="s">
        <v>3202</v>
      </c>
      <c r="E133" s="3482" t="s">
        <v>3207</v>
      </c>
      <c r="F133" s="3482">
        <v>22265.919999999998</v>
      </c>
      <c r="G133" s="3482">
        <v>127361.1</v>
      </c>
      <c r="H133" s="3482" t="s">
        <v>3260</v>
      </c>
      <c r="I133" s="3482" t="s">
        <v>3259</v>
      </c>
      <c r="J133" s="3482" t="s">
        <v>3258</v>
      </c>
      <c r="K133" s="3482">
        <v>5115</v>
      </c>
      <c r="L133" s="3482">
        <v>401.61</v>
      </c>
      <c r="M133" s="3482">
        <v>0</v>
      </c>
      <c r="N133" s="3482" t="s">
        <v>3206</v>
      </c>
    </row>
    <row r="134" spans="1:14">
      <c r="A134" s="3482" t="s">
        <v>3257</v>
      </c>
      <c r="B134" s="3482" t="s">
        <v>3204</v>
      </c>
      <c r="C134" s="3482" t="s">
        <v>3203</v>
      </c>
      <c r="D134" s="3482" t="s">
        <v>3202</v>
      </c>
      <c r="E134" s="3482" t="s">
        <v>3201</v>
      </c>
      <c r="F134" s="3482">
        <v>14106.15</v>
      </c>
      <c r="G134" s="3482">
        <v>112143.9</v>
      </c>
      <c r="H134" s="3482">
        <v>7.95</v>
      </c>
      <c r="I134" s="3482" t="s">
        <v>3256</v>
      </c>
      <c r="J134" s="3482" t="s">
        <v>3255</v>
      </c>
      <c r="K134" s="3482">
        <v>4473</v>
      </c>
      <c r="L134" s="3482">
        <v>398.86</v>
      </c>
      <c r="M134" s="3482">
        <v>0</v>
      </c>
      <c r="N134" s="3482" t="s">
        <v>3197</v>
      </c>
    </row>
    <row r="135" spans="1:14">
      <c r="A135" s="3482" t="s">
        <v>3254</v>
      </c>
      <c r="B135" s="3482" t="s">
        <v>3204</v>
      </c>
      <c r="C135" s="3482" t="s">
        <v>3208</v>
      </c>
      <c r="D135" s="3482" t="s">
        <v>3202</v>
      </c>
      <c r="E135" s="3482" t="s">
        <v>3207</v>
      </c>
      <c r="F135" s="3482">
        <v>26428.07</v>
      </c>
      <c r="G135" s="3482">
        <v>107298</v>
      </c>
      <c r="H135" s="3482" t="s">
        <v>3253</v>
      </c>
      <c r="I135" s="3482" t="s">
        <v>3252</v>
      </c>
      <c r="J135" s="3482" t="s">
        <v>3251</v>
      </c>
      <c r="K135" s="3482">
        <v>4220</v>
      </c>
      <c r="L135" s="3482">
        <v>393.3</v>
      </c>
      <c r="M135" s="3482">
        <v>0</v>
      </c>
      <c r="N135" s="3482" t="s">
        <v>3206</v>
      </c>
    </row>
    <row r="136" spans="1:14">
      <c r="A136" s="3482" t="s">
        <v>3250</v>
      </c>
      <c r="B136" s="3482" t="s">
        <v>3204</v>
      </c>
      <c r="C136" s="3482" t="s">
        <v>3203</v>
      </c>
      <c r="D136" s="3482" t="s">
        <v>3202</v>
      </c>
      <c r="E136" s="3482" t="s">
        <v>3201</v>
      </c>
      <c r="F136" s="3482">
        <v>51782.89</v>
      </c>
      <c r="G136" s="3482">
        <v>129457.2</v>
      </c>
      <c r="H136" s="3482" t="s">
        <v>3249</v>
      </c>
      <c r="I136" s="3482" t="s">
        <v>3229</v>
      </c>
      <c r="J136" s="3482" t="s">
        <v>3248</v>
      </c>
      <c r="K136" s="3482">
        <v>4216</v>
      </c>
      <c r="L136" s="3482">
        <v>325.67</v>
      </c>
      <c r="M136" s="3482">
        <v>0</v>
      </c>
      <c r="N136" s="3482" t="s">
        <v>3197</v>
      </c>
    </row>
    <row r="137" spans="1:14">
      <c r="A137" s="3482" t="s">
        <v>3223</v>
      </c>
      <c r="B137" s="3482" t="s">
        <v>3204</v>
      </c>
      <c r="C137" s="3482" t="s">
        <v>3203</v>
      </c>
      <c r="D137" s="3482" t="s">
        <v>3202</v>
      </c>
      <c r="E137" s="3482" t="s">
        <v>3201</v>
      </c>
      <c r="F137" s="3482">
        <v>26629.96</v>
      </c>
      <c r="G137" s="3482">
        <v>71900.89</v>
      </c>
      <c r="H137" s="3482" t="s">
        <v>3246</v>
      </c>
      <c r="I137" s="3482" t="s">
        <v>3245</v>
      </c>
      <c r="J137" s="3482" t="s">
        <v>3244</v>
      </c>
      <c r="K137" s="3482">
        <v>2253</v>
      </c>
      <c r="L137" s="3482">
        <v>313.35000000000002</v>
      </c>
      <c r="M137" s="3482">
        <v>0</v>
      </c>
      <c r="N137" s="3482" t="s">
        <v>3197</v>
      </c>
    </row>
    <row r="138" spans="1:14" s="3483" customFormat="1">
      <c r="A138" s="3482" t="s">
        <v>3247</v>
      </c>
      <c r="B138" s="3482" t="s">
        <v>3204</v>
      </c>
      <c r="C138" s="3482" t="s">
        <v>3203</v>
      </c>
      <c r="D138" s="3482" t="s">
        <v>3202</v>
      </c>
      <c r="E138" s="3482" t="s">
        <v>3201</v>
      </c>
      <c r="F138" s="3482">
        <v>51551.48</v>
      </c>
      <c r="G138" s="3482">
        <v>139189</v>
      </c>
      <c r="H138" s="3482" t="s">
        <v>3246</v>
      </c>
      <c r="I138" s="3482" t="s">
        <v>3245</v>
      </c>
      <c r="J138" s="3482" t="s">
        <v>3244</v>
      </c>
      <c r="K138" s="3482">
        <v>4326</v>
      </c>
      <c r="L138" s="3482">
        <v>310.8</v>
      </c>
      <c r="M138" s="3482">
        <v>0</v>
      </c>
      <c r="N138" s="3482" t="s">
        <v>3197</v>
      </c>
    </row>
    <row r="139" spans="1:14">
      <c r="A139" s="3482" t="s">
        <v>3243</v>
      </c>
      <c r="B139" s="3482" t="s">
        <v>3204</v>
      </c>
      <c r="C139" s="3482" t="s">
        <v>3203</v>
      </c>
      <c r="D139" s="3482" t="s">
        <v>3202</v>
      </c>
      <c r="E139" s="3482" t="s">
        <v>3201</v>
      </c>
      <c r="F139" s="3482">
        <v>33691.4</v>
      </c>
      <c r="G139" s="3482">
        <v>117919.9</v>
      </c>
      <c r="H139" s="3482" t="s">
        <v>3242</v>
      </c>
      <c r="I139" s="3482" t="s">
        <v>3241</v>
      </c>
      <c r="J139" s="3482" t="s">
        <v>3240</v>
      </c>
      <c r="K139" s="3482">
        <v>3233</v>
      </c>
      <c r="L139" s="3482">
        <v>274.17</v>
      </c>
      <c r="M139" s="3482">
        <v>0</v>
      </c>
      <c r="N139" s="3482" t="s">
        <v>3197</v>
      </c>
    </row>
    <row r="140" spans="1:14">
      <c r="A140" s="3482" t="s">
        <v>3217</v>
      </c>
      <c r="B140" s="3482" t="s">
        <v>3204</v>
      </c>
      <c r="C140" s="3482" t="s">
        <v>3208</v>
      </c>
      <c r="D140" s="3482" t="s">
        <v>3202</v>
      </c>
      <c r="E140" s="3482" t="s">
        <v>3239</v>
      </c>
      <c r="F140" s="3482">
        <v>63359.41</v>
      </c>
      <c r="G140" s="3482">
        <v>181296.3</v>
      </c>
      <c r="H140" s="3482" t="s">
        <v>3238</v>
      </c>
      <c r="I140" s="3482" t="s">
        <v>3237</v>
      </c>
      <c r="J140" s="3482" t="s">
        <v>3214</v>
      </c>
      <c r="K140" s="3482">
        <v>4819</v>
      </c>
      <c r="L140" s="3482">
        <v>265.81</v>
      </c>
      <c r="M140" s="3482">
        <v>0</v>
      </c>
      <c r="N140" s="3482" t="s">
        <v>3236</v>
      </c>
    </row>
    <row r="141" spans="1:14">
      <c r="A141" s="3482" t="s">
        <v>3235</v>
      </c>
      <c r="B141" s="3482" t="s">
        <v>3204</v>
      </c>
      <c r="C141" s="3482" t="s">
        <v>3203</v>
      </c>
      <c r="D141" s="3482" t="s">
        <v>3202</v>
      </c>
      <c r="E141" s="3482" t="s">
        <v>3212</v>
      </c>
      <c r="F141" s="3482">
        <v>48436.639999999999</v>
      </c>
      <c r="G141" s="3482">
        <v>179215.6</v>
      </c>
      <c r="H141" s="3482" t="s">
        <v>3234</v>
      </c>
      <c r="I141" s="3482" t="s">
        <v>3233</v>
      </c>
      <c r="J141" s="3482" t="s">
        <v>3232</v>
      </c>
      <c r="K141" s="3482">
        <v>4580</v>
      </c>
      <c r="L141" s="3482">
        <v>255.56</v>
      </c>
      <c r="M141" s="3482">
        <v>0</v>
      </c>
      <c r="N141" s="3482" t="s">
        <v>3197</v>
      </c>
    </row>
    <row r="142" spans="1:14" s="3483" customFormat="1">
      <c r="A142" s="3482" t="s">
        <v>3231</v>
      </c>
      <c r="B142" s="3482" t="s">
        <v>3204</v>
      </c>
      <c r="C142" s="3482" t="s">
        <v>3203</v>
      </c>
      <c r="D142" s="3482" t="s">
        <v>3202</v>
      </c>
      <c r="E142" s="3482" t="s">
        <v>3201</v>
      </c>
      <c r="F142" s="3482">
        <v>45590.8</v>
      </c>
      <c r="G142" s="3482">
        <v>150449.60000000001</v>
      </c>
      <c r="H142" s="3482" t="s">
        <v>3230</v>
      </c>
      <c r="I142" s="3482" t="s">
        <v>3229</v>
      </c>
      <c r="J142" s="3482" t="s">
        <v>3228</v>
      </c>
      <c r="K142" s="3482">
        <v>3698</v>
      </c>
      <c r="L142" s="3482">
        <v>245.8</v>
      </c>
      <c r="M142" s="3482">
        <v>0</v>
      </c>
      <c r="N142" s="3482" t="s">
        <v>3197</v>
      </c>
    </row>
    <row r="143" spans="1:14">
      <c r="A143" s="3482" t="s">
        <v>3227</v>
      </c>
      <c r="B143" s="3482" t="s">
        <v>3204</v>
      </c>
      <c r="C143" s="3482" t="s">
        <v>3203</v>
      </c>
      <c r="D143" s="3482" t="s">
        <v>3202</v>
      </c>
      <c r="E143" s="3482" t="s">
        <v>3201</v>
      </c>
      <c r="F143" s="3482">
        <v>33002.43</v>
      </c>
      <c r="G143" s="3482">
        <v>115508.5</v>
      </c>
      <c r="H143" s="3482" t="s">
        <v>3211</v>
      </c>
      <c r="I143" s="3482" t="s">
        <v>3215</v>
      </c>
      <c r="J143" s="3482" t="s">
        <v>3222</v>
      </c>
      <c r="K143" s="3482">
        <v>2809</v>
      </c>
      <c r="L143" s="3482">
        <v>243.18</v>
      </c>
      <c r="M143" s="3482">
        <v>0</v>
      </c>
      <c r="N143" s="3482" t="s">
        <v>3197</v>
      </c>
    </row>
    <row r="144" spans="1:14">
      <c r="A144" s="3482" t="s">
        <v>3226</v>
      </c>
      <c r="B144" s="3482" t="s">
        <v>3204</v>
      </c>
      <c r="C144" s="3482" t="s">
        <v>3203</v>
      </c>
      <c r="D144" s="3482" t="s">
        <v>3202</v>
      </c>
      <c r="E144" s="3482" t="s">
        <v>3201</v>
      </c>
      <c r="F144" s="3482">
        <v>52252.75</v>
      </c>
      <c r="G144" s="3482">
        <v>182884.6</v>
      </c>
      <c r="H144" s="3482" t="s">
        <v>3211</v>
      </c>
      <c r="I144" s="3482" t="s">
        <v>3225</v>
      </c>
      <c r="J144" s="3482" t="s">
        <v>3224</v>
      </c>
      <c r="K144" s="3482">
        <v>4437</v>
      </c>
      <c r="L144" s="3482">
        <v>242.61</v>
      </c>
      <c r="M144" s="3482" t="s">
        <v>2817</v>
      </c>
      <c r="N144" s="3482" t="s">
        <v>3197</v>
      </c>
    </row>
    <row r="145" spans="1:14">
      <c r="A145" s="3482" t="s">
        <v>3223</v>
      </c>
      <c r="B145" s="3482" t="s">
        <v>3204</v>
      </c>
      <c r="C145" s="3482" t="s">
        <v>3203</v>
      </c>
      <c r="D145" s="3482" t="s">
        <v>3202</v>
      </c>
      <c r="E145" s="3482" t="s">
        <v>3201</v>
      </c>
      <c r="F145" s="3482">
        <v>42096.37</v>
      </c>
      <c r="G145" s="3482">
        <v>147337.29999999999</v>
      </c>
      <c r="H145" s="3482" t="s">
        <v>3211</v>
      </c>
      <c r="I145" s="3482" t="s">
        <v>3215</v>
      </c>
      <c r="J145" s="3482" t="s">
        <v>3222</v>
      </c>
      <c r="K145" s="3482">
        <v>3553</v>
      </c>
      <c r="L145" s="3482">
        <v>241.15</v>
      </c>
      <c r="M145" s="3482">
        <v>0</v>
      </c>
      <c r="N145" s="3482" t="s">
        <v>3197</v>
      </c>
    </row>
    <row r="146" spans="1:14">
      <c r="A146" s="3482" t="s">
        <v>3221</v>
      </c>
      <c r="B146" s="3482" t="s">
        <v>3204</v>
      </c>
      <c r="C146" s="3482" t="s">
        <v>3208</v>
      </c>
      <c r="D146" s="3482" t="s">
        <v>3202</v>
      </c>
      <c r="E146" s="3482" t="s">
        <v>3220</v>
      </c>
      <c r="F146" s="3482">
        <v>91352.9</v>
      </c>
      <c r="G146" s="3482">
        <v>332524.59999999998</v>
      </c>
      <c r="H146" s="3482">
        <v>3.64</v>
      </c>
      <c r="I146" s="3482" t="s">
        <v>3219</v>
      </c>
      <c r="J146" s="3482" t="s">
        <v>3218</v>
      </c>
      <c r="K146" s="3482">
        <v>8016</v>
      </c>
      <c r="L146" s="3482">
        <v>241.06</v>
      </c>
      <c r="M146" s="3482">
        <v>0</v>
      </c>
      <c r="N146" s="3482" t="s">
        <v>3206</v>
      </c>
    </row>
    <row r="147" spans="1:14">
      <c r="A147" s="3482" t="s">
        <v>3217</v>
      </c>
      <c r="B147" s="3482" t="s">
        <v>3204</v>
      </c>
      <c r="C147" s="3482" t="s">
        <v>3203</v>
      </c>
      <c r="D147" s="3482" t="s">
        <v>3202</v>
      </c>
      <c r="E147" s="3482" t="s">
        <v>3201</v>
      </c>
      <c r="F147" s="3482">
        <v>56135.47</v>
      </c>
      <c r="G147" s="3482">
        <v>196474.2</v>
      </c>
      <c r="H147" s="3482" t="s">
        <v>3216</v>
      </c>
      <c r="I147" s="3482" t="s">
        <v>3215</v>
      </c>
      <c r="J147" s="3482" t="s">
        <v>3214</v>
      </c>
      <c r="K147" s="3482">
        <v>4727</v>
      </c>
      <c r="L147" s="3482">
        <v>240.59</v>
      </c>
      <c r="M147" s="3482">
        <v>0</v>
      </c>
      <c r="N147" s="3482" t="s">
        <v>3197</v>
      </c>
    </row>
    <row r="148" spans="1:14">
      <c r="A148" s="3482" t="s">
        <v>3217</v>
      </c>
      <c r="B148" s="3482" t="s">
        <v>3204</v>
      </c>
      <c r="C148" s="3482" t="s">
        <v>3203</v>
      </c>
      <c r="D148" s="3482" t="s">
        <v>3202</v>
      </c>
      <c r="E148" s="3482" t="s">
        <v>3201</v>
      </c>
      <c r="F148" s="3482">
        <v>69761.600000000006</v>
      </c>
      <c r="G148" s="3482">
        <v>244165.6</v>
      </c>
      <c r="H148" s="3482" t="s">
        <v>3216</v>
      </c>
      <c r="I148" s="3482" t="s">
        <v>3215</v>
      </c>
      <c r="J148" s="3482" t="s">
        <v>3214</v>
      </c>
      <c r="K148" s="3482">
        <v>5867</v>
      </c>
      <c r="L148" s="3482">
        <v>240.28</v>
      </c>
      <c r="M148" s="3482">
        <v>0</v>
      </c>
      <c r="N148" s="3482" t="s">
        <v>3197</v>
      </c>
    </row>
    <row r="149" spans="1:14">
      <c r="A149" s="3482" t="s">
        <v>3213</v>
      </c>
      <c r="B149" s="3482" t="s">
        <v>3204</v>
      </c>
      <c r="C149" s="3482" t="s">
        <v>3203</v>
      </c>
      <c r="D149" s="3482" t="s">
        <v>3202</v>
      </c>
      <c r="E149" s="3482" t="s">
        <v>3212</v>
      </c>
      <c r="F149" s="3482">
        <v>49652.800000000003</v>
      </c>
      <c r="G149" s="3482">
        <v>173784.8</v>
      </c>
      <c r="H149" s="3482" t="s">
        <v>3211</v>
      </c>
      <c r="I149" s="3482" t="s">
        <v>3210</v>
      </c>
      <c r="J149" s="3482" t="s">
        <v>3209</v>
      </c>
      <c r="K149" s="3482">
        <v>3599</v>
      </c>
      <c r="L149" s="3482">
        <v>207.09</v>
      </c>
      <c r="M149" s="3482">
        <v>0</v>
      </c>
      <c r="N149" s="3482" t="s">
        <v>3197</v>
      </c>
    </row>
    <row r="150" spans="1:14">
      <c r="A150" s="3482" t="s">
        <v>3205</v>
      </c>
      <c r="B150" s="3482" t="s">
        <v>3204</v>
      </c>
      <c r="C150" s="3482" t="s">
        <v>3208</v>
      </c>
      <c r="D150" s="3482" t="s">
        <v>3202</v>
      </c>
      <c r="E150" s="3482" t="s">
        <v>3207</v>
      </c>
      <c r="F150" s="3482">
        <v>10310</v>
      </c>
      <c r="G150" s="3482">
        <v>36085</v>
      </c>
      <c r="H150" s="3482" t="s">
        <v>3200</v>
      </c>
      <c r="I150" s="3482" t="s">
        <v>3199</v>
      </c>
      <c r="J150" s="3482" t="s">
        <v>3198</v>
      </c>
      <c r="K150" s="3482">
        <v>620</v>
      </c>
      <c r="L150" s="3482">
        <v>171.81</v>
      </c>
      <c r="M150" s="3482">
        <v>0</v>
      </c>
      <c r="N150" s="3482" t="s">
        <v>3206</v>
      </c>
    </row>
    <row r="151" spans="1:14">
      <c r="A151" s="3482" t="s">
        <v>3205</v>
      </c>
      <c r="B151" s="3482" t="s">
        <v>3204</v>
      </c>
      <c r="C151" s="3482" t="s">
        <v>3203</v>
      </c>
      <c r="D151" s="3482" t="s">
        <v>3202</v>
      </c>
      <c r="E151" s="3482" t="s">
        <v>3201</v>
      </c>
      <c r="F151" s="3482">
        <v>8909.09</v>
      </c>
      <c r="G151" s="3482">
        <v>31181.82</v>
      </c>
      <c r="H151" s="3482" t="s">
        <v>3200</v>
      </c>
      <c r="I151" s="3482" t="s">
        <v>3199</v>
      </c>
      <c r="J151" s="3482" t="s">
        <v>3198</v>
      </c>
      <c r="K151" s="3482">
        <v>525</v>
      </c>
      <c r="L151" s="3482">
        <v>168.37</v>
      </c>
      <c r="M151" s="3482">
        <v>0</v>
      </c>
      <c r="N151" s="3482" t="s">
        <v>3197</v>
      </c>
    </row>
  </sheetData>
  <phoneticPr fontId="233"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topLeftCell="E10" workbookViewId="0">
      <selection activeCell="I24" sqref="I24"/>
    </sheetView>
  </sheetViews>
  <sheetFormatPr defaultRowHeight="13.5"/>
  <sheetData>
    <row r="1" spans="1:4">
      <c r="A1" s="3484" t="s">
        <v>3644</v>
      </c>
    </row>
    <row r="2" spans="1:4" ht="14.25" thickBot="1">
      <c r="A2" s="3485" t="s">
        <v>3645</v>
      </c>
      <c r="B2" s="3486" t="s">
        <v>3646</v>
      </c>
      <c r="C2" s="3486" t="s">
        <v>3647</v>
      </c>
      <c r="D2" s="3486" t="s">
        <v>3648</v>
      </c>
    </row>
    <row r="3" spans="1:4">
      <c r="A3" s="3487">
        <v>2016.4</v>
      </c>
      <c r="B3" s="3489">
        <v>5585</v>
      </c>
      <c r="C3" s="3489">
        <v>1.05</v>
      </c>
      <c r="D3" s="3488"/>
    </row>
    <row r="4" spans="1:4">
      <c r="A4" s="3490">
        <v>2017.1</v>
      </c>
      <c r="B4" s="3492">
        <v>5705</v>
      </c>
      <c r="C4" s="3492">
        <v>2.15</v>
      </c>
      <c r="D4" s="3491"/>
    </row>
    <row r="5" spans="1:4">
      <c r="A5" s="3493">
        <v>2017.2</v>
      </c>
      <c r="B5" s="3495">
        <v>5891</v>
      </c>
      <c r="C5" s="3495">
        <v>3.26</v>
      </c>
      <c r="D5" s="3494"/>
    </row>
    <row r="6" spans="1:4">
      <c r="A6" s="3490">
        <v>2017.3</v>
      </c>
      <c r="B6" s="3492">
        <v>6105</v>
      </c>
      <c r="C6" s="3492">
        <v>3.63</v>
      </c>
      <c r="D6" s="3491"/>
    </row>
    <row r="7" spans="1:4" ht="14.25">
      <c r="A7" s="3496">
        <v>2017.4</v>
      </c>
      <c r="B7" s="3497">
        <v>6563</v>
      </c>
      <c r="C7" s="3497">
        <v>7.36</v>
      </c>
    </row>
  </sheetData>
  <phoneticPr fontId="23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zoomScaleNormal="100" workbookViewId="0">
      <selection activeCell="J23" sqref="J23"/>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3"/>
      <c r="C1" s="2103"/>
      <c r="D1" s="2103"/>
      <c r="E1" s="2103"/>
      <c r="F1" s="2103"/>
      <c r="G1" s="2103"/>
      <c r="H1" s="2103"/>
      <c r="I1" s="2103"/>
      <c r="J1" s="2103"/>
      <c r="K1" s="421">
        <f>MATCH(B1,'数据-取费表'!A6:A16,0)+5</f>
        <v>9</v>
      </c>
    </row>
    <row r="2" spans="1:31" s="2040" customFormat="1" ht="18" customHeight="1">
      <c r="A2" s="2100" t="s">
        <v>467</v>
      </c>
      <c r="B2" s="2104">
        <f ca="1">C36</f>
        <v>73012</v>
      </c>
      <c r="C2" s="2103"/>
      <c r="D2" s="2103"/>
      <c r="E2" s="2103"/>
      <c r="F2" s="2103"/>
      <c r="G2" s="2103"/>
      <c r="H2" s="2103"/>
      <c r="I2" s="2103"/>
      <c r="J2" s="2103"/>
      <c r="K2" s="2103"/>
    </row>
    <row r="3" spans="1:31" s="2040" customFormat="1" ht="18" customHeight="1">
      <c r="A3" s="2105" t="s">
        <v>1685</v>
      </c>
      <c r="B3" s="2106">
        <f ca="1">ROUND(B2*10000/IF(B1="",'数据-汇总表'!E3,INDIRECT("'数据-取费表'!K"&amp;$K$1)),0)</f>
        <v>6416</v>
      </c>
      <c r="C3" s="2103"/>
      <c r="D3" s="2103"/>
      <c r="E3" s="2103"/>
      <c r="F3" s="2103"/>
      <c r="G3" s="2103"/>
      <c r="H3" s="2103"/>
      <c r="I3" s="2103"/>
      <c r="J3" s="2103"/>
      <c r="K3" s="2103"/>
    </row>
    <row r="4" spans="1:31" s="2040" customFormat="1" ht="18" customHeight="1">
      <c r="A4" s="425" t="s">
        <v>468</v>
      </c>
      <c r="B4" s="426">
        <f ca="1">ROUND(B2*10000/IF(B1="",'数据-汇总表'!D3,INDIRECT("'数据-取费表'!R"&amp;$K$1)),0)</f>
        <v>25916</v>
      </c>
      <c r="C4" s="427"/>
      <c r="D4" s="421"/>
      <c r="E4" s="421"/>
      <c r="F4" s="421"/>
      <c r="G4" s="421"/>
      <c r="H4" s="421"/>
      <c r="I4" s="421"/>
      <c r="J4" s="421"/>
      <c r="K4" s="421"/>
    </row>
    <row r="5" spans="1:31" s="2040" customFormat="1" ht="18" customHeight="1" thickBot="1">
      <c r="A5" s="428"/>
      <c r="B5" s="429">
        <f ca="1">ROUND(B2/(IF(B1="",'数据-汇总表'!D3,INDIRECT("'数据-取费表'!R"&amp;$K$1))/666.67),0)</f>
        <v>1728</v>
      </c>
      <c r="C5" s="430" t="s">
        <v>469</v>
      </c>
      <c r="D5" s="421"/>
      <c r="E5" s="421"/>
      <c r="F5" s="421"/>
      <c r="G5" s="421"/>
      <c r="H5" s="421"/>
      <c r="I5" s="421"/>
      <c r="J5" s="421"/>
      <c r="K5" s="421"/>
    </row>
    <row r="6" spans="1:31" s="2110" customFormat="1" ht="16.5" customHeight="1">
      <c r="A6" s="2852" t="s">
        <v>1843</v>
      </c>
      <c r="B6" s="2853"/>
      <c r="C6" s="2854">
        <f ca="1">SUM(C10:K10)</f>
        <v>159372</v>
      </c>
      <c r="D6" s="2853"/>
      <c r="E6" s="2853"/>
      <c r="F6" s="2853"/>
      <c r="G6" s="2853"/>
      <c r="H6" s="2853"/>
      <c r="I6" s="2853"/>
      <c r="J6" s="2853"/>
      <c r="K6" s="2855"/>
    </row>
    <row r="7" spans="1:31" s="2112" customFormat="1" ht="15">
      <c r="A7" s="2856" t="s">
        <v>470</v>
      </c>
      <c r="B7" s="2857" t="s">
        <v>471</v>
      </c>
      <c r="C7" s="435" t="s">
        <v>923</v>
      </c>
      <c r="D7" s="435" t="s">
        <v>3187</v>
      </c>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1846</v>
      </c>
      <c r="B8" s="260" t="s">
        <v>472</v>
      </c>
      <c r="C8" s="2858">
        <f>'不动产比较法-住宅'!B3</f>
        <v>18659</v>
      </c>
      <c r="D8" s="2858">
        <f ca="1">'不动产收益法（商业）'!B3</f>
        <v>25794</v>
      </c>
      <c r="E8" s="2858"/>
      <c r="F8" s="2858"/>
      <c r="G8" s="2858"/>
      <c r="H8" s="2858"/>
      <c r="I8" s="2858"/>
      <c r="J8" s="2858"/>
      <c r="K8" s="2859"/>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1847</v>
      </c>
      <c r="B9" s="260" t="s">
        <v>473</v>
      </c>
      <c r="C9" s="440">
        <f>SUMIF('数据-汇总表'!$C19:$C33,'剩余法-待开发'!C7,'数据-汇总表'!$E19:$E33)</f>
        <v>76060</v>
      </c>
      <c r="D9" s="440">
        <f>SUMIF('数据-汇总表'!$C19:$C33,'剩余法-待开发'!D7,'数据-汇总表'!$E19:$E33)</f>
        <v>6766</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0" t="s">
        <v>1848</v>
      </c>
      <c r="B10" s="2846" t="s">
        <v>474</v>
      </c>
      <c r="C10" s="3053">
        <f>'不动产比较法-住宅'!B2</f>
        <v>141920</v>
      </c>
      <c r="D10" s="3053">
        <f ca="1">'不动产收益法（商业）'!B2</f>
        <v>17452</v>
      </c>
      <c r="E10" s="3053"/>
      <c r="F10" s="2861"/>
      <c r="G10" s="2861"/>
      <c r="H10" s="2861"/>
      <c r="I10" s="2861"/>
      <c r="J10" s="2861"/>
      <c r="K10" s="2862"/>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3" t="s">
        <v>1844</v>
      </c>
      <c r="B11" s="2853"/>
      <c r="C11" s="2853"/>
      <c r="D11" s="2853"/>
      <c r="E11" s="2853"/>
      <c r="F11" s="2853"/>
      <c r="G11" s="2853"/>
      <c r="H11" s="2853"/>
      <c r="I11" s="2853"/>
      <c r="J11" s="2853"/>
      <c r="K11" s="2855"/>
    </row>
    <row r="12" spans="1:31" s="2084" customFormat="1" ht="13.5" customHeight="1">
      <c r="A12" s="2864" t="s">
        <v>470</v>
      </c>
      <c r="B12" s="2836" t="s">
        <v>471</v>
      </c>
      <c r="C12" s="2865" t="s">
        <v>475</v>
      </c>
      <c r="D12" s="2832" t="s">
        <v>476</v>
      </c>
      <c r="E12" s="2832" t="s">
        <v>477</v>
      </c>
      <c r="F12" s="2832" t="s">
        <v>478</v>
      </c>
      <c r="G12" s="2836"/>
      <c r="H12" s="2837"/>
      <c r="I12" s="2837"/>
      <c r="J12" s="2837"/>
      <c r="K12" s="2838"/>
    </row>
    <row r="13" spans="1:31" s="2115" customFormat="1" ht="13.5" customHeight="1">
      <c r="A13" s="2866" t="s">
        <v>1849</v>
      </c>
      <c r="B13" s="2867" t="s">
        <v>479</v>
      </c>
      <c r="C13" s="449">
        <f ca="1">IF(B1="",'数据-取费表'!P16,INDIRECT("'数据-取费表'!p"&amp;$K$1)+INDIRECT("'数据-取费表'!t"&amp;$K$1))</f>
        <v>37084</v>
      </c>
      <c r="D13" s="2868"/>
      <c r="E13" s="2869"/>
      <c r="F13" s="2870"/>
      <c r="G13" s="2836"/>
      <c r="H13" s="2837"/>
      <c r="I13" s="2837"/>
      <c r="J13" s="2837"/>
      <c r="K13" s="2838"/>
    </row>
    <row r="14" spans="1:31" s="2115" customFormat="1" ht="13.5" customHeight="1">
      <c r="A14" s="2866" t="s">
        <v>1850</v>
      </c>
      <c r="B14" s="2867" t="s">
        <v>480</v>
      </c>
      <c r="C14" s="53">
        <f ca="1">ROUND(C13*F14,0)</f>
        <v>1113</v>
      </c>
      <c r="D14" s="2868"/>
      <c r="E14" s="2869"/>
      <c r="F14" s="2871">
        <f>'数据-取费表'!B33</f>
        <v>0.03</v>
      </c>
      <c r="G14" s="2836" t="s">
        <v>481</v>
      </c>
      <c r="H14" s="2837"/>
      <c r="I14" s="2837"/>
      <c r="J14" s="2837"/>
      <c r="K14" s="2838"/>
    </row>
    <row r="15" spans="1:31" s="2115" customFormat="1" ht="13.5" customHeight="1">
      <c r="A15" s="2866" t="s">
        <v>1851</v>
      </c>
      <c r="B15" s="2867" t="s">
        <v>482</v>
      </c>
      <c r="C15" s="53">
        <f ca="1">ROUND(IF(B1="",SUMIF('数据-取费表'!C:C,"住宅",'数据-取费表'!P:P)*F15,IF(INDIRECT("'数据-取费表'!c"&amp;$K$1)="住宅",INDIRECT("'数据-取费表'!P"&amp;$K$1)*F15,0)),0)</f>
        <v>913</v>
      </c>
      <c r="D15" s="2868"/>
      <c r="E15" s="2869"/>
      <c r="F15" s="2871">
        <f>'数据-取费表'!B34</f>
        <v>0.03</v>
      </c>
      <c r="G15" s="2836" t="s">
        <v>483</v>
      </c>
      <c r="H15" s="2837"/>
      <c r="I15" s="2837"/>
      <c r="J15" s="2837"/>
      <c r="K15" s="2838"/>
    </row>
    <row r="16" spans="1:31" s="2116" customFormat="1" ht="13.5" customHeight="1">
      <c r="A16" s="2866" t="s">
        <v>1852</v>
      </c>
      <c r="B16" s="2867" t="s">
        <v>484</v>
      </c>
      <c r="C16" s="53">
        <f ca="1">ROUND(D16*E16/10000,0)</f>
        <v>2276</v>
      </c>
      <c r="D16" s="2868">
        <f ca="1">IF(B1="",'数据-汇总表'!E3,INDIRECT("'数据-取费表'!K"&amp;$K$1)+INDIRECT("'数据-取费表'!S"&amp;$K$1))</f>
        <v>113800</v>
      </c>
      <c r="E16" s="53">
        <f>'数据-取费表'!B35</f>
        <v>200</v>
      </c>
      <c r="F16" s="2871"/>
      <c r="G16" s="2836"/>
      <c r="H16" s="2837"/>
      <c r="I16" s="2837"/>
      <c r="J16" s="2837"/>
      <c r="K16" s="2838"/>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6" t="s">
        <v>1853</v>
      </c>
      <c r="B17" s="2867" t="s">
        <v>485</v>
      </c>
      <c r="C17" s="2872">
        <f ca="1">ROUND(C13*F17,0)</f>
        <v>556</v>
      </c>
      <c r="D17" s="474"/>
      <c r="E17" s="2872"/>
      <c r="F17" s="2873">
        <f>'数据-取费表'!B36</f>
        <v>1.4999999999999999E-2</v>
      </c>
      <c r="G17" s="260" t="s">
        <v>486</v>
      </c>
      <c r="H17" s="2839"/>
      <c r="I17" s="2839"/>
      <c r="J17" s="2839"/>
      <c r="K17" s="278"/>
    </row>
    <row r="18" spans="1:14" s="2115" customFormat="1" ht="13.5" customHeight="1">
      <c r="A18" s="2874" t="s">
        <v>1854</v>
      </c>
      <c r="B18" s="2875" t="s">
        <v>487</v>
      </c>
      <c r="C18" s="2876">
        <f ca="1">SUM(C13:C17)</f>
        <v>41942</v>
      </c>
      <c r="D18" s="2877"/>
      <c r="E18" s="467"/>
      <c r="F18" s="467"/>
      <c r="G18" s="2840" t="s">
        <v>2428</v>
      </c>
      <c r="H18" s="2841"/>
      <c r="I18" s="2841"/>
      <c r="J18" s="2841"/>
      <c r="K18" s="2842"/>
    </row>
    <row r="19" spans="1:14" s="2115" customFormat="1" ht="13.5" customHeight="1">
      <c r="A19" s="2874" t="s">
        <v>1855</v>
      </c>
      <c r="B19" s="2875" t="s">
        <v>488</v>
      </c>
      <c r="C19" s="2832">
        <f ca="1">ROUND(D19*E19/10000,0)</f>
        <v>0</v>
      </c>
      <c r="D19" s="2878">
        <f ca="1">D16</f>
        <v>113800</v>
      </c>
      <c r="E19" s="2832">
        <f>'数据-取费表'!B32</f>
        <v>0</v>
      </c>
      <c r="F19" s="467"/>
      <c r="G19" s="2836" t="s">
        <v>489</v>
      </c>
      <c r="H19" s="2837"/>
      <c r="I19" s="2841"/>
      <c r="J19" s="2841"/>
      <c r="K19" s="2842"/>
    </row>
    <row r="20" spans="1:14" s="2115" customFormat="1" ht="13.5" customHeight="1">
      <c r="A20" s="2874" t="s">
        <v>1856</v>
      </c>
      <c r="B20" s="2875" t="s">
        <v>490</v>
      </c>
      <c r="C20" s="2832">
        <f ca="1">C21+C22-IF(B1="",'数据-取费表'!B29,IF(G20="已全部缴纳",C21+C22,H20))</f>
        <v>2731</v>
      </c>
      <c r="D20" s="2878"/>
      <c r="E20" s="2832"/>
      <c r="F20" s="2879"/>
      <c r="G20" s="3112"/>
      <c r="H20" s="2834"/>
      <c r="I20" s="2835" t="s">
        <v>2650</v>
      </c>
      <c r="J20" s="2841"/>
      <c r="K20" s="2842"/>
    </row>
    <row r="21" spans="1:14" s="2115" customFormat="1" ht="13.5" customHeight="1">
      <c r="A21" s="2866" t="s">
        <v>1857</v>
      </c>
      <c r="B21" s="2867" t="s">
        <v>491</v>
      </c>
      <c r="C21" s="53">
        <f ca="1">ROUND(D21*E21/10000,0)</f>
        <v>1825</v>
      </c>
      <c r="D21" s="2868">
        <f ca="1">IF(B1="",'数据-汇总表'!E5,IF(INDIRECT("'数据-取费表'!c"&amp;$K$1)="住宅",INDIRECT("'数据-取费表'!k"&amp;$K$1),0))</f>
        <v>76060</v>
      </c>
      <c r="E21" s="53">
        <f>'数据-取费表'!B27</f>
        <v>240</v>
      </c>
      <c r="F21" s="2871"/>
      <c r="G21" s="26"/>
      <c r="H21" s="51"/>
      <c r="I21" s="51"/>
      <c r="J21" s="51"/>
      <c r="K21" s="2843"/>
    </row>
    <row r="22" spans="1:14" s="2115" customFormat="1" ht="13.5" customHeight="1">
      <c r="A22" s="2866" t="s">
        <v>1858</v>
      </c>
      <c r="B22" s="2867" t="s">
        <v>492</v>
      </c>
      <c r="C22" s="53">
        <f ca="1">ROUND(D22*E22/10000,0)</f>
        <v>906</v>
      </c>
      <c r="D22" s="2868">
        <f ca="1">IF(B1="",'数据-汇总表'!E6,IF(INDIRECT("'数据-取费表'!c"&amp;$K$1)="住宅",INDIRECT("'数据-取费表'!s"&amp;$K$1),INDIRECT("'数据-取费表'!k"&amp;$K$1)+INDIRECT("'数据-取费表'!s"&amp;$K$1)))</f>
        <v>37740</v>
      </c>
      <c r="E22" s="53">
        <f>'数据-取费表'!B28</f>
        <v>240</v>
      </c>
      <c r="F22" s="2871"/>
      <c r="G22" s="26"/>
      <c r="H22" s="51"/>
      <c r="I22" s="51"/>
      <c r="J22" s="51"/>
      <c r="K22" s="2843"/>
    </row>
    <row r="23" spans="1:14" s="2115" customFormat="1" ht="13.5" customHeight="1">
      <c r="A23" s="2874" t="s">
        <v>1859</v>
      </c>
      <c r="B23" s="3059" t="s">
        <v>2833</v>
      </c>
      <c r="C23" s="2876">
        <f ca="1">ROUND((C18+C19+C20)*F23,0)</f>
        <v>670</v>
      </c>
      <c r="D23" s="467"/>
      <c r="E23" s="467"/>
      <c r="F23" s="2880">
        <f>'数据-取费表'!B37</f>
        <v>1.4999999999999999E-2</v>
      </c>
      <c r="G23" s="2836" t="s">
        <v>2429</v>
      </c>
      <c r="H23" s="2837"/>
      <c r="I23" s="2837"/>
      <c r="J23" s="2837"/>
      <c r="K23" s="2838"/>
      <c r="L23" s="2117"/>
      <c r="M23" s="2117"/>
      <c r="N23" s="2117"/>
    </row>
    <row r="24" spans="1:14" s="2115" customFormat="1" ht="13.5" customHeight="1">
      <c r="A24" s="2874" t="s">
        <v>1860</v>
      </c>
      <c r="B24" s="3059" t="s">
        <v>2836</v>
      </c>
      <c r="C24" s="2876">
        <f ca="1">ROUND(C6*F24,0)</f>
        <v>2391</v>
      </c>
      <c r="D24" s="474"/>
      <c r="E24" s="472"/>
      <c r="F24" s="2880">
        <f>'数据-取费表'!B38</f>
        <v>1.4999999999999999E-2</v>
      </c>
      <c r="G24" s="2845" t="s">
        <v>499</v>
      </c>
      <c r="H24" s="2839"/>
      <c r="I24" s="2839"/>
      <c r="J24" s="2839"/>
      <c r="K24" s="278"/>
      <c r="L24" s="2117"/>
      <c r="M24" s="2117"/>
      <c r="N24" s="2117"/>
    </row>
    <row r="25" spans="1:14" s="2118" customFormat="1" ht="13.5" customHeight="1">
      <c r="A25" s="2874" t="s">
        <v>1861</v>
      </c>
      <c r="B25" s="3059" t="s">
        <v>2834</v>
      </c>
      <c r="C25" s="466">
        <f>ROUND(F25/(1+'数据-取费表'!C42),4)</f>
        <v>2.9000000000000001E-2</v>
      </c>
      <c r="D25" s="461" t="s">
        <v>2828</v>
      </c>
      <c r="E25" s="468"/>
      <c r="F25" s="2880">
        <f>'数据-取费表'!B48+'数据-取费表'!B49</f>
        <v>3.0499999999999999E-2</v>
      </c>
      <c r="G25" s="2844" t="s">
        <v>2289</v>
      </c>
      <c r="H25" s="2837"/>
      <c r="I25" s="2837"/>
      <c r="J25" s="2837"/>
      <c r="K25" s="2838"/>
    </row>
    <row r="26" spans="1:14" s="2117" customFormat="1" ht="13.5" customHeight="1">
      <c r="A26" s="2874" t="s">
        <v>1862</v>
      </c>
      <c r="B26" s="3060" t="s">
        <v>2835</v>
      </c>
      <c r="C26" s="2881">
        <f ca="1">C28</f>
        <v>2267</v>
      </c>
      <c r="D26" s="466">
        <f ca="1">C27</f>
        <v>0.10009999999999999</v>
      </c>
      <c r="E26" s="468" t="s">
        <v>495</v>
      </c>
      <c r="F26" s="470">
        <f ca="1">'数据-取费表'!B40</f>
        <v>4.7500000000000001E-2</v>
      </c>
      <c r="G26" s="2595" t="str">
        <f>IF('数据-取费表'!B22&lt;=1,"单利计息。","复利计息。")&amp;"后续开发成本、管理费用及销售费用产生的利息。"</f>
        <v>复利计息。后续开发成本、管理费用及销售费用产生的利息。</v>
      </c>
      <c r="H26" s="2841"/>
      <c r="I26" s="2841"/>
      <c r="J26" s="2841"/>
      <c r="K26" s="2842"/>
    </row>
    <row r="27" spans="1:14" s="2119" customFormat="1" ht="13.5" customHeight="1">
      <c r="A27" s="802" t="s">
        <v>1857</v>
      </c>
      <c r="B27" s="2882" t="s">
        <v>496</v>
      </c>
      <c r="C27" s="2883">
        <f ca="1">ROUND(IF('数据-取费表'!B22&lt;=1,(1+C25)*F26*'数据-取费表'!B24,(1+C25)*(POWER((1+F26),'数据-取费表'!B24)-1)),4)</f>
        <v>0.10009999999999999</v>
      </c>
      <c r="D27" s="471"/>
      <c r="E27" s="472"/>
      <c r="F27" s="473"/>
      <c r="G27" s="2595" t="str">
        <f>IF('数据-取费表'!B22&lt;=1,"（1+取得税费率/(1+5%)）×年利率×建设期","（1+取得税费率）/(1+5%)×((1+年利率)^建设期-1)")</f>
        <v>（1+取得税费率）/(1+5%)×((1+年利率)^建设期-1)</v>
      </c>
      <c r="H27" s="2839"/>
      <c r="I27" s="2839"/>
      <c r="J27" s="2839"/>
      <c r="K27" s="278"/>
    </row>
    <row r="28" spans="1:14" s="2119" customFormat="1" ht="13.5" customHeight="1">
      <c r="A28" s="802" t="s">
        <v>1858</v>
      </c>
      <c r="B28" s="2882" t="s">
        <v>2837</v>
      </c>
      <c r="C28" s="2884">
        <f ca="1">ROUND(IF('数据-取费表'!B22&lt;=1,(C18+C19+C20+C23+C24)*F26*'数据-取费表'!B24/2,(C18+C19+C20+C23+C24)*(POWER((1+F26),'数据-取费表'!B24/2)-1)),0)</f>
        <v>2267</v>
      </c>
      <c r="D28" s="471"/>
      <c r="E28" s="472"/>
      <c r="F28" s="473"/>
      <c r="G28" s="2595" t="str">
        <f>IF('数据-取费表'!B22&lt;=1,"（1）-（4）项×年利率×建设期÷2","（1）-（4）项×((1+年利率)^(建设期÷2)-1)")</f>
        <v>（1）-（4）项×((1+年利率)^(建设期÷2)-1)</v>
      </c>
      <c r="H28" s="2839"/>
      <c r="I28" s="2839"/>
      <c r="J28" s="2839"/>
      <c r="K28" s="278"/>
    </row>
    <row r="29" spans="1:14" s="2119" customFormat="1" ht="13.5" customHeight="1">
      <c r="A29" s="2885" t="s">
        <v>1863</v>
      </c>
      <c r="B29" s="2875" t="s">
        <v>497</v>
      </c>
      <c r="C29" s="2876">
        <f ca="1">ROUND(C6*F29/(1+'数据-取费表'!C42),0)</f>
        <v>8500</v>
      </c>
      <c r="D29" s="467"/>
      <c r="E29" s="467"/>
      <c r="F29" s="3061">
        <f>'数据-取费表'!B41</f>
        <v>5.6000000000000001E-2</v>
      </c>
      <c r="G29" s="2845" t="s">
        <v>498</v>
      </c>
      <c r="H29" s="2837"/>
      <c r="I29" s="2837"/>
      <c r="J29" s="2837"/>
      <c r="K29" s="2838"/>
    </row>
    <row r="30" spans="1:14" s="2120" customFormat="1" ht="13.5" customHeight="1">
      <c r="A30" s="1634" t="s">
        <v>1864</v>
      </c>
      <c r="B30" s="2886" t="s">
        <v>500</v>
      </c>
      <c r="C30" s="2881">
        <f ca="1">C31</f>
        <v>58501</v>
      </c>
      <c r="D30" s="476">
        <f ca="1">C32</f>
        <v>0.12909999999999999</v>
      </c>
      <c r="E30" s="468" t="s">
        <v>495</v>
      </c>
      <c r="F30" s="470"/>
      <c r="G30" s="2836" t="s">
        <v>501</v>
      </c>
      <c r="H30" s="2837"/>
      <c r="I30" s="2837"/>
      <c r="J30" s="2837"/>
      <c r="K30" s="2838"/>
    </row>
    <row r="31" spans="1:14" s="2119" customFormat="1" ht="13.5" customHeight="1">
      <c r="A31" s="802" t="s">
        <v>1857</v>
      </c>
      <c r="B31" s="2882"/>
      <c r="C31" s="449">
        <f ca="1">C18+C19+C20+C23+C24+C26+C29</f>
        <v>58501</v>
      </c>
      <c r="D31" s="471"/>
      <c r="E31" s="472"/>
      <c r="F31" s="473"/>
      <c r="G31" s="260"/>
      <c r="H31" s="2839"/>
      <c r="I31" s="2839"/>
      <c r="J31" s="2839"/>
      <c r="K31" s="278"/>
    </row>
    <row r="32" spans="1:14" s="2119" customFormat="1" ht="13.5" customHeight="1">
      <c r="A32" s="802" t="s">
        <v>1858</v>
      </c>
      <c r="B32" s="2882"/>
      <c r="C32" s="53">
        <f ca="1">ROUND(C25+D26,4)</f>
        <v>0.12909999999999999</v>
      </c>
      <c r="D32" s="471"/>
      <c r="E32" s="472"/>
      <c r="F32" s="473"/>
      <c r="G32" s="260"/>
      <c r="H32" s="2839"/>
      <c r="I32" s="2839"/>
      <c r="J32" s="2839"/>
      <c r="K32" s="278"/>
    </row>
    <row r="33" spans="1:11" s="2121" customFormat="1" ht="13.5" customHeight="1">
      <c r="A33" s="3058" t="s">
        <v>2832</v>
      </c>
      <c r="B33" s="3056" t="s">
        <v>2830</v>
      </c>
      <c r="C33" s="477">
        <f ca="1">C35</f>
        <v>7160</v>
      </c>
      <c r="D33" s="466">
        <f ca="1">C34</f>
        <v>0.15440000000000001</v>
      </c>
      <c r="E33" s="468" t="s">
        <v>495</v>
      </c>
      <c r="F33" s="478">
        <f ca="1">IF(B1="",'数据-取费表'!Q16,INDIRECT("'数据-取费表'!q"&amp;$K$1))</f>
        <v>0.15</v>
      </c>
      <c r="G33" s="2840"/>
      <c r="H33" s="2841"/>
      <c r="I33" s="2841"/>
      <c r="J33" s="2841"/>
      <c r="K33" s="2842"/>
    </row>
    <row r="34" spans="1:11" s="2122" customFormat="1" ht="13.5" customHeight="1">
      <c r="A34" s="374" t="s">
        <v>1857</v>
      </c>
      <c r="B34" s="2887" t="s">
        <v>502</v>
      </c>
      <c r="C34" s="471">
        <f ca="1">ROUND((1+C25)*F33,4)</f>
        <v>0.15440000000000001</v>
      </c>
      <c r="D34" s="471"/>
      <c r="E34" s="472"/>
      <c r="F34" s="479"/>
      <c r="G34" s="260" t="s">
        <v>2290</v>
      </c>
      <c r="H34" s="2839"/>
      <c r="I34" s="2839"/>
      <c r="J34" s="2839"/>
      <c r="K34" s="278"/>
    </row>
    <row r="35" spans="1:11" s="2122" customFormat="1" ht="13.5" customHeight="1" thickBot="1">
      <c r="A35" s="1635" t="s">
        <v>1858</v>
      </c>
      <c r="B35" s="3057" t="s">
        <v>2838</v>
      </c>
      <c r="C35" s="1627">
        <f ca="1">ROUND((C18+C19+C20+C23+C24)*F33,0)</f>
        <v>7160</v>
      </c>
      <c r="D35" s="1628"/>
      <c r="E35" s="2888"/>
      <c r="F35" s="1629"/>
      <c r="G35" s="2846"/>
      <c r="H35" s="2847"/>
      <c r="I35" s="2847"/>
      <c r="J35" s="2847"/>
      <c r="K35" s="2848"/>
    </row>
    <row r="36" spans="1:11" s="2084" customFormat="1" ht="13.5" customHeight="1" thickBot="1">
      <c r="A36" s="283" t="s">
        <v>1845</v>
      </c>
      <c r="B36" s="2850"/>
      <c r="C36" s="2889">
        <f ca="1">ROUND((C6-C30-C33)/(1+D30+D33),0)</f>
        <v>73012</v>
      </c>
      <c r="D36" s="2850"/>
      <c r="E36" s="2850"/>
      <c r="F36" s="2850"/>
      <c r="G36" s="2849" t="s">
        <v>2839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466</v>
      </c>
      <c r="B1" s="2833"/>
      <c r="C1" s="2103"/>
      <c r="D1" s="2103"/>
      <c r="E1" s="2103"/>
      <c r="F1" s="2103"/>
      <c r="G1" s="2103"/>
      <c r="H1" s="2103"/>
      <c r="I1" s="2103"/>
      <c r="J1" s="2103"/>
      <c r="K1" s="421">
        <f>MATCH(B1,'数据-取费表'!A6:A16,0)+5</f>
        <v>9</v>
      </c>
    </row>
    <row r="2" spans="1:41" s="2040" customFormat="1" ht="18" customHeight="1">
      <c r="A2" s="422" t="s">
        <v>467</v>
      </c>
      <c r="B2" s="423">
        <f ca="1">C32</f>
        <v>0</v>
      </c>
      <c r="C2" s="2103"/>
      <c r="D2" s="2103"/>
      <c r="E2" s="2103"/>
      <c r="F2" s="2103"/>
      <c r="G2" s="2103"/>
      <c r="H2" s="2103"/>
      <c r="I2" s="2103"/>
      <c r="J2" s="2103"/>
      <c r="K2" s="2103"/>
    </row>
    <row r="3" spans="1:41" s="2040" customFormat="1" ht="18" customHeight="1">
      <c r="A3" s="1378" t="s">
        <v>1685</v>
      </c>
      <c r="B3" s="424">
        <f ca="1">ROUND(B2*10000/IF(B1="",'数据-汇总表'!E3,INDIRECT("'数据-取费表'!K"&amp;$K$1)),0)</f>
        <v>0</v>
      </c>
      <c r="C3" s="2103"/>
      <c r="D3" s="2103"/>
      <c r="E3" s="2103"/>
      <c r="F3" s="2103"/>
      <c r="G3" s="2103"/>
      <c r="H3" s="2103"/>
      <c r="I3" s="2103"/>
      <c r="J3" s="2103"/>
      <c r="K3" s="2103"/>
    </row>
    <row r="4" spans="1:41" s="2040" customFormat="1" ht="18" customHeight="1">
      <c r="A4" s="425" t="s">
        <v>468</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469</v>
      </c>
      <c r="D5" s="2103"/>
      <c r="E5" s="2103"/>
      <c r="F5" s="2103"/>
      <c r="G5" s="2103"/>
      <c r="H5" s="2103"/>
      <c r="I5" s="2103"/>
      <c r="J5" s="2103"/>
      <c r="K5" s="2103"/>
    </row>
    <row r="6" spans="1:41" s="2110" customFormat="1" ht="16.5" customHeight="1">
      <c r="A6" s="431" t="s">
        <v>2651</v>
      </c>
      <c r="B6" s="432"/>
      <c r="C6" s="1622">
        <f>SUM(C10:K10)</f>
        <v>0</v>
      </c>
      <c r="D6" s="2108"/>
      <c r="E6" s="2108"/>
      <c r="F6" s="2108"/>
      <c r="G6" s="2108"/>
      <c r="H6" s="2108"/>
      <c r="I6" s="2108"/>
      <c r="J6" s="2108"/>
      <c r="K6" s="2109"/>
    </row>
    <row r="7" spans="1:41" s="2112" customFormat="1" ht="15">
      <c r="A7" s="433" t="s">
        <v>470</v>
      </c>
      <c r="B7" s="434" t="s">
        <v>471</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7" t="s">
        <v>472</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2" t="s">
        <v>1849</v>
      </c>
      <c r="B13" s="448" t="s">
        <v>479</v>
      </c>
      <c r="C13" s="449">
        <f ca="1">IF(B1="",'数据-取费表'!M16,INDIRECT("'数据-取费表'!M"&amp;$K$1)+INDIRECT("'数据-取费表'!t"&amp;$K$1))</f>
        <v>37084</v>
      </c>
      <c r="D13" s="450"/>
      <c r="E13" s="364"/>
      <c r="F13" s="451"/>
      <c r="G13" s="443"/>
      <c r="H13" s="446"/>
      <c r="I13" s="446"/>
      <c r="J13" s="446"/>
      <c r="K13" s="447"/>
    </row>
    <row r="14" spans="1:41" s="2115" customFormat="1" ht="13.5" customHeight="1">
      <c r="A14" s="1632" t="s">
        <v>1850</v>
      </c>
      <c r="B14" s="448" t="s">
        <v>480</v>
      </c>
      <c r="C14" s="53">
        <f ca="1">ROUND(C13*F14,0)</f>
        <v>1113</v>
      </c>
      <c r="D14" s="450"/>
      <c r="E14" s="364"/>
      <c r="F14" s="452">
        <f>'数据-取费表'!B33</f>
        <v>0.03</v>
      </c>
      <c r="G14" s="443" t="s">
        <v>503</v>
      </c>
      <c r="H14" s="446"/>
      <c r="I14" s="446"/>
      <c r="J14" s="446"/>
      <c r="K14" s="447"/>
    </row>
    <row r="15" spans="1:41" s="2115" customFormat="1" ht="13.5" customHeight="1">
      <c r="A15" s="1632" t="s">
        <v>1851</v>
      </c>
      <c r="B15" s="448" t="s">
        <v>482</v>
      </c>
      <c r="C15" s="53">
        <f ca="1">ROUND(IF(B1="",SUMIF('数据-取费表'!C:C,"住宅",'数据-取费表'!M:M)*F15,IF(INDIRECT("'数据-取费表'!c"&amp;$K$1)="住宅",INDIRECT("'数据-取费表'!M"&amp;$K$1)*F15,0)),0)</f>
        <v>913</v>
      </c>
      <c r="D15" s="450"/>
      <c r="E15" s="364"/>
      <c r="F15" s="452">
        <f>'数据-取费表'!B34</f>
        <v>0.03</v>
      </c>
      <c r="G15" s="443" t="s">
        <v>503</v>
      </c>
      <c r="H15" s="446"/>
      <c r="I15" s="446"/>
      <c r="J15" s="446"/>
      <c r="K15" s="447"/>
    </row>
    <row r="16" spans="1:41" s="2116" customFormat="1" ht="13.5" customHeight="1">
      <c r="A16" s="1632" t="s">
        <v>1852</v>
      </c>
      <c r="B16" s="448" t="s">
        <v>484</v>
      </c>
      <c r="C16" s="53">
        <f ca="1">ROUND(D16*E16/10000,0)</f>
        <v>2276</v>
      </c>
      <c r="D16" s="450">
        <f ca="1">IF(B1="",'数据-汇总表'!E3,INDIRECT("'数据-取费表'!K"&amp;$K$1)+INDIRECT("'数据-取费表'!S"&amp;$K$1))</f>
        <v>113800</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8" t="s">
        <v>485</v>
      </c>
      <c r="C17" s="453">
        <f ca="1">ROUND(C13*F17,0)</f>
        <v>556</v>
      </c>
      <c r="D17" s="454"/>
      <c r="E17" s="453"/>
      <c r="F17" s="455">
        <f>'数据-取费表'!B36</f>
        <v>1.4999999999999999E-2</v>
      </c>
      <c r="G17" s="443" t="s">
        <v>503</v>
      </c>
      <c r="H17" s="456"/>
      <c r="I17" s="456"/>
      <c r="J17" s="456"/>
      <c r="K17" s="457"/>
    </row>
    <row r="18" spans="1:14" s="2118" customFormat="1" ht="13.5" customHeight="1">
      <c r="A18" s="1633" t="s">
        <v>1854</v>
      </c>
      <c r="B18" s="458" t="s">
        <v>487</v>
      </c>
      <c r="C18" s="459">
        <f ca="1">SUM(C13:C17)</f>
        <v>41942</v>
      </c>
      <c r="D18" s="460"/>
      <c r="E18" s="461"/>
      <c r="F18" s="461"/>
      <c r="G18" s="1326" t="s">
        <v>2430</v>
      </c>
      <c r="H18" s="446"/>
      <c r="I18" s="446"/>
      <c r="J18" s="446"/>
      <c r="K18" s="447"/>
    </row>
    <row r="19" spans="1:14" s="2118" customFormat="1" ht="13.5" customHeight="1">
      <c r="A19" s="1633" t="s">
        <v>1855</v>
      </c>
      <c r="B19" s="458" t="s">
        <v>493</v>
      </c>
      <c r="C19" s="459">
        <f ca="1">ROUND(C18*F19,0)</f>
        <v>629</v>
      </c>
      <c r="D19" s="461"/>
      <c r="E19" s="461"/>
      <c r="F19" s="465">
        <f>'数据-取费表'!B37</f>
        <v>1.4999999999999999E-2</v>
      </c>
      <c r="G19" s="443" t="s">
        <v>504</v>
      </c>
      <c r="H19" s="446"/>
      <c r="I19" s="446"/>
      <c r="J19" s="446"/>
      <c r="K19" s="447"/>
      <c r="L19" s="2120"/>
      <c r="M19" s="2120"/>
      <c r="N19" s="2120"/>
    </row>
    <row r="20" spans="1:14" s="2118" customFormat="1" ht="13.5" customHeight="1">
      <c r="A20" s="1633" t="s">
        <v>1856</v>
      </c>
      <c r="B20" s="458" t="s">
        <v>505</v>
      </c>
      <c r="C20" s="3054">
        <f>F20</f>
        <v>1.4999999999999999E-2</v>
      </c>
      <c r="D20" s="468" t="s">
        <v>506</v>
      </c>
      <c r="E20" s="468"/>
      <c r="F20" s="485">
        <f>'数据-取费表'!B38</f>
        <v>1.4999999999999999E-2</v>
      </c>
      <c r="G20" s="1326" t="s">
        <v>507</v>
      </c>
      <c r="H20" s="446"/>
      <c r="I20" s="446"/>
      <c r="J20" s="446"/>
      <c r="K20" s="447"/>
      <c r="L20" s="2120"/>
      <c r="M20" s="2120"/>
      <c r="N20" s="2120"/>
    </row>
    <row r="21" spans="1:14" s="2120" customFormat="1" ht="13.5" customHeight="1">
      <c r="A21" s="1633" t="s">
        <v>1859</v>
      </c>
      <c r="B21" s="460" t="s">
        <v>494</v>
      </c>
      <c r="C21" s="469">
        <f ca="1">C22</f>
        <v>2022</v>
      </c>
      <c r="D21" s="466">
        <f ca="1">C23</f>
        <v>6.9999999999999999E-4</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7" t="s">
        <v>2452</v>
      </c>
    </row>
    <row r="22" spans="1:14" s="2119" customFormat="1" ht="13.5" customHeight="1">
      <c r="A22" s="1632" t="s">
        <v>1849</v>
      </c>
      <c r="B22" s="1327" t="s">
        <v>2433</v>
      </c>
      <c r="C22" s="486">
        <f ca="1">ROUND(IF('数据-取费表'!B22&lt;=1,(C18+C19)*F21*'数据-取费表'!B20/2,(C18+C19)*(POWER((1+F21),'数据-取费表'!B20/2)-1)),0)</f>
        <v>2022</v>
      </c>
      <c r="D22" s="471"/>
      <c r="E22" s="472"/>
      <c r="F22" s="473"/>
      <c r="G22" s="2590" t="str">
        <f>IF('数据-取费表'!B22&lt;=1,"((1)+(2))×年利率×建设期÷2","((1)+(2))×((1+年利率)^(建设期÷2)-1)")</f>
        <v>((1)+(2))×((1+年利率)^(建设期÷2)-1)</v>
      </c>
      <c r="H22" s="456"/>
      <c r="I22" s="456"/>
      <c r="J22" s="456"/>
      <c r="K22" s="457"/>
    </row>
    <row r="23" spans="1:14" s="2119" customFormat="1" ht="13.5" customHeight="1">
      <c r="A23" s="1632" t="s">
        <v>1850</v>
      </c>
      <c r="B23" s="1327" t="s">
        <v>509</v>
      </c>
      <c r="C23" s="487">
        <f ca="1">ROUND(IF('数据-取费表'!B22&lt;=1,F20*F21*'数据-取费表'!B20/2,F20*(POWER((1+F21),'数据-取费表'!B20/2)-1)),4)</f>
        <v>6.9999999999999999E-4</v>
      </c>
      <c r="D23" s="471"/>
      <c r="E23" s="472"/>
      <c r="F23" s="473"/>
      <c r="G23" s="2590" t="str">
        <f>IF('数据-取费表'!B22&lt;=1,"销售费用率×年利率×建设期÷2","销售费用率×((1+年利率)^(建设期÷2)-1)")</f>
        <v>销售费用率×((1+年利率)^(建设期÷2)-1)</v>
      </c>
      <c r="H23" s="456"/>
      <c r="I23" s="456"/>
      <c r="J23" s="456"/>
      <c r="K23" s="457"/>
    </row>
    <row r="24" spans="1:14" s="2119" customFormat="1" ht="13.5" customHeight="1">
      <c r="A24" s="1633" t="s">
        <v>1860</v>
      </c>
      <c r="B24" s="3056" t="s">
        <v>2831</v>
      </c>
      <c r="C24" s="477">
        <f ca="1">C25</f>
        <v>6386</v>
      </c>
      <c r="D24" s="488">
        <f ca="1">C26</f>
        <v>2.3E-3</v>
      </c>
      <c r="E24" s="468" t="s">
        <v>508</v>
      </c>
      <c r="F24" s="478">
        <f ca="1">IF(B1="",'数据-取费表'!Q16,INDIRECT("'数据-取费表'!q"&amp;$K$1))</f>
        <v>0.15</v>
      </c>
      <c r="G24" s="443"/>
      <c r="H24" s="446"/>
      <c r="I24" s="446"/>
      <c r="J24" s="446"/>
      <c r="K24" s="447"/>
    </row>
    <row r="25" spans="1:14" s="2119" customFormat="1" ht="13.5" customHeight="1">
      <c r="A25" s="1632" t="s">
        <v>1849</v>
      </c>
      <c r="B25" s="1327" t="s">
        <v>2434</v>
      </c>
      <c r="C25" s="489">
        <f ca="1">ROUND((C18+C19)*F24,0)</f>
        <v>6386</v>
      </c>
      <c r="D25" s="471"/>
      <c r="E25" s="472"/>
      <c r="F25" s="479"/>
      <c r="G25" s="1325" t="s">
        <v>2431</v>
      </c>
      <c r="H25" s="456"/>
      <c r="I25" s="456"/>
      <c r="J25" s="456"/>
      <c r="K25" s="457"/>
    </row>
    <row r="26" spans="1:14" s="2119" customFormat="1" ht="13.5" customHeight="1">
      <c r="A26" s="1632" t="s">
        <v>1850</v>
      </c>
      <c r="B26" s="1327" t="s">
        <v>510</v>
      </c>
      <c r="C26" s="490">
        <f ca="1">ROUND(F20*F24,4)</f>
        <v>2.3E-3</v>
      </c>
      <c r="D26" s="471"/>
      <c r="E26" s="480"/>
      <c r="F26" s="479"/>
      <c r="G26" s="1325" t="s">
        <v>511</v>
      </c>
      <c r="H26" s="456"/>
      <c r="I26" s="456"/>
      <c r="J26" s="456"/>
      <c r="K26" s="457"/>
    </row>
    <row r="27" spans="1:14" s="2119" customFormat="1" ht="13.5" customHeight="1">
      <c r="A27" s="1636" t="s">
        <v>1868</v>
      </c>
      <c r="B27" s="458" t="s">
        <v>512</v>
      </c>
      <c r="C27" s="3055">
        <f>ROUND(F27/(1+'数据-取费表'!C42),4)</f>
        <v>5.33E-2</v>
      </c>
      <c r="D27" s="461" t="s">
        <v>2829</v>
      </c>
      <c r="E27" s="461"/>
      <c r="F27" s="465">
        <f>'数据-取费表'!B41</f>
        <v>5.6000000000000001E-2</v>
      </c>
      <c r="G27" s="1959" t="s">
        <v>2291</v>
      </c>
      <c r="H27" s="446"/>
      <c r="I27" s="446"/>
      <c r="J27" s="446"/>
      <c r="K27" s="447"/>
    </row>
    <row r="28" spans="1:14" s="2120" customFormat="1" ht="13.5" customHeight="1">
      <c r="A28" s="1636" t="s">
        <v>1869</v>
      </c>
      <c r="B28" s="475" t="s">
        <v>513</v>
      </c>
      <c r="C28" s="469">
        <f ca="1">ROUND((C18+C19+C21+C24)/(1-C20-D21-D24-C27),0)</f>
        <v>54893</v>
      </c>
      <c r="D28" s="476"/>
      <c r="E28" s="468"/>
      <c r="F28" s="470"/>
      <c r="G28" s="1326" t="s">
        <v>2432</v>
      </c>
      <c r="H28" s="446"/>
      <c r="I28" s="446"/>
      <c r="J28" s="446"/>
      <c r="K28" s="447"/>
    </row>
    <row r="29" spans="1:14" s="2120" customFormat="1" ht="13.5" customHeight="1">
      <c r="A29" s="1636" t="s">
        <v>1870</v>
      </c>
      <c r="B29" s="475" t="s">
        <v>514</v>
      </c>
      <c r="C29" s="491">
        <f ca="1">IF(B1="",'数据-取费表'!N16,INDIRECT("'数据-取费表'!N"&amp;$K$1))</f>
        <v>0</v>
      </c>
      <c r="D29" s="492"/>
      <c r="E29" s="493"/>
      <c r="F29" s="494"/>
      <c r="G29" s="443"/>
      <c r="H29" s="446"/>
      <c r="I29" s="446"/>
      <c r="J29" s="446"/>
      <c r="K29" s="447"/>
    </row>
    <row r="30" spans="1:14" s="2120" customFormat="1" ht="13.5" customHeight="1">
      <c r="A30" s="442">
        <v>2</v>
      </c>
      <c r="B30" s="475" t="s">
        <v>515</v>
      </c>
      <c r="C30" s="496">
        <f ca="1">ROUND(C28*C29,0)</f>
        <v>0</v>
      </c>
      <c r="D30" s="492"/>
      <c r="E30" s="497"/>
      <c r="F30" s="498"/>
      <c r="G30" s="1328" t="s">
        <v>516</v>
      </c>
      <c r="H30" s="495"/>
      <c r="I30" s="495"/>
      <c r="J30" s="446"/>
      <c r="K30" s="447"/>
    </row>
    <row r="31" spans="1:14" s="2125" customFormat="1" ht="13.5" customHeight="1">
      <c r="A31" s="2505" t="s">
        <v>1866</v>
      </c>
      <c r="B31" s="1329"/>
      <c r="C31" s="499">
        <f>ROUND(C6*F31/(1+'数据-取费表'!C42),0)</f>
        <v>0</v>
      </c>
      <c r="D31" s="1330"/>
      <c r="E31" s="1330"/>
      <c r="F31" s="500">
        <f>'数据-取费表'!B41</f>
        <v>5.6000000000000001E-2</v>
      </c>
      <c r="G31" s="1331"/>
      <c r="H31" s="1331"/>
      <c r="I31" s="1331"/>
      <c r="J31" s="1332"/>
      <c r="K31" s="1333"/>
    </row>
    <row r="32" spans="1:14" s="2084"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6" t="s">
        <v>2453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H33" sqref="H3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09"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7"/>
      <c r="AC3" s="427"/>
    </row>
    <row r="4" spans="1:29" s="1335" customFormat="1" ht="28.5" customHeight="1">
      <c r="A4" s="510" t="s">
        <v>521</v>
      </c>
      <c r="B4" s="426"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7"/>
    </row>
    <row r="6" spans="1:29" ht="15">
      <c r="A6" s="511" t="s">
        <v>522</v>
      </c>
      <c r="B6" s="512"/>
      <c r="C6" s="3739" t="s">
        <v>523</v>
      </c>
      <c r="D6" s="3740"/>
      <c r="E6" s="3763" t="s">
        <v>524</v>
      </c>
      <c r="F6" s="3764"/>
      <c r="G6" s="3739" t="s">
        <v>525</v>
      </c>
      <c r="H6" s="3740"/>
      <c r="I6" s="3739" t="s">
        <v>526</v>
      </c>
      <c r="J6" s="3740"/>
      <c r="K6" s="513" t="s">
        <v>527</v>
      </c>
      <c r="L6" s="2132"/>
      <c r="M6" s="2133"/>
      <c r="N6" s="2133"/>
      <c r="O6" s="2133"/>
      <c r="P6" s="3741" t="s">
        <v>528</v>
      </c>
      <c r="Q6" s="3742"/>
      <c r="R6" s="3727" t="s">
        <v>524</v>
      </c>
      <c r="S6" s="3728"/>
      <c r="T6" s="3727" t="s">
        <v>525</v>
      </c>
      <c r="U6" s="3728"/>
      <c r="V6" s="3747" t="s">
        <v>526</v>
      </c>
      <c r="W6" s="3747"/>
      <c r="X6" s="1566"/>
      <c r="Y6" s="3727" t="s">
        <v>528</v>
      </c>
      <c r="Z6" s="3728"/>
      <c r="AA6" s="3722" t="s">
        <v>524</v>
      </c>
      <c r="AB6" s="3723" t="s">
        <v>525</v>
      </c>
      <c r="AC6" s="3722" t="s">
        <v>526</v>
      </c>
    </row>
    <row r="7" spans="1:29" ht="15">
      <c r="A7" s="514"/>
      <c r="B7" s="515"/>
      <c r="C7" s="3750" t="s">
        <v>2917</v>
      </c>
      <c r="D7" s="3751"/>
      <c r="E7" s="3765" t="s">
        <v>2918</v>
      </c>
      <c r="F7" s="3766"/>
      <c r="G7" s="3750" t="s">
        <v>2919</v>
      </c>
      <c r="H7" s="3751"/>
      <c r="I7" s="3750" t="s">
        <v>2920</v>
      </c>
      <c r="J7" s="3751"/>
      <c r="K7" s="513"/>
      <c r="L7" s="2132"/>
      <c r="M7" s="2133"/>
      <c r="N7" s="2133"/>
      <c r="O7" s="2133"/>
      <c r="P7" s="3743"/>
      <c r="Q7" s="3744"/>
      <c r="R7" s="3729"/>
      <c r="S7" s="3730"/>
      <c r="T7" s="3729"/>
      <c r="U7" s="3730"/>
      <c r="V7" s="3747"/>
      <c r="W7" s="3747"/>
      <c r="X7" s="1566"/>
      <c r="Y7" s="3729"/>
      <c r="Z7" s="3730"/>
      <c r="AA7" s="3723"/>
      <c r="AB7" s="3723"/>
      <c r="AC7" s="3723"/>
    </row>
    <row r="8" spans="1:29" ht="15.75" thickBot="1">
      <c r="A8" s="516"/>
      <c r="B8" s="517"/>
      <c r="C8" s="3748" t="s">
        <v>2921</v>
      </c>
      <c r="D8" s="3749"/>
      <c r="E8" s="3767" t="s">
        <v>2921</v>
      </c>
      <c r="F8" s="3768"/>
      <c r="G8" s="3748" t="s">
        <v>2921</v>
      </c>
      <c r="H8" s="3749"/>
      <c r="I8" s="3748" t="s">
        <v>2921</v>
      </c>
      <c r="J8" s="3749"/>
      <c r="K8" s="513" t="s">
        <v>529</v>
      </c>
      <c r="L8" s="2132"/>
      <c r="M8" s="2133"/>
      <c r="N8" s="2133"/>
      <c r="O8" s="2133"/>
      <c r="P8" s="3745"/>
      <c r="Q8" s="3746"/>
      <c r="R8" s="3729"/>
      <c r="S8" s="3730"/>
      <c r="T8" s="3731"/>
      <c r="U8" s="3732"/>
      <c r="V8" s="3747"/>
      <c r="W8" s="3747"/>
      <c r="X8" s="1566"/>
      <c r="Y8" s="3731"/>
      <c r="Z8" s="3732"/>
      <c r="AA8" s="3724"/>
      <c r="AB8" s="3724"/>
      <c r="AC8" s="3724"/>
    </row>
    <row r="9" spans="1:29" s="1219" customFormat="1" ht="15.75" thickBot="1">
      <c r="A9" s="2936"/>
      <c r="B9" s="2943" t="s">
        <v>530</v>
      </c>
      <c r="C9" s="518">
        <f>'数据-取费表'!B2</f>
        <v>43159</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725" t="s">
        <v>531</v>
      </c>
      <c r="Q9" s="3734"/>
      <c r="R9" s="1567" t="s">
        <v>8</v>
      </c>
      <c r="S9" s="1568">
        <f t="shared" ref="S9:S17" si="0">F9</f>
        <v>0</v>
      </c>
      <c r="T9" s="1567" t="s">
        <v>8</v>
      </c>
      <c r="U9" s="1568">
        <f t="shared" ref="U9:U17" si="1">H9</f>
        <v>0</v>
      </c>
      <c r="V9" s="1567" t="s">
        <v>8</v>
      </c>
      <c r="W9" s="1568">
        <f t="shared" ref="W9:W17" si="2">J9</f>
        <v>0</v>
      </c>
      <c r="X9" s="1569"/>
      <c r="Y9" s="3725" t="s">
        <v>531</v>
      </c>
      <c r="Z9" s="3726"/>
      <c r="AA9" s="1570" t="e">
        <f>D9/F9</f>
        <v>#DIV/0!</v>
      </c>
      <c r="AB9" s="1570" t="e">
        <f>D9/H9</f>
        <v>#DIV/0!</v>
      </c>
      <c r="AC9" s="1570" t="e">
        <f>D9/J9</f>
        <v>#DIV/0!</v>
      </c>
    </row>
    <row r="10" spans="1:29" s="1219" customFormat="1" ht="15.75" thickBot="1">
      <c r="A10" s="2937"/>
      <c r="B10" s="2944"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725" t="s">
        <v>534</v>
      </c>
      <c r="Q10" s="3726"/>
      <c r="R10" s="1567" t="s">
        <v>8</v>
      </c>
      <c r="S10" s="1568">
        <f t="shared" si="0"/>
        <v>0</v>
      </c>
      <c r="T10" s="1567" t="s">
        <v>8</v>
      </c>
      <c r="U10" s="1568">
        <f t="shared" si="1"/>
        <v>0</v>
      </c>
      <c r="V10" s="1567" t="s">
        <v>8</v>
      </c>
      <c r="W10" s="1568">
        <f t="shared" si="2"/>
        <v>0</v>
      </c>
      <c r="X10" s="1569"/>
      <c r="Y10" s="3725" t="s">
        <v>534</v>
      </c>
      <c r="Z10" s="3726"/>
      <c r="AA10" s="1570" t="e">
        <f t="shared" ref="AA10:AA42" si="3">D10/F10</f>
        <v>#DIV/0!</v>
      </c>
      <c r="AB10" s="1570" t="e">
        <f t="shared" ref="AB10:AB42" si="4">D10/H10</f>
        <v>#DIV/0!</v>
      </c>
      <c r="AC10" s="1570" t="e">
        <f t="shared" ref="AC10:AC42" si="5">D10/J10</f>
        <v>#DIV/0!</v>
      </c>
    </row>
    <row r="11" spans="1:29" s="1219" customFormat="1" ht="15">
      <c r="A11" s="2938"/>
      <c r="B11" s="2945" t="s">
        <v>2755</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733" t="s">
        <v>536</v>
      </c>
      <c r="Q11" s="1150" t="str">
        <f t="shared" ref="Q11:Q17" si="6">B11</f>
        <v>用途</v>
      </c>
      <c r="R11" s="1567" t="s">
        <v>8</v>
      </c>
      <c r="S11" s="1568">
        <f t="shared" si="0"/>
        <v>100</v>
      </c>
      <c r="T11" s="1567" t="s">
        <v>8</v>
      </c>
      <c r="U11" s="1568">
        <f t="shared" si="1"/>
        <v>100</v>
      </c>
      <c r="V11" s="1567" t="s">
        <v>8</v>
      </c>
      <c r="W11" s="1568">
        <f t="shared" si="2"/>
        <v>100</v>
      </c>
      <c r="X11" s="1569"/>
      <c r="Y11" s="3686" t="s">
        <v>537</v>
      </c>
      <c r="Z11" s="1149" t="str">
        <f t="shared" ref="Z11:Z17" si="7">Q11</f>
        <v>用途</v>
      </c>
      <c r="AA11" s="1570">
        <f t="shared" si="3"/>
        <v>1</v>
      </c>
      <c r="AB11" s="1570">
        <f t="shared" si="4"/>
        <v>1</v>
      </c>
      <c r="AC11" s="1570">
        <f t="shared" si="5"/>
        <v>1</v>
      </c>
    </row>
    <row r="12" spans="1:29" s="1337" customFormat="1" ht="27">
      <c r="A12" s="2939"/>
      <c r="B12" s="2944" t="s">
        <v>2756</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733"/>
      <c r="Q12" s="1150" t="str">
        <f t="shared" si="6"/>
        <v>土地使用年限（年）</v>
      </c>
      <c r="R12" s="1567" t="s">
        <v>8</v>
      </c>
      <c r="S12" s="1568">
        <f t="shared" si="0"/>
        <v>102</v>
      </c>
      <c r="T12" s="1567" t="s">
        <v>8</v>
      </c>
      <c r="U12" s="1568">
        <f t="shared" si="1"/>
        <v>102</v>
      </c>
      <c r="V12" s="1567" t="s">
        <v>8</v>
      </c>
      <c r="W12" s="1568">
        <f t="shared" si="2"/>
        <v>102</v>
      </c>
      <c r="X12" s="1569"/>
      <c r="Y12" s="3686"/>
      <c r="Z12" s="1149" t="str">
        <f t="shared" si="7"/>
        <v>土地使用年限（年）</v>
      </c>
      <c r="AA12" s="1570">
        <f t="shared" si="3"/>
        <v>0.98039215686274506</v>
      </c>
      <c r="AB12" s="1570">
        <f t="shared" si="4"/>
        <v>0.98039215686274506</v>
      </c>
      <c r="AC12" s="1570">
        <f t="shared" si="5"/>
        <v>0.98039215686274506</v>
      </c>
    </row>
    <row r="13" spans="1:29" ht="15">
      <c r="A13" s="2940"/>
      <c r="B13" s="2944"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733"/>
      <c r="Q13" s="1150" t="str">
        <f t="shared" si="6"/>
        <v>容积率</v>
      </c>
      <c r="R13" s="1567" t="s">
        <v>8</v>
      </c>
      <c r="S13" s="1568" t="e">
        <f t="shared" si="0"/>
        <v>#N/A</v>
      </c>
      <c r="T13" s="1567" t="s">
        <v>8</v>
      </c>
      <c r="U13" s="1568" t="e">
        <f t="shared" si="1"/>
        <v>#N/A</v>
      </c>
      <c r="V13" s="1567" t="s">
        <v>8</v>
      </c>
      <c r="W13" s="1568" t="e">
        <f t="shared" si="2"/>
        <v>#N/A</v>
      </c>
      <c r="X13" s="1569"/>
      <c r="Y13" s="3686"/>
      <c r="Z13" s="1149" t="str">
        <f t="shared" si="7"/>
        <v>容积率</v>
      </c>
      <c r="AA13" s="1570" t="e">
        <f t="shared" si="3"/>
        <v>#N/A</v>
      </c>
      <c r="AB13" s="1570" t="e">
        <f t="shared" si="4"/>
        <v>#N/A</v>
      </c>
      <c r="AC13" s="1570" t="e">
        <f t="shared" si="5"/>
        <v>#N/A</v>
      </c>
    </row>
    <row r="14" spans="1:29" s="1219"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733"/>
      <c r="Q14" s="1150">
        <f t="shared" si="6"/>
        <v>111</v>
      </c>
      <c r="R14" s="1567" t="s">
        <v>8</v>
      </c>
      <c r="S14" s="1568">
        <f t="shared" si="0"/>
        <v>100</v>
      </c>
      <c r="T14" s="1567" t="s">
        <v>8</v>
      </c>
      <c r="U14" s="1568">
        <f t="shared" si="1"/>
        <v>100</v>
      </c>
      <c r="V14" s="1567" t="s">
        <v>8</v>
      </c>
      <c r="W14" s="1568">
        <f t="shared" si="2"/>
        <v>100</v>
      </c>
      <c r="X14" s="1569"/>
      <c r="Y14" s="3686"/>
      <c r="Z14" s="1149">
        <f t="shared" si="7"/>
        <v>111</v>
      </c>
      <c r="AA14" s="1570">
        <f>D14/F14</f>
        <v>1</v>
      </c>
      <c r="AB14" s="1570">
        <f>D14/H14</f>
        <v>1</v>
      </c>
      <c r="AC14" s="1570">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733"/>
      <c r="Q15" s="1150">
        <f t="shared" si="6"/>
        <v>111</v>
      </c>
      <c r="R15" s="1567" t="s">
        <v>8</v>
      </c>
      <c r="S15" s="1568">
        <f t="shared" si="0"/>
        <v>100</v>
      </c>
      <c r="T15" s="1567" t="s">
        <v>8</v>
      </c>
      <c r="U15" s="1568">
        <f t="shared" si="1"/>
        <v>100</v>
      </c>
      <c r="V15" s="1567" t="s">
        <v>8</v>
      </c>
      <c r="W15" s="1568">
        <f t="shared" si="2"/>
        <v>100</v>
      </c>
      <c r="X15" s="1569"/>
      <c r="Y15" s="3686"/>
      <c r="Z15" s="1149">
        <f t="shared" si="7"/>
        <v>111</v>
      </c>
      <c r="AA15" s="1570">
        <f t="shared" si="3"/>
        <v>1</v>
      </c>
      <c r="AB15" s="1570">
        <f t="shared" si="4"/>
        <v>1</v>
      </c>
      <c r="AC15" s="1570">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733"/>
      <c r="Q16" s="1150">
        <f t="shared" si="6"/>
        <v>111</v>
      </c>
      <c r="R16" s="1567" t="s">
        <v>8</v>
      </c>
      <c r="S16" s="1568">
        <f t="shared" si="0"/>
        <v>100</v>
      </c>
      <c r="T16" s="1567" t="s">
        <v>8</v>
      </c>
      <c r="U16" s="1568">
        <f t="shared" si="1"/>
        <v>100</v>
      </c>
      <c r="V16" s="1567" t="s">
        <v>8</v>
      </c>
      <c r="W16" s="1568">
        <f t="shared" si="2"/>
        <v>100</v>
      </c>
      <c r="X16" s="1569"/>
      <c r="Y16" s="3686"/>
      <c r="Z16" s="1149">
        <f t="shared" si="7"/>
        <v>111</v>
      </c>
      <c r="AA16" s="1570">
        <f t="shared" si="3"/>
        <v>1</v>
      </c>
      <c r="AB16" s="1570">
        <f t="shared" si="4"/>
        <v>1</v>
      </c>
      <c r="AC16" s="1570">
        <f t="shared" si="5"/>
        <v>1</v>
      </c>
    </row>
    <row r="17" spans="1:29" ht="15">
      <c r="A17" s="2934" t="s">
        <v>2753</v>
      </c>
      <c r="B17" s="166" t="s">
        <v>599</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735" t="s">
        <v>541</v>
      </c>
      <c r="Q17" s="1571" t="str">
        <f t="shared" si="6"/>
        <v>产业集聚程度</v>
      </c>
      <c r="R17" s="1572" t="s">
        <v>8</v>
      </c>
      <c r="S17" s="1573">
        <f t="shared" si="0"/>
        <v>100</v>
      </c>
      <c r="T17" s="1572" t="s">
        <v>8</v>
      </c>
      <c r="U17" s="1573">
        <f t="shared" si="1"/>
        <v>100</v>
      </c>
      <c r="V17" s="1572" t="s">
        <v>8</v>
      </c>
      <c r="W17" s="1573">
        <f t="shared" si="2"/>
        <v>100</v>
      </c>
      <c r="X17" s="1566"/>
      <c r="Y17" s="3735" t="s">
        <v>541</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1"/>
      <c r="M18" s="2133"/>
      <c r="N18" s="2133"/>
      <c r="O18" s="2140"/>
      <c r="P18" s="3736"/>
      <c r="Q18" s="1571"/>
      <c r="R18" s="1572"/>
      <c r="S18" s="1573"/>
      <c r="T18" s="1572"/>
      <c r="U18" s="1573"/>
      <c r="V18" s="1572"/>
      <c r="W18" s="1573"/>
      <c r="X18" s="1566"/>
      <c r="Y18" s="3736"/>
      <c r="Z18" s="1574"/>
      <c r="AA18" s="1575">
        <v>1</v>
      </c>
      <c r="AB18" s="1575">
        <v>1</v>
      </c>
      <c r="AC18" s="1575">
        <v>1</v>
      </c>
    </row>
    <row r="19" spans="1:29" ht="15">
      <c r="A19" s="531"/>
      <c r="B19" s="870" t="s">
        <v>544</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736"/>
      <c r="Q19" s="1571" t="str">
        <f>B19</f>
        <v>交通便捷度</v>
      </c>
      <c r="R19" s="1572" t="s">
        <v>8</v>
      </c>
      <c r="S19" s="1573">
        <f>F19</f>
        <v>100</v>
      </c>
      <c r="T19" s="1572" t="s">
        <v>8</v>
      </c>
      <c r="U19" s="1573">
        <f>H19</f>
        <v>100</v>
      </c>
      <c r="V19" s="1572" t="s">
        <v>8</v>
      </c>
      <c r="W19" s="1573">
        <f>J19</f>
        <v>100</v>
      </c>
      <c r="X19" s="1566"/>
      <c r="Y19" s="3736"/>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1"/>
      <c r="M20" s="2133"/>
      <c r="N20" s="2133"/>
      <c r="O20" s="2140"/>
      <c r="P20" s="3736"/>
      <c r="Q20" s="1571"/>
      <c r="R20" s="1572"/>
      <c r="S20" s="1573"/>
      <c r="T20" s="1572"/>
      <c r="U20" s="1573"/>
      <c r="V20" s="1572"/>
      <c r="W20" s="1573"/>
      <c r="X20" s="1566"/>
      <c r="Y20" s="3736"/>
      <c r="Z20" s="1574"/>
      <c r="AA20" s="1575">
        <v>1</v>
      </c>
      <c r="AB20" s="1575">
        <v>1</v>
      </c>
      <c r="AC20" s="1575">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1"/>
      <c r="M21" s="2133"/>
      <c r="N21" s="2133"/>
      <c r="O21" s="2140"/>
      <c r="P21" s="3736"/>
      <c r="Q21" s="1571" t="str">
        <f t="shared" ref="Q21:Q35" si="8">B21</f>
        <v>区域土地利用方向</v>
      </c>
      <c r="R21" s="1572" t="s">
        <v>8</v>
      </c>
      <c r="S21" s="1573">
        <f>F21</f>
        <v>100</v>
      </c>
      <c r="T21" s="1572" t="s">
        <v>8</v>
      </c>
      <c r="U21" s="1573">
        <f>H21</f>
        <v>100</v>
      </c>
      <c r="V21" s="1572" t="s">
        <v>8</v>
      </c>
      <c r="W21" s="1573">
        <f>J21</f>
        <v>100</v>
      </c>
      <c r="X21" s="1566"/>
      <c r="Y21" s="3736"/>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1"/>
      <c r="M22" s="2133"/>
      <c r="N22" s="2133"/>
      <c r="O22" s="2140"/>
      <c r="P22" s="3736"/>
      <c r="Q22" s="1571"/>
      <c r="R22" s="1572"/>
      <c r="S22" s="1573"/>
      <c r="T22" s="1572"/>
      <c r="U22" s="1573"/>
      <c r="V22" s="1572"/>
      <c r="W22" s="1573"/>
      <c r="X22" s="1566"/>
      <c r="Y22" s="3736"/>
      <c r="Z22" s="1574"/>
      <c r="AA22" s="1575"/>
      <c r="AB22" s="1575"/>
      <c r="AC22" s="1575"/>
    </row>
    <row r="23" spans="1:29" ht="15">
      <c r="A23" s="514"/>
      <c r="B23" s="921" t="s">
        <v>600</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736"/>
      <c r="Q23" s="1571" t="str">
        <f t="shared" si="8"/>
        <v>环境状况</v>
      </c>
      <c r="R23" s="1572" t="s">
        <v>8</v>
      </c>
      <c r="S23" s="1573">
        <f>F23</f>
        <v>100</v>
      </c>
      <c r="T23" s="1572" t="s">
        <v>8</v>
      </c>
      <c r="U23" s="1573">
        <f>H23</f>
        <v>100</v>
      </c>
      <c r="V23" s="1572" t="s">
        <v>8</v>
      </c>
      <c r="W23" s="1573">
        <f>J23</f>
        <v>100</v>
      </c>
      <c r="X23" s="1566"/>
      <c r="Y23" s="3736"/>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1"/>
      <c r="M24" s="2133"/>
      <c r="N24" s="2133"/>
      <c r="O24" s="2140"/>
      <c r="P24" s="3736"/>
      <c r="Q24" s="1571"/>
      <c r="R24" s="1572"/>
      <c r="S24" s="1573"/>
      <c r="T24" s="1572"/>
      <c r="U24" s="1573"/>
      <c r="V24" s="1572"/>
      <c r="W24" s="1573"/>
      <c r="X24" s="1566"/>
      <c r="Y24" s="3736"/>
      <c r="Z24" s="1574"/>
      <c r="AA24" s="1575">
        <v>1</v>
      </c>
      <c r="AB24" s="1575">
        <v>1</v>
      </c>
      <c r="AC24" s="1575">
        <v>1</v>
      </c>
    </row>
    <row r="25" spans="1:29" s="1219" customFormat="1" ht="15">
      <c r="A25" s="576"/>
      <c r="B25" s="2616" t="s">
        <v>2548</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736"/>
      <c r="Q25" s="1150" t="str">
        <f t="shared" si="8"/>
        <v>公共配套设施</v>
      </c>
      <c r="R25" s="1567" t="s">
        <v>8</v>
      </c>
      <c r="S25" s="1568">
        <f>F25</f>
        <v>100</v>
      </c>
      <c r="T25" s="1567" t="s">
        <v>8</v>
      </c>
      <c r="U25" s="1568">
        <f>H25</f>
        <v>100</v>
      </c>
      <c r="V25" s="1567" t="s">
        <v>8</v>
      </c>
      <c r="W25" s="1568">
        <f>J25</f>
        <v>100</v>
      </c>
      <c r="X25" s="1569"/>
      <c r="Y25" s="3736"/>
      <c r="Z25" s="1149" t="str">
        <f>Q25</f>
        <v>公共配套设施</v>
      </c>
      <c r="AA25" s="1575">
        <f>D25/F25</f>
        <v>1</v>
      </c>
      <c r="AB25" s="1575">
        <f>D25/H25</f>
        <v>1</v>
      </c>
      <c r="AC25" s="1575">
        <f>D25/J25</f>
        <v>1</v>
      </c>
    </row>
    <row r="26" spans="1:29" s="1219" customFormat="1" ht="15">
      <c r="A26" s="576"/>
      <c r="B26" s="594"/>
      <c r="C26" s="2615"/>
      <c r="D26" s="554"/>
      <c r="E26" s="553"/>
      <c r="F26" s="554"/>
      <c r="G26" s="553"/>
      <c r="H26" s="554"/>
      <c r="I26" s="575"/>
      <c r="J26" s="554"/>
      <c r="K26" s="530"/>
      <c r="L26" s="2134"/>
      <c r="M26" s="2135"/>
      <c r="N26" s="2135"/>
      <c r="O26" s="2136"/>
      <c r="P26" s="3736"/>
      <c r="Q26" s="1150"/>
      <c r="R26" s="1567"/>
      <c r="S26" s="1568"/>
      <c r="T26" s="1567"/>
      <c r="U26" s="1568"/>
      <c r="V26" s="1567"/>
      <c r="W26" s="1568"/>
      <c r="X26" s="1569"/>
      <c r="Y26" s="3736"/>
      <c r="Z26" s="1149"/>
      <c r="AA26" s="1570">
        <v>1</v>
      </c>
      <c r="AB26" s="1570">
        <v>1</v>
      </c>
      <c r="AC26" s="1570">
        <v>1</v>
      </c>
    </row>
    <row r="27" spans="1:29" s="1219" customFormat="1" ht="15">
      <c r="A27" s="576"/>
      <c r="B27" s="2616" t="s">
        <v>2549</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736"/>
      <c r="Q27" s="2601" t="str">
        <f t="shared" ref="Q27" si="9">B27</f>
        <v>基础设施水平</v>
      </c>
      <c r="R27" s="1567" t="s">
        <v>8</v>
      </c>
      <c r="S27" s="1568">
        <f>F27</f>
        <v>100</v>
      </c>
      <c r="T27" s="1567" t="s">
        <v>8</v>
      </c>
      <c r="U27" s="1568">
        <f>H27</f>
        <v>100</v>
      </c>
      <c r="V27" s="1567" t="s">
        <v>8</v>
      </c>
      <c r="W27" s="1568">
        <f>J27</f>
        <v>100</v>
      </c>
      <c r="X27" s="1569"/>
      <c r="Y27" s="3736"/>
      <c r="Z27" s="2598" t="str">
        <f>Q27</f>
        <v>基础设施水平</v>
      </c>
      <c r="AA27" s="1575">
        <f>D27/F27</f>
        <v>1</v>
      </c>
      <c r="AB27" s="1575">
        <f>D27/H27</f>
        <v>1</v>
      </c>
      <c r="AC27" s="1575">
        <f>D27/J27</f>
        <v>1</v>
      </c>
    </row>
    <row r="28" spans="1:29" s="1219" customFormat="1" ht="15">
      <c r="A28" s="576"/>
      <c r="B28" s="594"/>
      <c r="C28" s="2615"/>
      <c r="D28" s="554"/>
      <c r="E28" s="578"/>
      <c r="F28" s="554"/>
      <c r="G28" s="578"/>
      <c r="H28" s="554"/>
      <c r="I28" s="578"/>
      <c r="J28" s="554"/>
      <c r="K28" s="530"/>
      <c r="L28" s="2134"/>
      <c r="M28" s="2135"/>
      <c r="N28" s="2135"/>
      <c r="O28" s="2136"/>
      <c r="P28" s="3736"/>
      <c r="Q28" s="2601"/>
      <c r="R28" s="1567"/>
      <c r="S28" s="1568"/>
      <c r="T28" s="1567"/>
      <c r="U28" s="1568"/>
      <c r="V28" s="1567"/>
      <c r="W28" s="1568"/>
      <c r="X28" s="1569"/>
      <c r="Y28" s="3736"/>
      <c r="Z28" s="2598"/>
      <c r="AA28" s="1570">
        <v>1</v>
      </c>
      <c r="AB28" s="1570">
        <v>1</v>
      </c>
      <c r="AC28" s="1570">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73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736"/>
      <c r="Z29" s="1574" t="str">
        <f t="shared" ref="Z29:Z42" si="13">Q29</f>
        <v>临街状况</v>
      </c>
      <c r="AA29" s="1575">
        <f t="shared" si="3"/>
        <v>1</v>
      </c>
      <c r="AB29" s="1575">
        <f t="shared" si="4"/>
        <v>1</v>
      </c>
      <c r="AC29" s="1575">
        <f t="shared" si="5"/>
        <v>1</v>
      </c>
    </row>
    <row r="30" spans="1:29" ht="27">
      <c r="A30" s="531"/>
      <c r="B30" s="921" t="s">
        <v>549</v>
      </c>
      <c r="C30" s="261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736"/>
      <c r="Q30" s="1571" t="str">
        <f t="shared" si="8"/>
        <v>毗邻道路的类型与等级</v>
      </c>
      <c r="R30" s="1572" t="s">
        <v>8</v>
      </c>
      <c r="S30" s="1573">
        <f t="shared" si="10"/>
        <v>100</v>
      </c>
      <c r="T30" s="1572" t="s">
        <v>8</v>
      </c>
      <c r="U30" s="1573">
        <f t="shared" si="11"/>
        <v>100</v>
      </c>
      <c r="V30" s="1572" t="s">
        <v>8</v>
      </c>
      <c r="W30" s="1573">
        <f t="shared" si="12"/>
        <v>100</v>
      </c>
      <c r="X30" s="1566"/>
      <c r="Y30" s="3736"/>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1"/>
      <c r="M31" s="2133"/>
      <c r="N31" s="2133"/>
      <c r="O31" s="2140"/>
      <c r="P31" s="3736"/>
      <c r="Q31" s="1571"/>
      <c r="R31" s="1572"/>
      <c r="S31" s="1573"/>
      <c r="T31" s="1572"/>
      <c r="U31" s="1573"/>
      <c r="V31" s="1572"/>
      <c r="W31" s="1573"/>
      <c r="X31" s="1566"/>
      <c r="Y31" s="3736"/>
      <c r="Z31" s="1574"/>
      <c r="AA31" s="1575">
        <v>1</v>
      </c>
      <c r="AB31" s="1575">
        <v>1</v>
      </c>
      <c r="AC31" s="1575">
        <v>1</v>
      </c>
    </row>
    <row r="32" spans="1:29" ht="15">
      <c r="A32" s="531"/>
      <c r="B32" s="526" t="s">
        <v>550</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736"/>
      <c r="Q32" s="1571" t="str">
        <f t="shared" si="8"/>
        <v>土地级别</v>
      </c>
      <c r="R32" s="1572" t="s">
        <v>8</v>
      </c>
      <c r="S32" s="1573">
        <f t="shared" si="10"/>
        <v>100</v>
      </c>
      <c r="T32" s="1572" t="s">
        <v>8</v>
      </c>
      <c r="U32" s="1573">
        <f t="shared" si="11"/>
        <v>100</v>
      </c>
      <c r="V32" s="1572" t="s">
        <v>8</v>
      </c>
      <c r="W32" s="1573">
        <f t="shared" si="12"/>
        <v>100</v>
      </c>
      <c r="X32" s="1566"/>
      <c r="Y32" s="3736"/>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736"/>
      <c r="Q33" s="1571">
        <f t="shared" si="8"/>
        <v>111</v>
      </c>
      <c r="R33" s="1572" t="s">
        <v>8</v>
      </c>
      <c r="S33" s="1573">
        <f t="shared" si="10"/>
        <v>100</v>
      </c>
      <c r="T33" s="1572" t="s">
        <v>8</v>
      </c>
      <c r="U33" s="1573">
        <f t="shared" si="11"/>
        <v>100</v>
      </c>
      <c r="V33" s="1572" t="s">
        <v>8</v>
      </c>
      <c r="W33" s="1573">
        <f t="shared" si="12"/>
        <v>100</v>
      </c>
      <c r="X33" s="1566"/>
      <c r="Y33" s="3736"/>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737" t="s">
        <v>551</v>
      </c>
      <c r="Q34" s="1571">
        <f t="shared" si="8"/>
        <v>111</v>
      </c>
      <c r="R34" s="1572" t="s">
        <v>8</v>
      </c>
      <c r="S34" s="1573">
        <f t="shared" si="10"/>
        <v>100</v>
      </c>
      <c r="T34" s="1572" t="s">
        <v>8</v>
      </c>
      <c r="U34" s="1573">
        <f t="shared" si="11"/>
        <v>100</v>
      </c>
      <c r="V34" s="1572" t="s">
        <v>8</v>
      </c>
      <c r="W34" s="1573">
        <f t="shared" si="12"/>
        <v>100</v>
      </c>
      <c r="X34" s="1566"/>
      <c r="Y34" s="3738" t="s">
        <v>551</v>
      </c>
      <c r="Z34" s="1574">
        <f t="shared" si="13"/>
        <v>111</v>
      </c>
      <c r="AA34" s="1575">
        <f t="shared" si="3"/>
        <v>1</v>
      </c>
      <c r="AB34" s="1575">
        <f t="shared" si="4"/>
        <v>1</v>
      </c>
      <c r="AC34" s="1575">
        <f t="shared" si="5"/>
        <v>1</v>
      </c>
    </row>
    <row r="35" spans="1:29" s="1338" customFormat="1" ht="15.75"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738"/>
      <c r="Q35" s="1571">
        <f t="shared" si="8"/>
        <v>111</v>
      </c>
      <c r="R35" s="1576" t="s">
        <v>8</v>
      </c>
      <c r="S35" s="1577">
        <f t="shared" si="10"/>
        <v>100</v>
      </c>
      <c r="T35" s="1576" t="s">
        <v>8</v>
      </c>
      <c r="U35" s="1577">
        <f t="shared" si="11"/>
        <v>100</v>
      </c>
      <c r="V35" s="1576" t="s">
        <v>8</v>
      </c>
      <c r="W35" s="1577">
        <f t="shared" si="12"/>
        <v>100</v>
      </c>
      <c r="X35" s="1578"/>
      <c r="Y35" s="3738"/>
      <c r="Z35" s="1579">
        <f t="shared" si="13"/>
        <v>111</v>
      </c>
      <c r="AA35" s="1575">
        <f t="shared" si="3"/>
        <v>1</v>
      </c>
      <c r="AB35" s="1575">
        <f t="shared" si="4"/>
        <v>1</v>
      </c>
      <c r="AC35" s="1575">
        <f t="shared" si="5"/>
        <v>1</v>
      </c>
    </row>
    <row r="36" spans="1:29" ht="15">
      <c r="A36" s="2931" t="s">
        <v>2754</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738"/>
      <c r="Q36" s="1571" t="str">
        <f>B36</f>
        <v>宗地面积</v>
      </c>
      <c r="R36" s="1572" t="s">
        <v>8</v>
      </c>
      <c r="S36" s="1573" t="e">
        <f t="shared" si="10"/>
        <v>#N/A</v>
      </c>
      <c r="T36" s="1572" t="s">
        <v>8</v>
      </c>
      <c r="U36" s="1573" t="e">
        <f t="shared" si="11"/>
        <v>#N/A</v>
      </c>
      <c r="V36" s="1572" t="s">
        <v>8</v>
      </c>
      <c r="W36" s="1573" t="e">
        <f t="shared" si="12"/>
        <v>#N/A</v>
      </c>
      <c r="X36" s="1566"/>
      <c r="Y36" s="3738"/>
      <c r="Z36" s="1574" t="str">
        <f t="shared" si="13"/>
        <v>宗地面积</v>
      </c>
      <c r="AA36" s="1575" t="e">
        <f t="shared" si="3"/>
        <v>#N/A</v>
      </c>
      <c r="AB36" s="1575" t="e">
        <f t="shared" si="4"/>
        <v>#N/A</v>
      </c>
      <c r="AC36" s="1575"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738"/>
      <c r="Q37" s="1571" t="str">
        <f t="shared" ref="Q37:Q42" si="14">B37</f>
        <v>宗地形状</v>
      </c>
      <c r="R37" s="1572" t="s">
        <v>8</v>
      </c>
      <c r="S37" s="1573">
        <f t="shared" si="10"/>
        <v>100</v>
      </c>
      <c r="T37" s="1572" t="s">
        <v>8</v>
      </c>
      <c r="U37" s="1573">
        <f t="shared" si="11"/>
        <v>100</v>
      </c>
      <c r="V37" s="1572" t="s">
        <v>8</v>
      </c>
      <c r="W37" s="1573">
        <f t="shared" si="12"/>
        <v>100</v>
      </c>
      <c r="X37" s="1566"/>
      <c r="Y37" s="3738"/>
      <c r="Z37" s="1574" t="str">
        <f t="shared" si="13"/>
        <v>宗地形状</v>
      </c>
      <c r="AA37" s="1575">
        <f t="shared" si="3"/>
        <v>1</v>
      </c>
      <c r="AB37" s="1575">
        <f t="shared" si="4"/>
        <v>1</v>
      </c>
      <c r="AC37" s="1575">
        <f t="shared" si="5"/>
        <v>1</v>
      </c>
    </row>
    <row r="38" spans="1:29" s="1219" customFormat="1" ht="15">
      <c r="A38" s="599"/>
      <c r="B38" s="1894"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738"/>
      <c r="Q38" s="1571" t="str">
        <f t="shared" si="14"/>
        <v>宗地开发程度</v>
      </c>
      <c r="R38" s="1567" t="s">
        <v>8</v>
      </c>
      <c r="S38" s="1568">
        <f t="shared" si="10"/>
        <v>100</v>
      </c>
      <c r="T38" s="1567" t="s">
        <v>8</v>
      </c>
      <c r="U38" s="1568">
        <f t="shared" si="11"/>
        <v>100</v>
      </c>
      <c r="V38" s="1567" t="s">
        <v>8</v>
      </c>
      <c r="W38" s="1568">
        <f t="shared" si="12"/>
        <v>100</v>
      </c>
      <c r="X38" s="1569"/>
      <c r="Y38" s="3738"/>
      <c r="Z38" s="1149" t="str">
        <f t="shared" si="13"/>
        <v>宗地开发程度</v>
      </c>
      <c r="AA38" s="1570">
        <f t="shared" si="3"/>
        <v>1</v>
      </c>
      <c r="AB38" s="1570">
        <f t="shared" si="4"/>
        <v>1</v>
      </c>
      <c r="AC38" s="1570">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738" t="s">
        <v>602</v>
      </c>
      <c r="Q39" s="1571" t="str">
        <f t="shared" si="14"/>
        <v>工程地质条件</v>
      </c>
      <c r="R39" s="1572" t="s">
        <v>8</v>
      </c>
      <c r="S39" s="1573">
        <f t="shared" si="10"/>
        <v>100</v>
      </c>
      <c r="T39" s="1572" t="s">
        <v>8</v>
      </c>
      <c r="U39" s="1573">
        <f t="shared" si="11"/>
        <v>100</v>
      </c>
      <c r="V39" s="1572" t="s">
        <v>8</v>
      </c>
      <c r="W39" s="1573">
        <f t="shared" si="12"/>
        <v>100</v>
      </c>
      <c r="X39" s="1566"/>
      <c r="Y39" s="3738" t="s">
        <v>602</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738"/>
      <c r="Q40" s="1571">
        <f t="shared" si="14"/>
        <v>111</v>
      </c>
      <c r="R40" s="1572" t="s">
        <v>8</v>
      </c>
      <c r="S40" s="1573">
        <f t="shared" si="10"/>
        <v>100</v>
      </c>
      <c r="T40" s="1572" t="s">
        <v>8</v>
      </c>
      <c r="U40" s="1573">
        <f t="shared" si="11"/>
        <v>100</v>
      </c>
      <c r="V40" s="1572" t="s">
        <v>8</v>
      </c>
      <c r="W40" s="1573">
        <f t="shared" si="12"/>
        <v>100</v>
      </c>
      <c r="X40" s="1566"/>
      <c r="Y40" s="3738"/>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738"/>
      <c r="Q41" s="1571">
        <f t="shared" si="14"/>
        <v>111</v>
      </c>
      <c r="R41" s="1572" t="s">
        <v>8</v>
      </c>
      <c r="S41" s="1573">
        <f t="shared" si="10"/>
        <v>100</v>
      </c>
      <c r="T41" s="1572" t="s">
        <v>8</v>
      </c>
      <c r="U41" s="1573">
        <f t="shared" si="11"/>
        <v>100</v>
      </c>
      <c r="V41" s="1572" t="s">
        <v>8</v>
      </c>
      <c r="W41" s="1573">
        <f t="shared" si="12"/>
        <v>100</v>
      </c>
      <c r="X41" s="1566"/>
      <c r="Y41" s="3738"/>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738"/>
      <c r="Q42" s="1571">
        <f t="shared" si="14"/>
        <v>111</v>
      </c>
      <c r="R42" s="1576" t="s">
        <v>8</v>
      </c>
      <c r="S42" s="1577">
        <f t="shared" si="10"/>
        <v>100</v>
      </c>
      <c r="T42" s="1576" t="s">
        <v>8</v>
      </c>
      <c r="U42" s="1577">
        <f t="shared" si="11"/>
        <v>100</v>
      </c>
      <c r="V42" s="1576" t="s">
        <v>8</v>
      </c>
      <c r="W42" s="1577">
        <f t="shared" si="12"/>
        <v>100</v>
      </c>
      <c r="X42" s="1578"/>
      <c r="Y42" s="3738"/>
      <c r="Z42" s="1579">
        <f t="shared" si="13"/>
        <v>111</v>
      </c>
      <c r="AA42" s="1575">
        <f t="shared" si="3"/>
        <v>1</v>
      </c>
      <c r="AB42" s="1575">
        <f t="shared" si="4"/>
        <v>1</v>
      </c>
      <c r="AC42" s="1575">
        <f t="shared" si="5"/>
        <v>1</v>
      </c>
    </row>
    <row r="43" spans="1:29" ht="15">
      <c r="A43" s="606" t="s">
        <v>557</v>
      </c>
      <c r="B43" s="607" t="s">
        <v>2922</v>
      </c>
      <c r="C43" s="608" t="s">
        <v>1</v>
      </c>
      <c r="D43" s="609"/>
      <c r="E43" s="610"/>
      <c r="F43" s="611"/>
      <c r="G43" s="612"/>
      <c r="H43" s="613"/>
      <c r="I43" s="610"/>
      <c r="J43" s="613"/>
      <c r="K43" s="1339"/>
      <c r="L43" s="2143"/>
      <c r="M43" s="2133"/>
      <c r="N43" s="2133"/>
      <c r="O43" s="2144"/>
      <c r="P43" s="3733" t="str">
        <f>A43</f>
        <v>成交单价</v>
      </c>
      <c r="Q43" s="3733"/>
      <c r="R43" s="3747">
        <f>E43</f>
        <v>0</v>
      </c>
      <c r="S43" s="3747"/>
      <c r="T43" s="3747">
        <f>G43</f>
        <v>0</v>
      </c>
      <c r="U43" s="3747"/>
      <c r="V43" s="3747">
        <f>I43</f>
        <v>0</v>
      </c>
      <c r="W43" s="3747"/>
      <c r="X43" s="1558"/>
      <c r="Y43" s="1580"/>
      <c r="Z43" s="1558"/>
      <c r="AA43" s="1558"/>
      <c r="AB43" s="1558"/>
      <c r="AC43" s="1558"/>
    </row>
    <row r="44" spans="1:29" ht="15.75" thickBot="1">
      <c r="A44" s="614" t="s">
        <v>2692</v>
      </c>
      <c r="B44" s="615"/>
      <c r="C44" s="616" t="e">
        <f>R45</f>
        <v>#DIV/0!</v>
      </c>
      <c r="D44" s="617"/>
      <c r="E44" s="616" t="e">
        <f>R44</f>
        <v>#DIV/0!</v>
      </c>
      <c r="F44" s="618"/>
      <c r="G44" s="619" t="e">
        <f>T44</f>
        <v>#DIV/0!</v>
      </c>
      <c r="H44" s="617"/>
      <c r="I44" s="616" t="e">
        <f>V44</f>
        <v>#DIV/0!</v>
      </c>
      <c r="J44" s="617"/>
      <c r="K44" s="1340"/>
      <c r="L44" s="2143"/>
      <c r="M44" s="2133"/>
      <c r="N44" s="2133"/>
      <c r="O44" s="2144"/>
      <c r="P44" s="3733" t="str">
        <f>A44</f>
        <v>比较价格（元/平方米）</v>
      </c>
      <c r="Q44" s="3733"/>
      <c r="R44" s="3757" t="e">
        <f>ROUND(PRODUCT(R43,AA9:AA42),0)</f>
        <v>#DIV/0!</v>
      </c>
      <c r="S44" s="3757"/>
      <c r="T44" s="3757" t="e">
        <f>ROUND(PRODUCT(T43,AB9:AB42),0)</f>
        <v>#DIV/0!</v>
      </c>
      <c r="U44" s="3757"/>
      <c r="V44" s="3757" t="e">
        <f>ROUND(PRODUCT(V43,AC9:AC42),0)</f>
        <v>#DIV/0!</v>
      </c>
      <c r="W44" s="3757"/>
      <c r="X44" s="1558"/>
      <c r="Y44" s="1558"/>
      <c r="Z44" s="1558"/>
      <c r="AA44" s="1558"/>
      <c r="AB44" s="1558"/>
      <c r="AC44" s="1558"/>
    </row>
    <row r="45" spans="1:29" ht="15.75" thickBot="1">
      <c r="A45" s="620" t="s">
        <v>2923</v>
      </c>
      <c r="B45" s="621"/>
      <c r="C45" s="622" t="e">
        <f>R45</f>
        <v>#DIV/0!</v>
      </c>
      <c r="D45" s="622"/>
      <c r="E45" s="622"/>
      <c r="F45" s="622"/>
      <c r="G45" s="622"/>
      <c r="H45" s="622"/>
      <c r="I45" s="622"/>
      <c r="J45" s="622"/>
      <c r="K45" s="1341"/>
      <c r="L45" s="2143"/>
      <c r="M45" s="2133"/>
      <c r="N45" s="2133"/>
      <c r="O45" s="2144"/>
      <c r="P45" s="3754" t="str">
        <f>A45</f>
        <v>估价对象XX用房的比较价格（楼面单价，元/平方米）</v>
      </c>
      <c r="Q45" s="3755"/>
      <c r="R45" s="3756" t="e">
        <f>ROUND(AVERAGE(R44:V44),0)</f>
        <v>#DIV/0!</v>
      </c>
      <c r="S45" s="3756"/>
      <c r="T45" s="3756"/>
      <c r="U45" s="3756"/>
      <c r="V45" s="3756"/>
      <c r="W45" s="3756"/>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561</v>
      </c>
      <c r="B52" s="629" t="s">
        <v>562</v>
      </c>
      <c r="C52" s="1559" t="s">
        <v>1725</v>
      </c>
      <c r="D52" s="2226" t="s">
        <v>2293</v>
      </c>
      <c r="E52" s="630" t="s">
        <v>563</v>
      </c>
      <c r="F52" s="1950" t="s">
        <v>564</v>
      </c>
      <c r="G52" s="3758" t="s">
        <v>2284</v>
      </c>
      <c r="H52" s="3759"/>
      <c r="I52" s="1951" t="s">
        <v>1948</v>
      </c>
      <c r="J52" s="1554" t="str">
        <f>项目基本情况!F41</f>
        <v>陕西省西安市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2" t="s">
        <v>565</v>
      </c>
      <c r="B53" s="633" t="e">
        <f>C45</f>
        <v>#DIV/0!</v>
      </c>
      <c r="C53" s="634">
        <v>1</v>
      </c>
      <c r="D53" s="2227">
        <v>1</v>
      </c>
      <c r="E53" s="634">
        <f>'数据-汇总表'!E8+'数据-汇总表'!E9</f>
        <v>84316</v>
      </c>
      <c r="F53" s="1949" t="e">
        <f t="shared" ref="F53:F62" si="15">ROUND(B53*E53/10000,0)</f>
        <v>#DIV/0!</v>
      </c>
      <c r="G53" s="3760"/>
      <c r="H53" s="3761"/>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6" t="s">
        <v>566</v>
      </c>
      <c r="B54" s="637" t="e">
        <f>ROUND($C$45*C54*D54,0)</f>
        <v>#DIV/0!</v>
      </c>
      <c r="C54" s="377">
        <f t="shared" ref="C54:C62" si="16">IF($C$52="北京市系数",I54,J54)</f>
        <v>0</v>
      </c>
      <c r="D54" s="2228">
        <v>0.25</v>
      </c>
      <c r="E54" s="638"/>
      <c r="F54" s="1949" t="e">
        <f t="shared" si="15"/>
        <v>#DIV/0!</v>
      </c>
      <c r="G54" s="3762" t="s">
        <v>2285</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6" t="s">
        <v>567</v>
      </c>
      <c r="B55" s="637" t="e">
        <f t="shared" ref="B55:B62" si="17">ROUND($C$45*C55*D55,0)</f>
        <v>#DIV/0!</v>
      </c>
      <c r="C55" s="377">
        <f t="shared" si="16"/>
        <v>0</v>
      </c>
      <c r="D55" s="2228">
        <v>0.25</v>
      </c>
      <c r="E55" s="638"/>
      <c r="F55" s="1949" t="e">
        <f t="shared" si="15"/>
        <v>#DIV/0!</v>
      </c>
      <c r="G55" s="3762"/>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6" t="s">
        <v>568</v>
      </c>
      <c r="B56" s="637" t="e">
        <f t="shared" si="17"/>
        <v>#DIV/0!</v>
      </c>
      <c r="C56" s="377">
        <f t="shared" si="16"/>
        <v>0</v>
      </c>
      <c r="D56" s="2228">
        <v>0.25</v>
      </c>
      <c r="E56" s="638"/>
      <c r="F56" s="1949" t="e">
        <f t="shared" si="15"/>
        <v>#DIV/0!</v>
      </c>
      <c r="G56" s="3762"/>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6" t="s">
        <v>569</v>
      </c>
      <c r="B57" s="637" t="e">
        <f t="shared" si="17"/>
        <v>#DIV/0!</v>
      </c>
      <c r="C57" s="377">
        <f t="shared" si="16"/>
        <v>0</v>
      </c>
      <c r="D57" s="2228">
        <v>0.25</v>
      </c>
      <c r="E57" s="638"/>
      <c r="F57" s="1949" t="e">
        <f t="shared" si="15"/>
        <v>#DIV/0!</v>
      </c>
      <c r="G57" s="3762"/>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2326</v>
      </c>
      <c r="B58" s="637" t="e">
        <f t="shared" si="17"/>
        <v>#DIV/0!</v>
      </c>
      <c r="C58" s="377">
        <f t="shared" si="16"/>
        <v>0</v>
      </c>
      <c r="D58" s="2228">
        <v>0.25</v>
      </c>
      <c r="E58" s="640">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570</v>
      </c>
      <c r="B59" s="637" t="e">
        <f t="shared" si="17"/>
        <v>#DIV/0!</v>
      </c>
      <c r="C59" s="377">
        <f t="shared" si="16"/>
        <v>0</v>
      </c>
      <c r="D59" s="2228">
        <v>0.25</v>
      </c>
      <c r="E59" s="640">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571</v>
      </c>
      <c r="B60" s="637" t="e">
        <f t="shared" si="17"/>
        <v>#DIV/0!</v>
      </c>
      <c r="C60" s="377">
        <f t="shared" si="16"/>
        <v>0</v>
      </c>
      <c r="D60" s="2228">
        <v>0.25</v>
      </c>
      <c r="E60" s="640">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572</v>
      </c>
      <c r="B61" s="637" t="e">
        <f t="shared" si="17"/>
        <v>#DIV/0!</v>
      </c>
      <c r="C61" s="377">
        <f t="shared" si="16"/>
        <v>0</v>
      </c>
      <c r="D61" s="2228">
        <v>0.25</v>
      </c>
      <c r="E61" s="640">
        <f>'数据-汇总表'!E14</f>
        <v>0</v>
      </c>
      <c r="F61" s="1949" t="e">
        <f t="shared" si="15"/>
        <v>#DIV/0!</v>
      </c>
      <c r="G61" s="1955" t="s">
        <v>2285</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6" t="s">
        <v>573</v>
      </c>
      <c r="B62" s="637" t="e">
        <f t="shared" si="17"/>
        <v>#DIV/0!</v>
      </c>
      <c r="C62" s="377">
        <f t="shared" si="16"/>
        <v>0</v>
      </c>
      <c r="D62" s="2228">
        <v>0.25</v>
      </c>
      <c r="E62" s="640">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1" t="s">
        <v>574</v>
      </c>
      <c r="B63" s="642" t="s">
        <v>17</v>
      </c>
      <c r="C63" s="642" t="s">
        <v>18</v>
      </c>
      <c r="D63" s="642" t="s">
        <v>2294</v>
      </c>
      <c r="E63" s="642">
        <f>IF(B43="楼面地价",SUM(E53:E62),'数据-汇总表'!D3)</f>
        <v>28172.14</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4" t="str">
        <f>YEAR(C9)&amp;"-"&amp;MONTH(C9)&amp;"-1"</f>
        <v>2018-2-1</v>
      </c>
      <c r="D65" s="2823">
        <f>EDATE(C65,-3)</f>
        <v>43040</v>
      </c>
      <c r="E65" s="2823">
        <f t="shared" ref="E65:N65" si="18">EDATE(D65,-3)</f>
        <v>42948</v>
      </c>
      <c r="F65" s="2823">
        <f t="shared" si="18"/>
        <v>42856</v>
      </c>
      <c r="G65" s="2823">
        <f t="shared" si="18"/>
        <v>42767</v>
      </c>
      <c r="H65" s="2823">
        <f t="shared" si="18"/>
        <v>42675</v>
      </c>
      <c r="I65" s="2823">
        <f t="shared" si="18"/>
        <v>42583</v>
      </c>
      <c r="J65" s="2823">
        <f t="shared" si="18"/>
        <v>42491</v>
      </c>
      <c r="K65" s="2823">
        <f t="shared" si="18"/>
        <v>42401</v>
      </c>
      <c r="L65" s="2823">
        <f t="shared" si="18"/>
        <v>42309</v>
      </c>
      <c r="M65" s="2823">
        <f t="shared" si="18"/>
        <v>42217</v>
      </c>
      <c r="N65" s="2823">
        <f t="shared" si="18"/>
        <v>42125</v>
      </c>
      <c r="O65" s="2144"/>
      <c r="P65" s="2144"/>
      <c r="Q65" s="2144"/>
      <c r="R65" s="2144"/>
      <c r="S65" s="2144"/>
      <c r="T65" s="2144"/>
      <c r="U65" s="2144"/>
      <c r="V65" s="2144"/>
      <c r="W65" s="2144"/>
      <c r="X65" s="2144"/>
      <c r="Y65" s="2144"/>
      <c r="Z65" s="2144"/>
      <c r="AA65" s="2144"/>
      <c r="AB65" s="2144"/>
      <c r="AC65" s="2144"/>
    </row>
    <row r="66" spans="1:29" ht="21.75" thickBot="1">
      <c r="A66" s="1583" t="s">
        <v>575</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91" t="s">
        <v>2533</v>
      </c>
      <c r="B67" s="645"/>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8"/>
      <c r="P67" s="2159"/>
      <c r="Q67" s="2160"/>
      <c r="R67" s="2160"/>
      <c r="S67" s="2160"/>
      <c r="T67" s="2160"/>
      <c r="U67" s="2160"/>
      <c r="V67" s="2160"/>
      <c r="W67" s="2160"/>
      <c r="X67" s="2160"/>
      <c r="Y67" s="2160"/>
      <c r="Z67" s="2160"/>
      <c r="AA67" s="2160"/>
      <c r="AB67" s="2160"/>
      <c r="AC67" s="2160"/>
    </row>
    <row r="68" spans="1:29" s="1219" customFormat="1" ht="27.75" customHeight="1">
      <c r="A68" s="2822" t="s">
        <v>2648</v>
      </c>
      <c r="B68" s="478" t="str">
        <f>"北京市平均增长率"&amp;TEXT(基准地价!P24,"0.00%")</f>
        <v>北京市平均增长率1.31%</v>
      </c>
      <c r="C68" s="893">
        <v>100</v>
      </c>
      <c r="D68" s="729"/>
      <c r="E68" s="729"/>
      <c r="F68" s="729"/>
      <c r="G68" s="729"/>
      <c r="H68" s="729"/>
      <c r="I68" s="729"/>
      <c r="J68" s="729"/>
      <c r="K68" s="729"/>
      <c r="L68" s="729"/>
      <c r="M68" s="2816"/>
      <c r="N68" s="2817"/>
      <c r="O68" s="2161"/>
      <c r="P68" s="2157"/>
      <c r="Q68" s="1992"/>
      <c r="R68" s="1992"/>
      <c r="S68" s="1992"/>
      <c r="T68" s="1992"/>
      <c r="U68" s="1992"/>
      <c r="V68" s="1992"/>
      <c r="W68" s="1992"/>
      <c r="X68" s="1992"/>
      <c r="Y68" s="1992"/>
      <c r="Z68" s="1992"/>
      <c r="AA68" s="1992"/>
      <c r="AB68" s="1992"/>
      <c r="AC68" s="1992"/>
    </row>
    <row r="69" spans="1:29" s="1219" customFormat="1" ht="15.75" thickBot="1">
      <c r="A69" s="652" t="s">
        <v>576</v>
      </c>
      <c r="B69" s="653"/>
      <c r="C69" s="2814"/>
      <c r="D69" s="2815"/>
      <c r="E69" s="2815"/>
      <c r="F69" s="2815"/>
      <c r="G69" s="2815"/>
      <c r="H69" s="2815"/>
      <c r="I69" s="2815"/>
      <c r="J69" s="2815"/>
      <c r="K69" s="2815"/>
      <c r="L69" s="2815"/>
      <c r="M69" s="2815"/>
      <c r="N69" s="2815"/>
      <c r="O69" s="2161"/>
      <c r="P69" s="2157"/>
      <c r="Q69" s="2157"/>
      <c r="R69" s="1992"/>
      <c r="S69" s="1992"/>
      <c r="T69" s="1992"/>
      <c r="U69" s="1992"/>
      <c r="V69" s="1992"/>
      <c r="W69" s="1992"/>
      <c r="X69" s="1992"/>
      <c r="Y69" s="1992"/>
      <c r="Z69" s="1992"/>
      <c r="AA69" s="1992"/>
      <c r="AB69" s="1992"/>
      <c r="AC69" s="1992"/>
    </row>
    <row r="70" spans="1:29" s="1219" customFormat="1" ht="15">
      <c r="A70" s="658" t="s">
        <v>532</v>
      </c>
      <c r="B70" s="647"/>
      <c r="C70" s="659" t="s">
        <v>577</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578</v>
      </c>
      <c r="B72" s="664" t="s">
        <v>535</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538</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540</v>
      </c>
      <c r="B85" s="664" t="s">
        <v>603</v>
      </c>
      <c r="C85" s="702" t="s">
        <v>580</v>
      </c>
      <c r="D85" s="702" t="s">
        <v>581</v>
      </c>
      <c r="E85" s="702" t="s">
        <v>582</v>
      </c>
      <c r="F85" s="702" t="s">
        <v>583</v>
      </c>
      <c r="G85" s="702" t="s">
        <v>584</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587</v>
      </c>
      <c r="C87" s="707" t="s">
        <v>580</v>
      </c>
      <c r="D87" s="707" t="s">
        <v>581</v>
      </c>
      <c r="E87" s="707" t="s">
        <v>582</v>
      </c>
      <c r="F87" s="707" t="s">
        <v>583</v>
      </c>
      <c r="G87" s="707" t="s">
        <v>584</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6"/>
      <c r="B93" s="1895" t="s">
        <v>2548</v>
      </c>
      <c r="C93" s="702" t="s">
        <v>580</v>
      </c>
      <c r="D93" s="702" t="s">
        <v>581</v>
      </c>
      <c r="E93" s="702" t="s">
        <v>582</v>
      </c>
      <c r="F93" s="702" t="s">
        <v>583</v>
      </c>
      <c r="G93" s="702" t="s">
        <v>584</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6"/>
      <c r="B95" s="2620" t="s">
        <v>2550</v>
      </c>
      <c r="C95" s="2621" t="s">
        <v>2551</v>
      </c>
      <c r="D95" s="2621" t="s">
        <v>2552</v>
      </c>
      <c r="E95" s="2621" t="s">
        <v>2553</v>
      </c>
      <c r="F95" s="2621" t="s">
        <v>2554</v>
      </c>
      <c r="G95" s="2621" t="s">
        <v>2555</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590</v>
      </c>
      <c r="D97" s="673" t="s">
        <v>591</v>
      </c>
      <c r="E97" s="673" t="s">
        <v>592</v>
      </c>
      <c r="F97" s="673" t="s">
        <v>593</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549</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550</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595</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7"/>
      <c r="B114" s="1895" t="s">
        <v>2423</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597</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H33" sqref="H3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2424</v>
      </c>
      <c r="D1" s="1520">
        <f>SUM(D29:D30,D33:D39)</f>
        <v>0</v>
      </c>
      <c r="E1" s="1405" t="s">
        <v>2425</v>
      </c>
      <c r="F1" s="2475"/>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60" t="s">
        <v>2761</v>
      </c>
      <c r="S1" s="2960" t="s">
        <v>2762</v>
      </c>
      <c r="T1" s="2960" t="s">
        <v>2783</v>
      </c>
      <c r="U1" s="2960" t="s">
        <v>2784</v>
      </c>
      <c r="V1" s="2960" t="s">
        <v>2785</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2924</v>
      </c>
      <c r="G3" s="1038">
        <f>IF(F3="宗地容积率",'数据-汇总表'!I4,IF(F3="估价对象容积率",'数据-汇总表'!I6,'数据-汇总表'!I7))</f>
        <v>2.99</v>
      </c>
      <c r="H3" s="1413" t="s">
        <v>929</v>
      </c>
      <c r="I3" s="1039">
        <v>8</v>
      </c>
      <c r="J3" s="1409" t="s">
        <v>930</v>
      </c>
      <c r="K3" s="1400"/>
      <c r="L3" s="1884" t="s">
        <v>2240</v>
      </c>
      <c r="M3" s="1885">
        <f>SUMPRODUCT((区片价!B29:B48=I2)*(区片价!C3:F3=E2)*(区片价!C29:F48))</f>
        <v>0</v>
      </c>
      <c r="N3" s="1886">
        <f>SUMPRODUCT((因素修正幅度!B29:B48=I2)*(因素修正幅度!C3:F3=E2)*(因素修正幅度!C29:F48))</f>
        <v>0</v>
      </c>
      <c r="O3" s="2188"/>
      <c r="P3" s="2188"/>
      <c r="Q3" s="2188"/>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8"/>
      <c r="X3" s="2188"/>
      <c r="Y3" s="2188"/>
      <c r="Z3" s="2188"/>
      <c r="AA3" s="2188"/>
      <c r="AB3" s="2188"/>
      <c r="AC3" s="2189"/>
    </row>
    <row r="4" spans="1:39" ht="28.5">
      <c r="A4" s="1890" t="s">
        <v>2280</v>
      </c>
      <c r="B4" s="2476" t="e">
        <f>ROUND(B2*10000/F1,0)</f>
        <v>#DIV/0!</v>
      </c>
      <c r="C4" s="1893" t="s">
        <v>2254</v>
      </c>
      <c r="D4" s="1893" t="e">
        <f>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61">
        <v>3</v>
      </c>
      <c r="S4" s="2961">
        <f>ROUND(IF(G3&gt;1,IF(R4&lt;7,SUMPRODUCT((B93:B98=R4)*(C92:N92=G2)*(C93:N98)),SUMIF(C92:N92,G2,C100:N100)),IF(R4&lt;7,SUMPRODUCT((B102:B107=R4)*(C92:N92=G2)*(C102:N107)),SUMIF(C92:N92,G2,C109:N109))),4)</f>
        <v>0</v>
      </c>
      <c r="T4" s="2961" t="e">
        <f t="shared" si="0"/>
        <v>#DIV/0!</v>
      </c>
      <c r="U4" s="2950"/>
      <c r="V4" s="2961"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61">
        <v>4</v>
      </c>
      <c r="S5" s="2961">
        <f>ROUND(IF(G3&gt;1,IF(R5&lt;7,SUMPRODUCT((B93:B98=R5)*(C92:N92=G2)*(C93:N98)),SUMIF(C92:N92,G2,C100:N100)),IF(R5&lt;7,SUMPRODUCT((B102:B107=R5)*(C92:N92=G2)*(C102:N107)),SUMIF(C92:N92,G2,C109:N109))),4)</f>
        <v>0</v>
      </c>
      <c r="T5" s="2961" t="e">
        <f t="shared" si="0"/>
        <v>#DIV/0!</v>
      </c>
      <c r="U5" s="2950"/>
      <c r="V5" s="2961"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61">
        <v>5</v>
      </c>
      <c r="S6" s="2961">
        <f>ROUND(IF(G3&gt;1,IF(R6&lt;7,SUMPRODUCT((B93:B98=R6)*(C92:N92=G2)*(C93:N98)),SUMIF(C92:N92,G2,C100:N100)),IF(R6&lt;7,SUMPRODUCT((B102:B107=R6)*(C92:N92=G2)*(C102:N107)),SUMIF(C92:N92,G2,C109:N109))),4)</f>
        <v>0</v>
      </c>
      <c r="T6" s="2961" t="e">
        <f t="shared" si="0"/>
        <v>#DIV/0!</v>
      </c>
      <c r="U6" s="2950"/>
      <c r="V6" s="2961" t="e">
        <f t="shared" si="1"/>
        <v>#DIV/0!</v>
      </c>
      <c r="W6" s="2188"/>
      <c r="X6" s="2188"/>
      <c r="Y6" s="2188"/>
      <c r="Z6" s="2188"/>
      <c r="AA6" s="2188"/>
      <c r="AB6" s="2188"/>
      <c r="AC6" s="2190"/>
      <c r="AD6" s="1418"/>
      <c r="AE6" s="1418"/>
      <c r="AF6" s="1418"/>
      <c r="AG6" s="1418"/>
      <c r="AH6" s="1418"/>
      <c r="AI6" s="1418"/>
      <c r="AJ6" s="1419"/>
    </row>
    <row r="7" spans="1:39" ht="24">
      <c r="A7" s="3770" t="str">
        <f>IF(E2="商业",IF(C8="不临58条商业街","",2),"")</f>
        <v/>
      </c>
      <c r="B7" s="1426" t="s">
        <v>932</v>
      </c>
      <c r="C7" s="1042" t="e">
        <f>IF(C8="不临58条商业街",1,ROUND(1+(1.6*E8+1.2*E9+0.8*E10+0.4*E11)*C9,4))</f>
        <v>#DIV/0!</v>
      </c>
      <c r="D7" s="1427" t="s">
        <v>933</v>
      </c>
      <c r="E7" s="1043"/>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2764</v>
      </c>
      <c r="X7" s="2951">
        <f>G2</f>
        <v>0</v>
      </c>
      <c r="Y7" s="2951" t="s">
        <v>2765</v>
      </c>
      <c r="Z7" s="2952">
        <f>G3</f>
        <v>2.99</v>
      </c>
      <c r="AA7" s="2191"/>
      <c r="AB7" s="2191"/>
      <c r="AC7" s="2192"/>
      <c r="AD7" s="2953"/>
      <c r="AE7" s="2953"/>
      <c r="AF7" s="2953"/>
      <c r="AG7" s="2953"/>
      <c r="AH7" s="2953"/>
      <c r="AI7" s="2953"/>
      <c r="AJ7" s="2954"/>
    </row>
    <row r="8" spans="1:39" ht="15">
      <c r="A8" s="3771"/>
      <c r="B8" s="1413" t="s">
        <v>934</v>
      </c>
      <c r="C8" s="1528"/>
      <c r="D8" s="1044" t="s">
        <v>935</v>
      </c>
      <c r="E8" s="1045" t="e">
        <f>ROUND(C11/E7,4)</f>
        <v>#DIV/0!</v>
      </c>
      <c r="F8" s="1431" t="s">
        <v>936</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61">
        <v>7</v>
      </c>
      <c r="S8" s="2950"/>
      <c r="T8" s="2961" t="e">
        <f t="shared" si="0"/>
        <v>#DIV/0!</v>
      </c>
      <c r="U8" s="2950"/>
      <c r="V8" s="2961" t="e">
        <f t="shared" si="1"/>
        <v>#DIV/0!</v>
      </c>
      <c r="W8" s="3780" t="s">
        <v>2782</v>
      </c>
      <c r="X8" s="3781"/>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771"/>
      <c r="B9" s="1413" t="s">
        <v>937</v>
      </c>
      <c r="C9" s="1046">
        <f>SUMIF(修正!C59:C119,C8,修正!E59:E119)</f>
        <v>0</v>
      </c>
      <c r="D9" s="1047" t="s">
        <v>938</v>
      </c>
      <c r="E9" s="1047" t="e">
        <f>ROUND(C11/E7,4)</f>
        <v>#DIV/0!</v>
      </c>
      <c r="F9" s="1431" t="s">
        <v>939</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61">
        <v>8</v>
      </c>
      <c r="S9" s="2950"/>
      <c r="T9" s="2961" t="e">
        <f t="shared" si="0"/>
        <v>#DIV/0!</v>
      </c>
      <c r="U9" s="2950"/>
      <c r="V9" s="2961" t="e">
        <f t="shared" si="1"/>
        <v>#DIV/0!</v>
      </c>
      <c r="W9" s="3779" t="s">
        <v>2778</v>
      </c>
      <c r="X9" s="2955" t="s">
        <v>2779</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771"/>
      <c r="B10" s="1413" t="s">
        <v>940</v>
      </c>
      <c r="C10" s="1047">
        <f>SUMIF(修正!C59:C119,C8,修正!F59:F119)</f>
        <v>0</v>
      </c>
      <c r="D10" s="1047" t="s">
        <v>941</v>
      </c>
      <c r="E10" s="1047" t="e">
        <f>ROUND(C11/E7,4)</f>
        <v>#DIV/0!</v>
      </c>
      <c r="F10" s="1431" t="s">
        <v>942</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61">
        <v>9</v>
      </c>
      <c r="S10" s="2950"/>
      <c r="T10" s="2961" t="e">
        <f t="shared" si="0"/>
        <v>#DIV/0!</v>
      </c>
      <c r="U10" s="2950"/>
      <c r="V10" s="2961" t="e">
        <f t="shared" si="1"/>
        <v>#DIV/0!</v>
      </c>
      <c r="W10" s="3779"/>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771"/>
      <c r="B11" s="1434" t="s">
        <v>943</v>
      </c>
      <c r="C11" s="1048">
        <f>C10/4</f>
        <v>0</v>
      </c>
      <c r="D11" s="1048" t="s">
        <v>944</v>
      </c>
      <c r="E11" s="1048" t="e">
        <f>ROUND(C11/E7,4)</f>
        <v>#DIV/0!</v>
      </c>
      <c r="F11" s="1435" t="s">
        <v>945</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61">
        <v>10</v>
      </c>
      <c r="S11" s="2950"/>
      <c r="T11" s="2961" t="e">
        <f t="shared" si="0"/>
        <v>#DIV/0!</v>
      </c>
      <c r="U11" s="2950"/>
      <c r="V11" s="2961" t="e">
        <f t="shared" si="1"/>
        <v>#DIV/0!</v>
      </c>
      <c r="W11" s="3779" t="s">
        <v>2780</v>
      </c>
      <c r="X11" s="1047" t="s">
        <v>2765</v>
      </c>
      <c r="Y11" s="1652">
        <f>$G$3</f>
        <v>2.99</v>
      </c>
      <c r="Z11" s="1652">
        <f t="shared" ref="Z11:AJ11" si="3">$G$3</f>
        <v>2.99</v>
      </c>
      <c r="AA11" s="1652">
        <f t="shared" si="3"/>
        <v>2.99</v>
      </c>
      <c r="AB11" s="1652">
        <f t="shared" si="3"/>
        <v>2.99</v>
      </c>
      <c r="AC11" s="1652">
        <f t="shared" si="3"/>
        <v>2.99</v>
      </c>
      <c r="AD11" s="1652">
        <f t="shared" si="3"/>
        <v>2.99</v>
      </c>
      <c r="AE11" s="1652">
        <f t="shared" si="3"/>
        <v>2.99</v>
      </c>
      <c r="AF11" s="1652">
        <f t="shared" si="3"/>
        <v>2.99</v>
      </c>
      <c r="AG11" s="1652">
        <f t="shared" si="3"/>
        <v>2.99</v>
      </c>
      <c r="AH11" s="1652">
        <f t="shared" si="3"/>
        <v>2.99</v>
      </c>
      <c r="AI11" s="1652">
        <f t="shared" si="3"/>
        <v>2.99</v>
      </c>
      <c r="AJ11" s="1652">
        <f t="shared" si="3"/>
        <v>2.99</v>
      </c>
    </row>
    <row r="12" spans="1:39" ht="25.5" thickBot="1">
      <c r="A12" s="3770" t="s">
        <v>1872</v>
      </c>
      <c r="B12" s="1438" t="s">
        <v>946</v>
      </c>
      <c r="C12" s="1042">
        <f>ROUND(C15*D15*E15*F15*G15*H15*I15*J15,4)</f>
        <v>1</v>
      </c>
      <c r="D12" s="1439" t="s">
        <v>947</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61">
        <v>11</v>
      </c>
      <c r="S12" s="2950"/>
      <c r="T12" s="2961" t="e">
        <f t="shared" si="0"/>
        <v>#DIV/0!</v>
      </c>
      <c r="U12" s="2950"/>
      <c r="V12" s="2961" t="e">
        <f t="shared" si="1"/>
        <v>#DIV/0!</v>
      </c>
      <c r="W12" s="3779"/>
      <c r="X12" s="2958" t="s">
        <v>2781</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772"/>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61">
        <v>12</v>
      </c>
      <c r="S13" s="2950"/>
      <c r="T13" s="2961" t="e">
        <f t="shared" si="0"/>
        <v>#DIV/0!</v>
      </c>
      <c r="U13" s="2950"/>
      <c r="V13" s="2961" t="e">
        <f t="shared" si="1"/>
        <v>#DIV/0!</v>
      </c>
      <c r="W13" s="3779"/>
      <c r="X13" s="2958"/>
      <c r="Y13" s="2957">
        <f>(-0.163*(Y12^2)-0.59*Y12+7617)*(10^(-4))/Y11</f>
        <v>0.25474916387959867</v>
      </c>
      <c r="Z13" s="2957">
        <f t="shared" ref="Z13:AJ13" si="5">(-0.163*(Z12^2)-0.59*Z12+7617)*(10^(-4))/Z11</f>
        <v>0.25474916387959867</v>
      </c>
      <c r="AA13" s="2957">
        <f t="shared" si="5"/>
        <v>0.25474916387959867</v>
      </c>
      <c r="AB13" s="2957">
        <f t="shared" si="5"/>
        <v>0.25474916387959867</v>
      </c>
      <c r="AC13" s="2957">
        <f t="shared" si="5"/>
        <v>0.25474916387959867</v>
      </c>
      <c r="AD13" s="2957">
        <f t="shared" si="5"/>
        <v>0.25474916387959867</v>
      </c>
      <c r="AE13" s="2957">
        <f t="shared" si="5"/>
        <v>0.25474916387959867</v>
      </c>
      <c r="AF13" s="2957">
        <f t="shared" si="5"/>
        <v>0.25474916387959867</v>
      </c>
      <c r="AG13" s="2957">
        <f t="shared" si="5"/>
        <v>0.25474916387959867</v>
      </c>
      <c r="AH13" s="2957">
        <f t="shared" si="5"/>
        <v>0.25474916387959867</v>
      </c>
      <c r="AI13" s="2957">
        <f t="shared" si="5"/>
        <v>0.25474916387959867</v>
      </c>
      <c r="AJ13" s="2957">
        <f t="shared" si="5"/>
        <v>0.25474916387959867</v>
      </c>
    </row>
    <row r="14" spans="1:39" ht="12.75" customHeight="1" thickBot="1">
      <c r="A14" s="3772"/>
      <c r="B14" s="1450"/>
      <c r="C14" s="1451"/>
      <c r="D14" s="1452"/>
      <c r="E14" s="1452"/>
      <c r="F14" s="1453"/>
      <c r="G14" s="1454" t="s">
        <v>949</v>
      </c>
      <c r="H14" s="1455"/>
      <c r="I14" s="1456"/>
      <c r="J14" s="1457"/>
      <c r="K14" s="1400"/>
      <c r="L14" s="2188"/>
      <c r="M14" s="2188"/>
      <c r="N14" s="2188"/>
      <c r="O14" s="2188"/>
      <c r="P14" s="2188"/>
      <c r="Q14" s="2188"/>
      <c r="R14" s="2961">
        <v>13</v>
      </c>
      <c r="S14" s="2950"/>
      <c r="T14" s="2961" t="e">
        <f t="shared" si="0"/>
        <v>#DIV/0!</v>
      </c>
      <c r="U14" s="2950"/>
      <c r="V14" s="2961" t="e">
        <f t="shared" si="1"/>
        <v>#DIV/0!</v>
      </c>
      <c r="W14" s="2188"/>
      <c r="X14" s="2188"/>
      <c r="Y14" s="2188"/>
      <c r="Z14" s="2188"/>
      <c r="AA14" s="2188"/>
      <c r="AB14" s="2188"/>
      <c r="AC14" s="2189"/>
    </row>
    <row r="15" spans="1:39" ht="13.5" customHeight="1" thickBot="1">
      <c r="A15" s="3773"/>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61">
        <v>14</v>
      </c>
      <c r="S15" s="2950"/>
      <c r="T15" s="2961" t="e">
        <f t="shared" si="0"/>
        <v>#DIV/0!</v>
      </c>
      <c r="U15" s="2950"/>
      <c r="V15" s="2961" t="e">
        <f t="shared" si="1"/>
        <v>#DIV/0!</v>
      </c>
      <c r="W15" s="2188"/>
      <c r="X15" s="2188"/>
      <c r="Y15" s="2188"/>
      <c r="Z15" s="2188"/>
      <c r="AA15" s="2188"/>
      <c r="AB15" s="2188"/>
      <c r="AC15" s="2189"/>
    </row>
    <row r="16" spans="1:39" ht="24">
      <c r="A16" s="3770"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61">
        <v>15</v>
      </c>
      <c r="S16" s="2950"/>
      <c r="T16" s="2961" t="e">
        <f t="shared" si="0"/>
        <v>#DIV/0!</v>
      </c>
      <c r="U16" s="2950"/>
      <c r="V16" s="2961" t="e">
        <f t="shared" si="1"/>
        <v>#DIV/0!</v>
      </c>
      <c r="W16" s="2191"/>
      <c r="X16" s="2191"/>
      <c r="Y16" s="2191"/>
      <c r="Z16" s="2191"/>
      <c r="AA16" s="2191"/>
      <c r="AB16" s="2191"/>
      <c r="AC16" s="2192"/>
    </row>
    <row r="17" spans="1:40" ht="13.5" thickBot="1">
      <c r="A17" s="3771"/>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96" t="s">
        <v>956</v>
      </c>
      <c r="C18" s="2797">
        <f>SUMIF(修正!C18:C39,E3,修正!E18:E39)</f>
        <v>0</v>
      </c>
      <c r="D18" s="2798"/>
      <c r="E18" s="2799"/>
      <c r="F18" s="2800"/>
      <c r="G18" s="2794"/>
      <c r="H18" s="2794"/>
      <c r="I18" s="2794"/>
      <c r="J18" s="2801"/>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ROUND(IF(H19="按公示增长率计算",SUMPRODUCT((地价!A3:A21=YEAR(G19)&amp;"-"&amp;ROUNDUP(MONTH(G19)/3,0))*(地价!X2:AB2=E2)*(地价!X3:AB21)),IF(H19="地价指数",M20/M19,(1+I19)^O19)),4)</f>
        <v>#DIV/0!</v>
      </c>
      <c r="D19" s="1473" t="s">
        <v>958</v>
      </c>
      <c r="E19" s="1057">
        <v>41640</v>
      </c>
      <c r="F19" s="1473" t="s">
        <v>959</v>
      </c>
      <c r="G19" s="1058">
        <f>'数据-取费表'!B2</f>
        <v>43159</v>
      </c>
      <c r="H19" s="1474" t="s">
        <v>2925</v>
      </c>
      <c r="I19" s="2808" t="str">
        <f>IF(H19="季度增幅（自定义）",SUMIF(N21:N24,E2,O21:O24),"")</f>
        <v/>
      </c>
      <c r="J19" s="1470"/>
      <c r="K19" s="1480"/>
      <c r="L19" s="3064" t="s">
        <v>2840</v>
      </c>
      <c r="M19" s="3065">
        <f>ROUND(SUMIF(地价!B2:F2,E2,地价!B21:F21),0)</f>
        <v>0</v>
      </c>
      <c r="N19" s="2810" t="s">
        <v>1677</v>
      </c>
      <c r="O19" s="2809">
        <f>ROUNDDOWN(DATEDIF(E19,G19,"M")/3,0)</f>
        <v>16</v>
      </c>
      <c r="P19" s="1595"/>
      <c r="R19" s="2949"/>
      <c r="S19" s="2949"/>
      <c r="T19" s="2949"/>
      <c r="U19" s="2949"/>
      <c r="V19" s="2949"/>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2" t="s">
        <v>1837</v>
      </c>
      <c r="B20" s="2803" t="s">
        <v>972</v>
      </c>
      <c r="C20" s="2804" t="e">
        <f>ROUND(POWER(1+G20,J20-I20)*(POWER(1+G20,I20)-1)/(POWER(1+G20,J20)-1),4)</f>
        <v>#DIV/0!</v>
      </c>
      <c r="D20" s="2805" t="s">
        <v>973</v>
      </c>
      <c r="E20" s="3119">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6" t="s">
        <v>2841</v>
      </c>
      <c r="M20" s="3067">
        <f>ROUND(SUMPRODUCT((地价!A4:A21=YEAR(G19)&amp;"-"&amp;ROUNDUP(MONTH(G19)/3,0))*(地价!B2:F2=E2)*(地价!B4:F21)),0)</f>
        <v>0</v>
      </c>
      <c r="N20" s="2813" t="s">
        <v>2645</v>
      </c>
      <c r="O20" s="2811" t="s">
        <v>2644</v>
      </c>
      <c r="P20" s="2812" t="s">
        <v>2649</v>
      </c>
      <c r="R20" s="2949"/>
      <c r="S20" s="2949"/>
      <c r="T20" s="2949"/>
      <c r="U20" s="2949"/>
      <c r="V20" s="2949"/>
      <c r="W20" s="2194"/>
      <c r="X20" s="2194"/>
      <c r="Y20" s="2194"/>
      <c r="Z20" s="2194"/>
      <c r="AA20" s="2194"/>
      <c r="AB20" s="2194"/>
      <c r="AC20" s="2194"/>
      <c r="AD20" s="1471"/>
      <c r="AE20" s="1471"/>
      <c r="AF20" s="1471"/>
      <c r="AG20" s="1471"/>
      <c r="AH20" s="1471"/>
      <c r="AI20" s="1471"/>
    </row>
    <row r="21" spans="1:40" s="1420" customFormat="1" ht="14.25">
      <c r="A21" s="1641" t="s">
        <v>1838</v>
      </c>
      <c r="B21" s="1479" t="s">
        <v>2760</v>
      </c>
      <c r="C21" s="1157">
        <f>IF(B21="容积率修正",IF(G3&lt;=10,D22,J22),C23)</f>
        <v>0</v>
      </c>
      <c r="D21" s="1480"/>
      <c r="E21" s="1480"/>
      <c r="F21" s="1480"/>
      <c r="G21" s="1480"/>
      <c r="H21" s="1480"/>
      <c r="I21" s="1480"/>
      <c r="J21" s="1481"/>
      <c r="K21" s="1480"/>
      <c r="L21" s="1480"/>
      <c r="M21" s="1480"/>
      <c r="N21" s="1477" t="s">
        <v>976</v>
      </c>
      <c r="O21" s="1541"/>
      <c r="P21" s="2793">
        <f>SUMPRODUCT((地价!A3:A21=YEAR(G19)&amp;"-"&amp;ROUNDUP(MONTH(G19)/3,0))*(地价!AD2:AH2=N21)*(地价!AD3:AH21))</f>
        <v>1.55E-2</v>
      </c>
      <c r="R21" s="2949"/>
      <c r="S21" s="2949"/>
      <c r="T21" s="2949"/>
      <c r="U21" s="2949"/>
      <c r="V21" s="2949"/>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f>IF(E22=G22,F22,IF(G3&lt;=10,ROUND(F22+(H22-F22)*(G3-E22)/(G22-E22),4),"——"))</f>
        <v>0</v>
      </c>
      <c r="E22" s="1038">
        <f>ROUNDDOWN(G3,1)</f>
        <v>2.9</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3">
        <f>SUMPRODUCT((地价!A3:A21=YEAR(G19)&amp;"-"&amp;ROUNDUP(MONTH(G19)/3,0))*(地价!AD2:AH2=N22)*(地价!AD3:AH21))</f>
        <v>1.55E-2</v>
      </c>
      <c r="R22" s="2949"/>
      <c r="S22" s="2949"/>
      <c r="T22" s="2949"/>
      <c r="U22" s="2949"/>
      <c r="V22" s="2949"/>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SUMPRODUCT((地价!A3:A21=YEAR(G19)&amp;"-"&amp;ROUNDUP(MONTH(G19)/3,0))*(地价!AD2:AH2=N23)*(地价!AD3:AH21))</f>
        <v>2.5499999999999998E-2</v>
      </c>
      <c r="R23" s="2949"/>
      <c r="S23" s="2949"/>
      <c r="T23" s="2949"/>
      <c r="U23" s="2949"/>
      <c r="V23" s="2949"/>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SUMPRODUCT((地价!A3:A21=YEAR(G19)&amp;"-"&amp;ROUNDUP(MONTH(G19)/3,0))*(地价!AD2:AH2=N24)*(地价!AD3:AH21))</f>
        <v>1.3100000000000001E-2</v>
      </c>
      <c r="R24" s="2949"/>
      <c r="S24" s="2949"/>
      <c r="T24" s="2949"/>
      <c r="U24" s="2949"/>
      <c r="V24" s="2949"/>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821" t="s">
        <v>2647</v>
      </c>
      <c r="O25" s="2194"/>
      <c r="P25" s="1540">
        <f>SUMPRODUCT((地价!A3:A21=YEAR(G19)&amp;"-"&amp;ROUNDUP(MONTH(G19)/3,0))*(地价!AD2:AH2=N25)*(地价!AD3:AH21))</f>
        <v>2.3E-2</v>
      </c>
      <c r="R25" s="2949"/>
      <c r="S25" s="2949"/>
      <c r="T25" s="2949"/>
      <c r="U25" s="2949"/>
      <c r="V25" s="2949"/>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49"/>
      <c r="S26" s="2949"/>
      <c r="T26" s="2949"/>
      <c r="U26" s="2949"/>
      <c r="V26" s="2949"/>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49"/>
      <c r="S27" s="2949"/>
      <c r="T27" s="2949"/>
      <c r="U27" s="2949"/>
      <c r="V27" s="2949"/>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49"/>
      <c r="S28" s="2949"/>
      <c r="T28" s="2949"/>
      <c r="U28" s="2949"/>
      <c r="V28" s="2949"/>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49"/>
      <c r="S29" s="2949"/>
      <c r="T29" s="2949"/>
      <c r="U29" s="2949"/>
      <c r="V29" s="2949"/>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776" t="s">
        <v>2952</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777"/>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777"/>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778"/>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2" t="s">
        <v>1007</v>
      </c>
      <c r="B44" s="2443"/>
      <c r="C44" s="2444"/>
      <c r="D44" s="2445"/>
      <c r="E44" s="2445"/>
      <c r="F44" s="2446"/>
      <c r="G44" s="1065"/>
      <c r="H44" s="2446"/>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7" t="s">
        <v>1008</v>
      </c>
      <c r="B45" s="2448">
        <f>1+E47</f>
        <v>1</v>
      </c>
      <c r="C45" s="2449"/>
      <c r="D45" s="2450"/>
      <c r="E45" s="2451"/>
      <c r="F45" s="2452"/>
      <c r="G45" s="2446"/>
      <c r="H45" s="2446"/>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431" t="s">
        <v>1010</v>
      </c>
      <c r="C46" s="2453" t="s">
        <v>1011</v>
      </c>
      <c r="D46" s="2454" t="s">
        <v>1012</v>
      </c>
      <c r="E46" s="2455" t="s">
        <v>1014</v>
      </c>
      <c r="F46" s="2456" t="s">
        <v>2250</v>
      </c>
      <c r="G46" s="2454" t="s">
        <v>1015</v>
      </c>
      <c r="H46" s="2437" t="s">
        <v>2416</v>
      </c>
      <c r="I46" s="2454" t="s">
        <v>1013</v>
      </c>
      <c r="J46" s="2457" t="s">
        <v>1016</v>
      </c>
      <c r="K46" s="2457" t="s">
        <v>1017</v>
      </c>
      <c r="L46" s="2457" t="s">
        <v>1018</v>
      </c>
      <c r="M46" s="2457" t="s">
        <v>1019</v>
      </c>
      <c r="N46" s="2457"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48">
      <c r="A47" s="1066" t="s">
        <v>1021</v>
      </c>
      <c r="B47" s="2434" t="str">
        <f>估价对象房地状况!C16</f>
        <v>XX商圈，商业氛围，人流量（万达广场 大明宫购物中心 大明宫中央广场 建材）</v>
      </c>
      <c r="C47" s="1049"/>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6" t="s">
        <v>1022</v>
      </c>
      <c r="B48" s="2431" t="str">
        <f>估价对象房地状况!C18</f>
        <v>周边道路状况、公共交通通达情况、停车便捷程度（二环北路 17路 209路 245路 地铁3号线辛家庙站2公里</v>
      </c>
      <c r="C48" s="1049"/>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1023</v>
      </c>
      <c r="B49" s="2431">
        <f>估价对象房地状况!C19</f>
        <v>0</v>
      </c>
      <c r="C49" s="1049"/>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121" t="s">
        <v>2927</v>
      </c>
      <c r="C50" s="1049"/>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431">
        <f>估价对象房地状况!C24</f>
        <v>0</v>
      </c>
      <c r="C51" s="1049"/>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120" t="s">
        <v>2926</v>
      </c>
      <c r="C52" s="1049"/>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84">
      <c r="A53" s="2463" t="s">
        <v>1027</v>
      </c>
      <c r="B53" s="2432" t="str">
        <f>估价对象房地状况!C21</f>
        <v>1.5公里 西安市第三医院 中国工商银行(西安北二环东段支行) 中国农业银行(太华北路支行) 西安市未央区幼儿园 大明宫小学 陕西师范大学锦园国际中学 永辉超市</v>
      </c>
      <c r="C53" s="1049"/>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3" t="s">
        <v>1028</v>
      </c>
      <c r="B54" s="2431">
        <f>估价对象房地状况!C22</f>
        <v>0</v>
      </c>
      <c r="C54" s="1049"/>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24.75" thickBot="1">
      <c r="A55" s="2464" t="s">
        <v>1029</v>
      </c>
      <c r="B55" s="2435" t="str">
        <f>估价对象房地状况!C20</f>
        <v>大明宫国家遗址公园</v>
      </c>
      <c r="C55" s="1049"/>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7" t="s">
        <v>1030</v>
      </c>
      <c r="B56" s="2448">
        <f>1+E58</f>
        <v>1</v>
      </c>
      <c r="C56" s="2467"/>
      <c r="D56" s="2450"/>
      <c r="E56" s="2451"/>
      <c r="F56" s="2452"/>
      <c r="G56" s="2446"/>
      <c r="H56" s="2446"/>
      <c r="I56" s="2446"/>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431"/>
      <c r="C57" s="2453" t="s">
        <v>1011</v>
      </c>
      <c r="D57" s="2454" t="s">
        <v>1012</v>
      </c>
      <c r="E57" s="2455" t="s">
        <v>1014</v>
      </c>
      <c r="F57" s="2456" t="s">
        <v>2251</v>
      </c>
      <c r="G57" s="2454" t="s">
        <v>1015</v>
      </c>
      <c r="H57" s="2437" t="s">
        <v>2416</v>
      </c>
      <c r="I57" s="2454" t="s">
        <v>1013</v>
      </c>
      <c r="J57" s="2457" t="s">
        <v>1016</v>
      </c>
      <c r="K57" s="2457" t="s">
        <v>1017</v>
      </c>
      <c r="L57" s="2457" t="s">
        <v>1018</v>
      </c>
      <c r="M57" s="2457" t="s">
        <v>1019</v>
      </c>
      <c r="N57" s="2457"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1031</v>
      </c>
      <c r="B58" s="2434">
        <f>估价对象房地状况!C17</f>
        <v>0</v>
      </c>
      <c r="C58" s="1049"/>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6" t="s">
        <v>1022</v>
      </c>
      <c r="B59" s="2431" t="str">
        <f>估价对象房地状况!C18</f>
        <v>周边道路状况、公共交通通达情况、停车便捷程度（二环北路 17路 209路 245路 地铁3号线辛家庙站2公里</v>
      </c>
      <c r="C59" s="1049"/>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1023</v>
      </c>
      <c r="B60" s="2431">
        <f>估价对象房地状况!C19</f>
        <v>0</v>
      </c>
      <c r="C60" s="1049"/>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121" t="s">
        <v>2928</v>
      </c>
      <c r="C61" s="1049"/>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431">
        <f>估价对象房地状况!C24</f>
        <v>0</v>
      </c>
      <c r="C62" s="1049"/>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120" t="s">
        <v>2926</v>
      </c>
      <c r="C63" s="1049"/>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84">
      <c r="A64" s="1066" t="s">
        <v>1027</v>
      </c>
      <c r="B64" s="2432" t="str">
        <f>估价对象房地状况!C21</f>
        <v>1.5公里 西安市第三医院 中国工商银行(西安北二环东段支行) 中国农业银行(太华北路支行) 西安市未央区幼儿园 大明宫小学 陕西师范大学锦园国际中学 永辉超市</v>
      </c>
      <c r="C64" s="1049"/>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432">
        <f>估价对象房地状况!C22</f>
        <v>0</v>
      </c>
      <c r="C65" s="1049"/>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24.75" thickBot="1">
      <c r="A66" s="2464" t="s">
        <v>1029</v>
      </c>
      <c r="B66" s="2436" t="str">
        <f>估价对象房地状况!C20</f>
        <v>大明宫国家遗址公园</v>
      </c>
      <c r="C66" s="1049"/>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7" t="s">
        <v>1032</v>
      </c>
      <c r="B67" s="2448">
        <f>1+E69</f>
        <v>1</v>
      </c>
      <c r="C67" s="2467"/>
      <c r="D67" s="2450"/>
      <c r="E67" s="2451"/>
      <c r="F67" s="2452"/>
      <c r="G67" s="2446"/>
      <c r="H67" s="2446"/>
      <c r="I67" s="2446"/>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431"/>
      <c r="C68" s="2453" t="s">
        <v>1011</v>
      </c>
      <c r="D68" s="2454" t="s">
        <v>1012</v>
      </c>
      <c r="E68" s="2455" t="s">
        <v>1014</v>
      </c>
      <c r="F68" s="2456" t="s">
        <v>2252</v>
      </c>
      <c r="G68" s="2454" t="s">
        <v>1015</v>
      </c>
      <c r="H68" s="2437" t="s">
        <v>2416</v>
      </c>
      <c r="I68" s="2454" t="s">
        <v>1013</v>
      </c>
      <c r="J68" s="2457" t="s">
        <v>1016</v>
      </c>
      <c r="K68" s="2457" t="s">
        <v>1017</v>
      </c>
      <c r="L68" s="2457" t="s">
        <v>1018</v>
      </c>
      <c r="M68" s="2457" t="s">
        <v>1019</v>
      </c>
      <c r="N68" s="2457"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6" t="s">
        <v>1033</v>
      </c>
      <c r="B69" s="2434" t="str">
        <f>估价对象房地状况!C15</f>
        <v>周边居住用地比例、居住小区规模和社区发展完善程度（先锋花园 金科天籁城 华远锦悦）</v>
      </c>
      <c r="C69" s="1158"/>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6" t="s">
        <v>1034</v>
      </c>
      <c r="B70" s="2431" t="str">
        <f>估价对象房地状况!C18</f>
        <v>周边道路状况、公共交通通达情况、停车便捷程度（二环北路 17路 209路 245路 地铁3号线辛家庙站2公里</v>
      </c>
      <c r="C70" s="1158"/>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1023</v>
      </c>
      <c r="B71" s="2431">
        <f>估价对象房地状况!C19</f>
        <v>0</v>
      </c>
      <c r="C71" s="1158"/>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431">
        <f>估价对象房地状况!C24</f>
        <v>0</v>
      </c>
      <c r="C72" s="1158"/>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84">
      <c r="A73" s="1066" t="s">
        <v>1027</v>
      </c>
      <c r="B73" s="2432" t="str">
        <f>估价对象房地状况!C21</f>
        <v>1.5公里 西安市第三医院 中国工商银行(西安北二环东段支行) 中国农业银行(太华北路支行) 西安市未央区幼儿园 大明宫小学 陕西师范大学锦园国际中学 永辉超市</v>
      </c>
      <c r="C73" s="1158"/>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432">
        <f>估价对象房地状况!C22</f>
        <v>0</v>
      </c>
      <c r="C74" s="1158"/>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120" t="s">
        <v>2926</v>
      </c>
      <c r="C75" s="1158"/>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24">
      <c r="A76" s="1066" t="s">
        <v>1029</v>
      </c>
      <c r="B76" s="2434" t="str">
        <f>估价对象房地状况!C20</f>
        <v>大明宫国家遗址公园</v>
      </c>
      <c r="C76" s="1158"/>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4" t="s">
        <v>1036</v>
      </c>
      <c r="B77" s="1849"/>
      <c r="C77" s="1158"/>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4"/>
      <c r="AD77" s="1403"/>
      <c r="AJ77" s="1402"/>
      <c r="AN77" s="1403"/>
    </row>
    <row r="78" spans="1:40" ht="15">
      <c r="A78" s="2447" t="s">
        <v>1037</v>
      </c>
      <c r="B78" s="2448">
        <f>1+E80</f>
        <v>1</v>
      </c>
      <c r="C78" s="2467"/>
      <c r="D78" s="2450"/>
      <c r="E78" s="2451"/>
      <c r="F78" s="2452"/>
      <c r="G78" s="2446"/>
      <c r="H78" s="2446"/>
      <c r="I78" s="2446"/>
      <c r="J78" s="1065"/>
      <c r="K78" s="1065"/>
      <c r="L78" s="1065"/>
      <c r="M78" s="1065"/>
      <c r="N78" s="1065"/>
      <c r="AC78" s="1404"/>
      <c r="AD78" s="1403"/>
      <c r="AJ78" s="1402"/>
      <c r="AN78" s="1403"/>
    </row>
    <row r="79" spans="1:40" ht="24">
      <c r="A79" s="1066" t="s">
        <v>1009</v>
      </c>
      <c r="B79" s="2431"/>
      <c r="C79" s="2453" t="s">
        <v>1011</v>
      </c>
      <c r="D79" s="2454" t="s">
        <v>1012</v>
      </c>
      <c r="E79" s="2455" t="s">
        <v>1014</v>
      </c>
      <c r="F79" s="2456" t="s">
        <v>2253</v>
      </c>
      <c r="G79" s="2454" t="s">
        <v>1015</v>
      </c>
      <c r="H79" s="2437" t="s">
        <v>2416</v>
      </c>
      <c r="I79" s="2454" t="s">
        <v>1013</v>
      </c>
      <c r="J79" s="2457" t="s">
        <v>1016</v>
      </c>
      <c r="K79" s="2457" t="s">
        <v>1017</v>
      </c>
      <c r="L79" s="2457" t="s">
        <v>1018</v>
      </c>
      <c r="M79" s="2457" t="s">
        <v>1019</v>
      </c>
      <c r="N79" s="2457" t="s">
        <v>1020</v>
      </c>
      <c r="AC79" s="1404"/>
      <c r="AD79" s="1403"/>
      <c r="AJ79" s="1402"/>
      <c r="AN79" s="1403"/>
    </row>
    <row r="80" spans="1:40" ht="24">
      <c r="A80" s="1066" t="s">
        <v>1038</v>
      </c>
      <c r="B80" s="2431">
        <f>估价对象房地状况!G15</f>
        <v>0</v>
      </c>
      <c r="C80" s="1049"/>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4"/>
      <c r="AD80" s="1403"/>
      <c r="AJ80" s="1402"/>
      <c r="AN80" s="1403"/>
    </row>
    <row r="81" spans="1:40" ht="14.25">
      <c r="A81" s="1066" t="s">
        <v>1034</v>
      </c>
      <c r="B81" s="2431">
        <f>估价对象房地状况!G16</f>
        <v>0</v>
      </c>
      <c r="C81" s="1049"/>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4"/>
      <c r="AD81" s="1403"/>
      <c r="AJ81" s="1402"/>
      <c r="AN81" s="1403"/>
    </row>
    <row r="82" spans="1:40" ht="24">
      <c r="A82" s="1066" t="s">
        <v>1023</v>
      </c>
      <c r="B82" s="2431">
        <f>估价对象房地状况!G17</f>
        <v>0</v>
      </c>
      <c r="C82" s="1049"/>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4"/>
      <c r="AD82" s="1403"/>
      <c r="AJ82" s="1402"/>
      <c r="AN82" s="1403"/>
    </row>
    <row r="83" spans="1:40" ht="14.25">
      <c r="A83" s="1066" t="s">
        <v>1035</v>
      </c>
      <c r="B83" s="2431">
        <f>估价对象房地状况!G22</f>
        <v>0</v>
      </c>
      <c r="C83" s="1049"/>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4"/>
      <c r="AD83" s="1403"/>
      <c r="AJ83" s="1402"/>
      <c r="AN83" s="1403"/>
    </row>
    <row r="84" spans="1:40" ht="24">
      <c r="A84" s="1066" t="s">
        <v>1027</v>
      </c>
      <c r="B84" s="2432">
        <f>估价对象房地状况!G19</f>
        <v>0</v>
      </c>
      <c r="C84" s="1049"/>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4"/>
      <c r="AD84" s="1403"/>
      <c r="AJ84" s="1402"/>
      <c r="AN84" s="1403"/>
    </row>
    <row r="85" spans="1:40" ht="24">
      <c r="A85" s="1066" t="s">
        <v>1028</v>
      </c>
      <c r="B85" s="2432">
        <f>估价对象房地状况!G20</f>
        <v>0</v>
      </c>
      <c r="C85" s="1049"/>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4"/>
      <c r="AD85" s="1403"/>
      <c r="AJ85" s="1402"/>
      <c r="AN85" s="1403"/>
    </row>
    <row r="86" spans="1:40" ht="24">
      <c r="A86" s="1066" t="s">
        <v>1026</v>
      </c>
      <c r="B86" s="3120" t="s">
        <v>2926</v>
      </c>
      <c r="C86" s="1049"/>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4"/>
      <c r="AD86" s="1403"/>
      <c r="AJ86" s="1402"/>
      <c r="AN86" s="1403"/>
    </row>
    <row r="87" spans="1:40" ht="15" thickBot="1">
      <c r="A87" s="2464" t="s">
        <v>1039</v>
      </c>
      <c r="B87" s="2433">
        <f>估价对象房地状况!G18</f>
        <v>0</v>
      </c>
      <c r="C87" s="1049"/>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4"/>
      <c r="AD87" s="1403"/>
      <c r="AJ87" s="1402"/>
      <c r="AN87" s="1403"/>
    </row>
    <row r="90" spans="1:40">
      <c r="A90" s="3774" t="s">
        <v>1634</v>
      </c>
      <c r="B90" s="3774"/>
      <c r="C90" s="3774"/>
      <c r="D90" s="3774"/>
      <c r="E90" s="3774"/>
      <c r="F90" s="3774"/>
      <c r="G90" s="3774"/>
      <c r="H90" s="3774"/>
      <c r="I90" s="3774"/>
      <c r="J90" s="3774"/>
      <c r="K90" s="2473"/>
      <c r="L90" s="2473"/>
      <c r="M90" s="2473"/>
      <c r="N90" s="2473"/>
    </row>
    <row r="91" spans="1:40">
      <c r="A91" s="3775" t="s">
        <v>1444</v>
      </c>
      <c r="B91" s="3775" t="s">
        <v>1635</v>
      </c>
      <c r="C91" s="1139" t="s">
        <v>1636</v>
      </c>
      <c r="D91" s="1140"/>
      <c r="E91" s="1140"/>
      <c r="F91" s="1140"/>
      <c r="G91" s="1140"/>
      <c r="H91" s="1140"/>
      <c r="I91" s="1140"/>
      <c r="J91" s="1141"/>
      <c r="K91" s="1133"/>
      <c r="L91" s="1133"/>
      <c r="M91" s="1133"/>
      <c r="N91" s="1133"/>
    </row>
    <row r="92" spans="1:40">
      <c r="A92" s="3775"/>
      <c r="B92" s="3775"/>
      <c r="C92" s="2472" t="s">
        <v>907</v>
      </c>
      <c r="D92" s="2472" t="s">
        <v>885</v>
      </c>
      <c r="E92" s="2472" t="s">
        <v>886</v>
      </c>
      <c r="F92" s="2472" t="s">
        <v>910</v>
      </c>
      <c r="G92" s="2472" t="s">
        <v>888</v>
      </c>
      <c r="H92" s="2472" t="s">
        <v>889</v>
      </c>
      <c r="I92" s="2472" t="s">
        <v>890</v>
      </c>
      <c r="J92" s="2472" t="s">
        <v>891</v>
      </c>
      <c r="K92" s="2472" t="s">
        <v>915</v>
      </c>
      <c r="L92" s="2472" t="s">
        <v>893</v>
      </c>
      <c r="M92" s="2472" t="s">
        <v>894</v>
      </c>
      <c r="N92" s="2472" t="s">
        <v>918</v>
      </c>
    </row>
    <row r="93" spans="1:40">
      <c r="A93" s="3782"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8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8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8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8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8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83"/>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8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82" t="s">
        <v>1638</v>
      </c>
      <c r="B101" s="1146" t="s">
        <v>906</v>
      </c>
      <c r="C101" s="1147">
        <f>$G$3</f>
        <v>2.99</v>
      </c>
      <c r="D101" s="1147">
        <f t="shared" ref="D101:N101" si="31">$G$3</f>
        <v>2.99</v>
      </c>
      <c r="E101" s="1147">
        <f t="shared" si="31"/>
        <v>2.99</v>
      </c>
      <c r="F101" s="1147">
        <f t="shared" si="31"/>
        <v>2.99</v>
      </c>
      <c r="G101" s="1147">
        <f t="shared" si="31"/>
        <v>2.99</v>
      </c>
      <c r="H101" s="1147">
        <f t="shared" si="31"/>
        <v>2.99</v>
      </c>
      <c r="I101" s="1147">
        <f t="shared" si="31"/>
        <v>2.99</v>
      </c>
      <c r="J101" s="1147">
        <f t="shared" si="31"/>
        <v>2.99</v>
      </c>
      <c r="K101" s="1147">
        <f t="shared" si="31"/>
        <v>2.99</v>
      </c>
      <c r="L101" s="1147">
        <f t="shared" si="31"/>
        <v>2.99</v>
      </c>
      <c r="M101" s="1147">
        <f t="shared" si="31"/>
        <v>2.99</v>
      </c>
      <c r="N101" s="1147">
        <f t="shared" si="31"/>
        <v>2.99</v>
      </c>
    </row>
    <row r="102" spans="1:14">
      <c r="A102" s="3783"/>
      <c r="B102" s="1142">
        <v>1</v>
      </c>
      <c r="C102" s="1143">
        <f>1.9362/C101</f>
        <v>0.64755852842809358</v>
      </c>
      <c r="D102" s="1143">
        <f>1.9362/D101</f>
        <v>0.64755852842809358</v>
      </c>
      <c r="E102" s="1143">
        <f>1.8629/E101</f>
        <v>0.62304347826086948</v>
      </c>
      <c r="F102" s="1143">
        <f>1.8629/F101</f>
        <v>0.62304347826086948</v>
      </c>
      <c r="G102" s="1143">
        <f>1.8629/G101</f>
        <v>0.62304347826086948</v>
      </c>
      <c r="H102" s="1143">
        <f>1.8629/H101</f>
        <v>0.62304347826086948</v>
      </c>
      <c r="I102" s="1143">
        <f>1.8629/I101</f>
        <v>0.62304347826086948</v>
      </c>
      <c r="J102" s="1143">
        <f>1.942/J101</f>
        <v>0.64949832775919725</v>
      </c>
      <c r="K102" s="1143">
        <f>1.942/K101</f>
        <v>0.64949832775919725</v>
      </c>
      <c r="L102" s="1143">
        <f>1.942/L101</f>
        <v>0.64949832775919725</v>
      </c>
      <c r="M102" s="1143">
        <f>1.942/M101</f>
        <v>0.64949832775919725</v>
      </c>
      <c r="N102" s="1143">
        <f>1.942/N101</f>
        <v>0.64949832775919725</v>
      </c>
    </row>
    <row r="103" spans="1:14">
      <c r="A103" s="3783"/>
      <c r="B103" s="1142">
        <v>2</v>
      </c>
      <c r="C103" s="1143">
        <f>1.4198/C101</f>
        <v>0.47484949832775913</v>
      </c>
      <c r="D103" s="1143">
        <f>1.4198/D101</f>
        <v>0.47484949832775913</v>
      </c>
      <c r="E103" s="1143">
        <f>1.3372/E101</f>
        <v>0.4472240802675585</v>
      </c>
      <c r="F103" s="1143">
        <f>1.3372/F101</f>
        <v>0.4472240802675585</v>
      </c>
      <c r="G103" s="1143">
        <f>1.3372/G101</f>
        <v>0.4472240802675585</v>
      </c>
      <c r="H103" s="1143">
        <f>1.3372/H101</f>
        <v>0.4472240802675585</v>
      </c>
      <c r="I103" s="1143">
        <f>1.3372/I101</f>
        <v>0.4472240802675585</v>
      </c>
      <c r="J103" s="1143">
        <f>1.2799/J101</f>
        <v>0.42806020066889633</v>
      </c>
      <c r="K103" s="1143">
        <f>1.2799/K101</f>
        <v>0.42806020066889633</v>
      </c>
      <c r="L103" s="1143">
        <f>1.2799/L101</f>
        <v>0.42806020066889633</v>
      </c>
      <c r="M103" s="1143">
        <f>1.2799/M101</f>
        <v>0.42806020066889633</v>
      </c>
      <c r="N103" s="1143">
        <f>1.2799/N101</f>
        <v>0.42806020066889633</v>
      </c>
    </row>
    <row r="104" spans="1:14">
      <c r="A104" s="3783"/>
      <c r="B104" s="1142">
        <v>3</v>
      </c>
      <c r="C104" s="1143">
        <f>1.1594/C101</f>
        <v>0.38775919732441466</v>
      </c>
      <c r="D104" s="1143">
        <f>1.1594/D101</f>
        <v>0.38775919732441466</v>
      </c>
      <c r="E104" s="1143">
        <f>1.0788/E101</f>
        <v>0.36080267558528423</v>
      </c>
      <c r="F104" s="1143">
        <f>1.0788/F101</f>
        <v>0.36080267558528423</v>
      </c>
      <c r="G104" s="1143">
        <f>1.0788/G101</f>
        <v>0.36080267558528423</v>
      </c>
      <c r="H104" s="1143">
        <f>1.0788/H101</f>
        <v>0.36080267558528423</v>
      </c>
      <c r="I104" s="1143">
        <f>1.0788/I101</f>
        <v>0.36080267558528423</v>
      </c>
      <c r="J104" s="1143">
        <f>1.0072/J101</f>
        <v>0.33685618729096989</v>
      </c>
      <c r="K104" s="1143">
        <f>1.0072/K101</f>
        <v>0.33685618729096989</v>
      </c>
      <c r="L104" s="1143">
        <f>1.0072/L101</f>
        <v>0.33685618729096989</v>
      </c>
      <c r="M104" s="1143">
        <f>1.0072/M101</f>
        <v>0.33685618729096989</v>
      </c>
      <c r="N104" s="1143">
        <f>1.0072/N101</f>
        <v>0.33685618729096989</v>
      </c>
    </row>
    <row r="105" spans="1:14">
      <c r="A105" s="3783"/>
      <c r="B105" s="1142">
        <v>4</v>
      </c>
      <c r="C105" s="1143">
        <f>0.9622/C101</f>
        <v>0.32180602006688963</v>
      </c>
      <c r="D105" s="1143">
        <f>0.9622/D101</f>
        <v>0.32180602006688963</v>
      </c>
      <c r="E105" s="1143">
        <f>0.8656/E101</f>
        <v>0.28949832775919732</v>
      </c>
      <c r="F105" s="1143">
        <f>0.8656/F101</f>
        <v>0.28949832775919732</v>
      </c>
      <c r="G105" s="1143">
        <f>0.8656/G101</f>
        <v>0.28949832775919732</v>
      </c>
      <c r="H105" s="1143">
        <f>0.8656/H101</f>
        <v>0.28949832775919732</v>
      </c>
      <c r="I105" s="1143">
        <f>0.8656/I101</f>
        <v>0.28949832775919732</v>
      </c>
      <c r="J105" s="1143">
        <f>0.7525/J101</f>
        <v>0.25167224080267553</v>
      </c>
      <c r="K105" s="1143">
        <f>0.7525/K101</f>
        <v>0.25167224080267553</v>
      </c>
      <c r="L105" s="1143">
        <f>0.7525/L101</f>
        <v>0.25167224080267553</v>
      </c>
      <c r="M105" s="1143">
        <f>0.7525/M101</f>
        <v>0.25167224080267553</v>
      </c>
      <c r="N105" s="1143">
        <f>0.7525/N101</f>
        <v>0.25167224080267553</v>
      </c>
    </row>
    <row r="106" spans="1:14">
      <c r="A106" s="3783"/>
      <c r="B106" s="1142">
        <v>5</v>
      </c>
      <c r="C106" s="1143">
        <f>0.8417/C101</f>
        <v>0.28150501672240802</v>
      </c>
      <c r="D106" s="1143">
        <f>0.8417/D101</f>
        <v>0.28150501672240802</v>
      </c>
      <c r="E106" s="1143">
        <f>0.7371/E101</f>
        <v>0.24652173913043476</v>
      </c>
      <c r="F106" s="1143">
        <f>0.7371/F101</f>
        <v>0.24652173913043476</v>
      </c>
      <c r="G106" s="1143">
        <f>0.7371/G101</f>
        <v>0.24652173913043476</v>
      </c>
      <c r="H106" s="1143">
        <f>0.7371/H101</f>
        <v>0.24652173913043476</v>
      </c>
      <c r="I106" s="1143">
        <f>0.7371/I101</f>
        <v>0.24652173913043476</v>
      </c>
      <c r="J106" s="1143">
        <f>0.5659/J101</f>
        <v>0.18926421404682273</v>
      </c>
      <c r="K106" s="1143">
        <f>0.5659/K101</f>
        <v>0.18926421404682273</v>
      </c>
      <c r="L106" s="1143">
        <f>0.5659/L101</f>
        <v>0.18926421404682273</v>
      </c>
      <c r="M106" s="1143">
        <f>0.5659/M101</f>
        <v>0.18926421404682273</v>
      </c>
      <c r="N106" s="1143">
        <f>0.5659/N101</f>
        <v>0.18926421404682273</v>
      </c>
    </row>
    <row r="107" spans="1:14">
      <c r="A107" s="3783"/>
      <c r="B107" s="1142">
        <v>6</v>
      </c>
      <c r="C107" s="1143">
        <f>0.7608/C101</f>
        <v>0.25444816053511704</v>
      </c>
      <c r="D107" s="1143">
        <f>0.7608/D101</f>
        <v>0.25444816053511704</v>
      </c>
      <c r="E107" s="1143">
        <f>0.6482/E101</f>
        <v>0.21678929765886287</v>
      </c>
      <c r="F107" s="1143">
        <f>0.6482/F101</f>
        <v>0.21678929765886287</v>
      </c>
      <c r="G107" s="1143">
        <f>0.6482/G101</f>
        <v>0.21678929765886287</v>
      </c>
      <c r="H107" s="1143">
        <f>0.6482/H101</f>
        <v>0.21678929765886287</v>
      </c>
      <c r="I107" s="1143">
        <f>0.6482/I101</f>
        <v>0.21678929765886287</v>
      </c>
      <c r="J107" s="1143">
        <f>0.4525/J101</f>
        <v>0.15133779264214045</v>
      </c>
      <c r="K107" s="1143">
        <f>0.4525/K101</f>
        <v>0.15133779264214045</v>
      </c>
      <c r="L107" s="1143">
        <f>0.4525/L101</f>
        <v>0.15133779264214045</v>
      </c>
      <c r="M107" s="1143">
        <f>0.4525/M101</f>
        <v>0.15133779264214045</v>
      </c>
      <c r="N107" s="1143">
        <f>0.4525/N101</f>
        <v>0.15133779264214045</v>
      </c>
    </row>
    <row r="108" spans="1:14">
      <c r="A108" s="3783"/>
      <c r="B108" s="3785"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84"/>
      <c r="B109" s="3786"/>
      <c r="C109" s="1145">
        <f>(-0.163*(C108^2)-0.59*C108+7617)*(10^(-4))/C101</f>
        <v>0.25424240802675585</v>
      </c>
      <c r="D109" s="1145">
        <f>(-0.163*(D108^2)-0.59*D108+7617)*(10^(-4))/D101</f>
        <v>0.25424240802675585</v>
      </c>
      <c r="E109" s="1145">
        <f>(-0.161*(E108^2)-7.509*E108+6533)*(10^(-4))/E101</f>
        <v>0.21614127090301002</v>
      </c>
      <c r="F109" s="1145">
        <f>(-0.161*(F108^2)-7.509*F108+6533)*(10^(-4))/F101</f>
        <v>0.21614127090301002</v>
      </c>
      <c r="G109" s="1145">
        <f>(-0.161*(G108^2)-7.509*G108+6533)*(10^(-4))/G101</f>
        <v>0.21614127090301002</v>
      </c>
      <c r="H109" s="1145">
        <f>(-0.161*(H108^2)-7.509*H108+6533)*(10^(-4))/H101</f>
        <v>0.21614127090301002</v>
      </c>
      <c r="I109" s="1145">
        <f>(-0.161*(I108^2)-7.509*I108+6533)*(10^(-4))/I101</f>
        <v>0.21614127090301002</v>
      </c>
      <c r="J109" s="1145">
        <f>(-0.214*(J108^2)-21.991*J108+4665)*(10^(-4))/J101</f>
        <v>0.14967812709030101</v>
      </c>
      <c r="K109" s="1145">
        <f>(-0.214*(K108^2)-21.991*K108+4665)*(10^(-4))/K101</f>
        <v>0.14967812709030101</v>
      </c>
      <c r="L109" s="1145">
        <f>(-0.214*(L108^2)-21.991*L108+4665)*(10^(-4))/L101</f>
        <v>0.14967812709030101</v>
      </c>
      <c r="M109" s="1145">
        <f>(-0.214*(M108^2)-21.991*M108+4665)*(10^(-4))/M101</f>
        <v>0.14967812709030101</v>
      </c>
      <c r="N109" s="1145">
        <f>(-0.214*(N108^2)-21.991*N108+4665)*(10^(-4))/N101</f>
        <v>0.14967812709030101</v>
      </c>
    </row>
    <row r="110" spans="1:14">
      <c r="A110" s="3769" t="s">
        <v>1640</v>
      </c>
      <c r="B110" s="3769"/>
      <c r="C110" s="3769"/>
      <c r="D110" s="3769"/>
      <c r="E110" s="3769"/>
      <c r="F110" s="3769"/>
      <c r="G110" s="3769"/>
      <c r="H110" s="3769"/>
      <c r="I110" s="3769"/>
      <c r="J110" s="3769"/>
      <c r="K110" s="2471"/>
      <c r="L110" s="2471"/>
      <c r="M110" s="2471"/>
      <c r="N110" s="2471"/>
    </row>
    <row r="112" spans="1:14" ht="12.75" thickBot="1"/>
    <row r="113" spans="1:13" ht="25.5" thickBot="1">
      <c r="A113" s="1015" t="s">
        <v>896</v>
      </c>
      <c r="B113" s="2474">
        <f>G3</f>
        <v>2.99</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0.90539999999999998</v>
      </c>
      <c r="C115" s="1029">
        <f>B115</f>
        <v>0.90539999999999998</v>
      </c>
      <c r="D115" s="1029">
        <f>ROUND(0.8331-0.0109*B113,4)</f>
        <v>0.80049999999999999</v>
      </c>
      <c r="E115" s="1029">
        <f>D115</f>
        <v>0.80049999999999999</v>
      </c>
      <c r="F115" s="1029">
        <f>E115</f>
        <v>0.80049999999999999</v>
      </c>
      <c r="G115" s="1029">
        <f>F115</f>
        <v>0.80049999999999999</v>
      </c>
      <c r="H115" s="1029">
        <f>G115</f>
        <v>0.80049999999999999</v>
      </c>
      <c r="I115" s="1029">
        <f>ROUND(0.689-0.0155*B113,4)</f>
        <v>0.64270000000000005</v>
      </c>
      <c r="J115" s="1029">
        <f t="shared" ref="J115:M118" si="33">I115</f>
        <v>0.64270000000000005</v>
      </c>
      <c r="K115" s="1029">
        <f t="shared" si="33"/>
        <v>0.64270000000000005</v>
      </c>
      <c r="L115" s="1029">
        <f t="shared" si="33"/>
        <v>0.64270000000000005</v>
      </c>
      <c r="M115" s="1030">
        <f t="shared" si="33"/>
        <v>0.64270000000000005</v>
      </c>
    </row>
    <row r="116" spans="1:13" ht="12.75">
      <c r="A116" s="1028" t="s">
        <v>901</v>
      </c>
      <c r="B116" s="1029">
        <f>ROUND(0.949-0.012*B113,4)</f>
        <v>0.91310000000000002</v>
      </c>
      <c r="C116" s="1029">
        <f>B116</f>
        <v>0.91310000000000002</v>
      </c>
      <c r="D116" s="1029">
        <f>ROUND(0.8567-0.013*B113,4)</f>
        <v>0.81779999999999997</v>
      </c>
      <c r="E116" s="1029">
        <f t="shared" ref="E116:H117" si="34">D116</f>
        <v>0.81779999999999997</v>
      </c>
      <c r="F116" s="1029">
        <f t="shared" si="34"/>
        <v>0.81779999999999997</v>
      </c>
      <c r="G116" s="1029">
        <f t="shared" si="34"/>
        <v>0.81779999999999997</v>
      </c>
      <c r="H116" s="1029">
        <f t="shared" si="34"/>
        <v>0.81779999999999997</v>
      </c>
      <c r="I116" s="1029">
        <f>ROUND(0.7694-0.014*B113,4)</f>
        <v>0.72750000000000004</v>
      </c>
      <c r="J116" s="1029">
        <f t="shared" si="33"/>
        <v>0.72750000000000004</v>
      </c>
      <c r="K116" s="1029">
        <f t="shared" si="33"/>
        <v>0.72750000000000004</v>
      </c>
      <c r="L116" s="1029">
        <f t="shared" si="33"/>
        <v>0.72750000000000004</v>
      </c>
      <c r="M116" s="1030">
        <f t="shared" si="33"/>
        <v>0.72750000000000004</v>
      </c>
    </row>
    <row r="117" spans="1:13" ht="12.75">
      <c r="A117" s="1031" t="s">
        <v>902</v>
      </c>
      <c r="B117" s="1029">
        <f>ROUND(0.8808-0.006*B113,4)</f>
        <v>0.8629</v>
      </c>
      <c r="C117" s="1029">
        <f>B117</f>
        <v>0.8629</v>
      </c>
      <c r="D117" s="1029">
        <f>ROUND(0.8748-0.008*B113,4)</f>
        <v>0.85089999999999999</v>
      </c>
      <c r="E117" s="1029">
        <f t="shared" si="34"/>
        <v>0.85089999999999999</v>
      </c>
      <c r="F117" s="1029">
        <f t="shared" si="34"/>
        <v>0.85089999999999999</v>
      </c>
      <c r="G117" s="1029">
        <f t="shared" si="34"/>
        <v>0.85089999999999999</v>
      </c>
      <c r="H117" s="1029">
        <f t="shared" si="34"/>
        <v>0.85089999999999999</v>
      </c>
      <c r="I117" s="1029">
        <f>ROUND(0.7412-0.0095*B113,4)</f>
        <v>0.71279999999999999</v>
      </c>
      <c r="J117" s="1029">
        <f t="shared" si="33"/>
        <v>0.71279999999999999</v>
      </c>
      <c r="K117" s="1029">
        <f t="shared" si="33"/>
        <v>0.71279999999999999</v>
      </c>
      <c r="L117" s="1029">
        <f t="shared" si="33"/>
        <v>0.71279999999999999</v>
      </c>
      <c r="M117" s="1030">
        <f t="shared" si="33"/>
        <v>0.71279999999999999</v>
      </c>
    </row>
    <row r="118" spans="1:13" ht="13.5" thickBot="1">
      <c r="A118" s="1032" t="s">
        <v>903</v>
      </c>
      <c r="B118" s="1033">
        <f>ROUND(0.7275-0.01*B113,4)</f>
        <v>0.6976</v>
      </c>
      <c r="C118" s="1033">
        <f>B118</f>
        <v>0.6976</v>
      </c>
      <c r="D118" s="1033">
        <f>ROUND(0.7043-0.012*B113,4)</f>
        <v>0.66839999999999999</v>
      </c>
      <c r="E118" s="1033">
        <f>D118</f>
        <v>0.66839999999999999</v>
      </c>
      <c r="F118" s="1033">
        <f>E118</f>
        <v>0.66839999999999999</v>
      </c>
      <c r="G118" s="1033">
        <f>ROUND(0.6299-0.0122*B113,4)</f>
        <v>0.59340000000000004</v>
      </c>
      <c r="H118" s="1033">
        <f>G118</f>
        <v>0.59340000000000004</v>
      </c>
      <c r="I118" s="1033">
        <f>ROUND(0.5667-0.0136*B113,4)</f>
        <v>0.52600000000000002</v>
      </c>
      <c r="J118" s="1033">
        <f t="shared" si="33"/>
        <v>0.52600000000000002</v>
      </c>
      <c r="K118" s="1033">
        <f t="shared" si="33"/>
        <v>0.52600000000000002</v>
      </c>
      <c r="L118" s="1033">
        <f t="shared" si="33"/>
        <v>0.52600000000000002</v>
      </c>
      <c r="M118" s="1034">
        <f t="shared" si="33"/>
        <v>0.52600000000000002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775" t="s">
        <v>1008</v>
      </c>
      <c r="B18" s="1153" t="s">
        <v>1447</v>
      </c>
      <c r="C18" s="1130" t="s">
        <v>1448</v>
      </c>
      <c r="D18" s="1131"/>
      <c r="E18" s="1153">
        <v>1</v>
      </c>
      <c r="F18" s="1132" t="s">
        <v>1449</v>
      </c>
      <c r="G18" s="1133"/>
      <c r="H18" s="1104"/>
      <c r="I18" s="1104"/>
    </row>
    <row r="19" spans="1:9" s="1598" customFormat="1" ht="19.5" customHeight="1">
      <c r="A19" s="3775"/>
      <c r="B19" s="3775" t="s">
        <v>1450</v>
      </c>
      <c r="C19" s="1130" t="s">
        <v>1451</v>
      </c>
      <c r="D19" s="1131"/>
      <c r="E19" s="1153">
        <v>0.9</v>
      </c>
      <c r="F19" s="1132" t="s">
        <v>1452</v>
      </c>
      <c r="G19" s="1133"/>
      <c r="H19" s="1104"/>
      <c r="I19" s="1104"/>
    </row>
    <row r="20" spans="1:9" s="1598" customFormat="1" ht="19.5" customHeight="1">
      <c r="A20" s="3775"/>
      <c r="B20" s="3775"/>
      <c r="C20" s="1130" t="s">
        <v>1453</v>
      </c>
      <c r="D20" s="1131"/>
      <c r="E20" s="1153">
        <v>1.1000000000000001</v>
      </c>
      <c r="F20" s="1132" t="s">
        <v>1454</v>
      </c>
      <c r="G20" s="1133"/>
      <c r="H20" s="1104"/>
      <c r="I20" s="1104"/>
    </row>
    <row r="21" spans="1:9" s="1598" customFormat="1" ht="19.5" customHeight="1">
      <c r="A21" s="3775"/>
      <c r="B21" s="3775"/>
      <c r="C21" s="1130" t="s">
        <v>1455</v>
      </c>
      <c r="D21" s="1131"/>
      <c r="E21" s="1153">
        <v>0.8</v>
      </c>
      <c r="F21" s="1132" t="s">
        <v>1456</v>
      </c>
      <c r="G21" s="1133"/>
      <c r="H21" s="1104"/>
      <c r="I21" s="1104"/>
    </row>
    <row r="22" spans="1:9" s="1598" customFormat="1" ht="19.5" customHeight="1">
      <c r="A22" s="3775"/>
      <c r="B22" s="3775"/>
      <c r="C22" s="1130" t="s">
        <v>1457</v>
      </c>
      <c r="D22" s="1131"/>
      <c r="E22" s="1153">
        <v>0.5</v>
      </c>
      <c r="F22" s="1132"/>
      <c r="G22" s="1133"/>
      <c r="H22" s="1104"/>
      <c r="I22" s="1104"/>
    </row>
    <row r="23" spans="1:9" s="1598" customFormat="1" ht="19.5" customHeight="1">
      <c r="A23" s="3775" t="s">
        <v>1030</v>
      </c>
      <c r="B23" s="1153" t="s">
        <v>1447</v>
      </c>
      <c r="C23" s="1130" t="s">
        <v>1458</v>
      </c>
      <c r="D23" s="1131"/>
      <c r="E23" s="1153">
        <v>1</v>
      </c>
      <c r="F23" s="1132" t="s">
        <v>1459</v>
      </c>
      <c r="G23" s="1133"/>
      <c r="H23" s="1104"/>
      <c r="I23" s="1104"/>
    </row>
    <row r="24" spans="1:9" s="1598" customFormat="1" ht="19.5" customHeight="1">
      <c r="A24" s="3775"/>
      <c r="B24" s="3775" t="s">
        <v>1450</v>
      </c>
      <c r="C24" s="1130" t="s">
        <v>1460</v>
      </c>
      <c r="D24" s="1131"/>
      <c r="E24" s="1153">
        <v>0.5</v>
      </c>
      <c r="F24" s="1132"/>
      <c r="G24" s="1133"/>
      <c r="H24" s="1104"/>
      <c r="I24" s="1104"/>
    </row>
    <row r="25" spans="1:9" s="1598" customFormat="1" ht="19.5" customHeight="1">
      <c r="A25" s="3775"/>
      <c r="B25" s="3775"/>
      <c r="C25" s="1130" t="s">
        <v>1461</v>
      </c>
      <c r="D25" s="1131"/>
      <c r="E25" s="1153">
        <v>1.1000000000000001</v>
      </c>
      <c r="F25" s="1132"/>
      <c r="G25" s="1133"/>
      <c r="H25" s="1104"/>
      <c r="I25" s="1104"/>
    </row>
    <row r="26" spans="1:9" s="1598" customFormat="1" ht="19.5" customHeight="1">
      <c r="A26" s="3775"/>
      <c r="B26" s="3775"/>
      <c r="C26" s="1130" t="s">
        <v>1462</v>
      </c>
      <c r="D26" s="1131"/>
      <c r="E26" s="1153">
        <v>1.1000000000000001</v>
      </c>
      <c r="F26" s="1132"/>
      <c r="G26" s="1133"/>
      <c r="H26" s="1104"/>
      <c r="I26" s="1104"/>
    </row>
    <row r="27" spans="1:9" s="1598" customFormat="1" ht="19.5" customHeight="1">
      <c r="A27" s="3775"/>
      <c r="B27" s="3775"/>
      <c r="C27" s="1130" t="s">
        <v>1463</v>
      </c>
      <c r="D27" s="1131"/>
      <c r="E27" s="1153">
        <v>0.9</v>
      </c>
      <c r="F27" s="1132" t="s">
        <v>1464</v>
      </c>
      <c r="G27" s="1133"/>
      <c r="H27" s="1104"/>
      <c r="I27" s="1104"/>
    </row>
    <row r="28" spans="1:9" s="1598" customFormat="1" ht="19.5" customHeight="1">
      <c r="A28" s="3775"/>
      <c r="B28" s="3775"/>
      <c r="C28" s="1130" t="s">
        <v>1465</v>
      </c>
      <c r="D28" s="1131"/>
      <c r="E28" s="1153">
        <v>0.9</v>
      </c>
      <c r="F28" s="1132" t="s">
        <v>1466</v>
      </c>
      <c r="G28" s="1133"/>
      <c r="H28" s="1104"/>
      <c r="I28" s="1104"/>
    </row>
    <row r="29" spans="1:9" s="1598" customFormat="1" ht="19.5" customHeight="1">
      <c r="A29" s="3775"/>
      <c r="B29" s="3775"/>
      <c r="C29" s="1130" t="s">
        <v>1467</v>
      </c>
      <c r="D29" s="1131"/>
      <c r="E29" s="1153">
        <v>0.9</v>
      </c>
      <c r="F29" s="1132" t="s">
        <v>1468</v>
      </c>
      <c r="G29" s="1133"/>
      <c r="H29" s="1104"/>
      <c r="I29" s="1104"/>
    </row>
    <row r="30" spans="1:9" s="1598" customFormat="1" ht="19.5" customHeight="1">
      <c r="A30" s="3775"/>
      <c r="B30" s="3775"/>
      <c r="C30" s="1130" t="s">
        <v>1469</v>
      </c>
      <c r="D30" s="1131"/>
      <c r="E30" s="1153">
        <v>0.9</v>
      </c>
      <c r="F30" s="1132" t="s">
        <v>1470</v>
      </c>
      <c r="G30" s="1133"/>
      <c r="H30" s="1104"/>
      <c r="I30" s="1104"/>
    </row>
    <row r="31" spans="1:9" s="1598" customFormat="1" ht="19.5" customHeight="1">
      <c r="A31" s="3775"/>
      <c r="B31" s="3775"/>
      <c r="C31" s="1130" t="s">
        <v>1471</v>
      </c>
      <c r="D31" s="1131"/>
      <c r="E31" s="1153">
        <v>0.8</v>
      </c>
      <c r="F31" s="1132" t="s">
        <v>1472</v>
      </c>
      <c r="G31" s="1133"/>
      <c r="H31" s="1104"/>
      <c r="I31" s="1104"/>
    </row>
    <row r="32" spans="1:9" s="1598" customFormat="1" ht="19.5" customHeight="1">
      <c r="A32" s="3775"/>
      <c r="B32" s="3775"/>
      <c r="C32" s="1130" t="s">
        <v>1473</v>
      </c>
      <c r="D32" s="1131"/>
      <c r="E32" s="1153">
        <v>0.8</v>
      </c>
      <c r="F32" s="1132" t="s">
        <v>1474</v>
      </c>
      <c r="G32" s="1133"/>
      <c r="H32" s="1104"/>
      <c r="I32" s="1104"/>
    </row>
    <row r="33" spans="1:9" s="1598" customFormat="1" ht="19.5" customHeight="1">
      <c r="A33" s="3775" t="s">
        <v>1475</v>
      </c>
      <c r="B33" s="1153" t="s">
        <v>1447</v>
      </c>
      <c r="C33" s="1130" t="s">
        <v>1476</v>
      </c>
      <c r="D33" s="1131"/>
      <c r="E33" s="1153">
        <v>1</v>
      </c>
      <c r="F33" s="1132" t="s">
        <v>1477</v>
      </c>
      <c r="G33" s="1133"/>
      <c r="H33" s="1104"/>
      <c r="I33" s="1104"/>
    </row>
    <row r="34" spans="1:9" s="1598" customFormat="1" ht="19.5" customHeight="1">
      <c r="A34" s="3775"/>
      <c r="B34" s="1153" t="s">
        <v>1450</v>
      </c>
      <c r="C34" s="1130" t="s">
        <v>1478</v>
      </c>
      <c r="D34" s="1131"/>
      <c r="E34" s="1153">
        <v>1.5</v>
      </c>
      <c r="F34" s="1132" t="s">
        <v>1479</v>
      </c>
      <c r="G34" s="1133"/>
      <c r="H34" s="1104"/>
      <c r="I34" s="1104"/>
    </row>
    <row r="35" spans="1:9" s="1598" customFormat="1" ht="19.5" customHeight="1">
      <c r="A35" s="3775" t="s">
        <v>1433</v>
      </c>
      <c r="B35" s="1153" t="s">
        <v>1447</v>
      </c>
      <c r="C35" s="1130" t="s">
        <v>1480</v>
      </c>
      <c r="D35" s="1131"/>
      <c r="E35" s="1153">
        <v>1</v>
      </c>
      <c r="F35" s="1132" t="s">
        <v>1481</v>
      </c>
      <c r="G35" s="1133"/>
      <c r="H35" s="1104"/>
      <c r="I35" s="1104"/>
    </row>
    <row r="36" spans="1:9" s="1598" customFormat="1" ht="19.5" customHeight="1">
      <c r="A36" s="3775"/>
      <c r="B36" s="3775" t="s">
        <v>1450</v>
      </c>
      <c r="C36" s="1130" t="s">
        <v>1482</v>
      </c>
      <c r="D36" s="1131"/>
      <c r="E36" s="1153">
        <v>1</v>
      </c>
      <c r="F36" s="1132" t="s">
        <v>1483</v>
      </c>
      <c r="G36" s="1133"/>
      <c r="H36" s="1104"/>
      <c r="I36" s="1104"/>
    </row>
    <row r="37" spans="1:9" s="1598" customFormat="1" ht="19.5" customHeight="1">
      <c r="A37" s="3775"/>
      <c r="B37" s="3775"/>
      <c r="C37" s="1130" t="s">
        <v>1484</v>
      </c>
      <c r="D37" s="1131"/>
      <c r="E37" s="1153">
        <v>1.5</v>
      </c>
      <c r="F37" s="1132" t="s">
        <v>1485</v>
      </c>
      <c r="G37" s="1133"/>
      <c r="H37" s="1104"/>
      <c r="I37" s="1104"/>
    </row>
    <row r="38" spans="1:9" s="1598" customFormat="1" ht="19.5" customHeight="1">
      <c r="A38" s="3775"/>
      <c r="B38" s="3775"/>
      <c r="C38" s="1130" t="s">
        <v>1486</v>
      </c>
      <c r="D38" s="1131"/>
      <c r="E38" s="1153">
        <v>1</v>
      </c>
      <c r="F38" s="1132" t="s">
        <v>1487</v>
      </c>
      <c r="G38" s="1133"/>
      <c r="H38" s="1104"/>
      <c r="I38" s="1104"/>
    </row>
    <row r="39" spans="1:9" s="1598" customFormat="1" ht="19.5" customHeight="1">
      <c r="A39" s="3775"/>
      <c r="B39" s="3775"/>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775" t="s">
        <v>1502</v>
      </c>
      <c r="C61" s="1067" t="s">
        <v>1503</v>
      </c>
      <c r="D61" s="1067" t="s">
        <v>1504</v>
      </c>
      <c r="E61" s="1138">
        <v>0.5</v>
      </c>
      <c r="F61" s="1153">
        <v>80</v>
      </c>
      <c r="H61" s="1104">
        <f>SUMIF(C59:C119,基准地价!C8,E59:E119)</f>
        <v>0</v>
      </c>
    </row>
    <row r="62" spans="1:8" s="1104" customFormat="1" ht="24">
      <c r="A62" s="1153">
        <v>2</v>
      </c>
      <c r="B62" s="3775"/>
      <c r="C62" s="1067" t="s">
        <v>1505</v>
      </c>
      <c r="D62" s="1067" t="s">
        <v>1506</v>
      </c>
      <c r="E62" s="1138">
        <v>0.5</v>
      </c>
      <c r="F62" s="1153">
        <v>80</v>
      </c>
    </row>
    <row r="63" spans="1:8" s="1104" customFormat="1" ht="36">
      <c r="A63" s="1153">
        <v>3</v>
      </c>
      <c r="B63" s="3775"/>
      <c r="C63" s="1067" t="s">
        <v>1507</v>
      </c>
      <c r="D63" s="1067" t="s">
        <v>1508</v>
      </c>
      <c r="E63" s="1138">
        <v>0.5</v>
      </c>
      <c r="F63" s="1153">
        <v>80</v>
      </c>
    </row>
    <row r="64" spans="1:8" s="1104" customFormat="1" ht="36">
      <c r="A64" s="1153">
        <v>4</v>
      </c>
      <c r="B64" s="3775"/>
      <c r="C64" s="1067" t="s">
        <v>1509</v>
      </c>
      <c r="D64" s="1067" t="s">
        <v>1510</v>
      </c>
      <c r="E64" s="1138">
        <v>0.4</v>
      </c>
      <c r="F64" s="1153">
        <v>60</v>
      </c>
    </row>
    <row r="65" spans="1:6" s="1104" customFormat="1" ht="36">
      <c r="A65" s="1153">
        <v>5</v>
      </c>
      <c r="B65" s="3775"/>
      <c r="C65" s="1067" t="s">
        <v>1511</v>
      </c>
      <c r="D65" s="1067" t="s">
        <v>1512</v>
      </c>
      <c r="E65" s="1138">
        <v>0.2</v>
      </c>
      <c r="F65" s="1153">
        <v>30</v>
      </c>
    </row>
    <row r="66" spans="1:6" s="1104" customFormat="1" ht="36">
      <c r="A66" s="1153">
        <v>6</v>
      </c>
      <c r="B66" s="3775"/>
      <c r="C66" s="1067" t="s">
        <v>1513</v>
      </c>
      <c r="D66" s="1067" t="s">
        <v>1514</v>
      </c>
      <c r="E66" s="1138">
        <v>0.3</v>
      </c>
      <c r="F66" s="1153">
        <v>50</v>
      </c>
    </row>
    <row r="67" spans="1:6" s="1104" customFormat="1" ht="36">
      <c r="A67" s="1153">
        <v>7</v>
      </c>
      <c r="B67" s="3775"/>
      <c r="C67" s="1067" t="s">
        <v>1515</v>
      </c>
      <c r="D67" s="1067" t="s">
        <v>1516</v>
      </c>
      <c r="E67" s="1138">
        <v>0.2</v>
      </c>
      <c r="F67" s="1153">
        <v>30</v>
      </c>
    </row>
    <row r="68" spans="1:6" s="1104" customFormat="1" ht="36">
      <c r="A68" s="1153">
        <v>8</v>
      </c>
      <c r="B68" s="3775"/>
      <c r="C68" s="1067" t="s">
        <v>1517</v>
      </c>
      <c r="D68" s="1067" t="s">
        <v>1518</v>
      </c>
      <c r="E68" s="1138">
        <v>0.2</v>
      </c>
      <c r="F68" s="1153">
        <v>30</v>
      </c>
    </row>
    <row r="69" spans="1:6" s="1104" customFormat="1" ht="36">
      <c r="A69" s="1153">
        <v>9</v>
      </c>
      <c r="B69" s="3775"/>
      <c r="C69" s="1067" t="s">
        <v>1519</v>
      </c>
      <c r="D69" s="1067" t="s">
        <v>1520</v>
      </c>
      <c r="E69" s="1138">
        <v>0.2</v>
      </c>
      <c r="F69" s="1153">
        <v>30</v>
      </c>
    </row>
    <row r="70" spans="1:6" s="1104" customFormat="1" ht="48">
      <c r="A70" s="1153">
        <v>10</v>
      </c>
      <c r="B70" s="3775"/>
      <c r="C70" s="1067" t="s">
        <v>1521</v>
      </c>
      <c r="D70" s="1067" t="s">
        <v>1522</v>
      </c>
      <c r="E70" s="1138">
        <v>0.2</v>
      </c>
      <c r="F70" s="1153">
        <v>30</v>
      </c>
    </row>
    <row r="71" spans="1:6" s="1104" customFormat="1" ht="48">
      <c r="A71" s="1153">
        <v>11</v>
      </c>
      <c r="B71" s="3775"/>
      <c r="C71" s="1067" t="s">
        <v>1523</v>
      </c>
      <c r="D71" s="1067" t="s">
        <v>1524</v>
      </c>
      <c r="E71" s="1138">
        <v>0.2</v>
      </c>
      <c r="F71" s="1153">
        <v>30</v>
      </c>
    </row>
    <row r="72" spans="1:6" s="1104" customFormat="1" ht="36">
      <c r="A72" s="1153">
        <v>12</v>
      </c>
      <c r="B72" s="3775"/>
      <c r="C72" s="1067" t="s">
        <v>1525</v>
      </c>
      <c r="D72" s="1067" t="s">
        <v>1526</v>
      </c>
      <c r="E72" s="1138">
        <v>0.5</v>
      </c>
      <c r="F72" s="1153">
        <v>80</v>
      </c>
    </row>
    <row r="73" spans="1:6" s="1104" customFormat="1" ht="24">
      <c r="A73" s="1153">
        <v>13</v>
      </c>
      <c r="B73" s="3775"/>
      <c r="C73" s="1067" t="s">
        <v>1527</v>
      </c>
      <c r="D73" s="1067" t="s">
        <v>1528</v>
      </c>
      <c r="E73" s="1138">
        <v>0.4</v>
      </c>
      <c r="F73" s="1153">
        <v>60</v>
      </c>
    </row>
    <row r="74" spans="1:6" s="1104" customFormat="1" ht="24">
      <c r="A74" s="1153">
        <v>14</v>
      </c>
      <c r="B74" s="3775"/>
      <c r="C74" s="1067" t="s">
        <v>1529</v>
      </c>
      <c r="D74" s="1067" t="s">
        <v>1530</v>
      </c>
      <c r="E74" s="1138">
        <v>0.2</v>
      </c>
      <c r="F74" s="1153">
        <v>30</v>
      </c>
    </row>
    <row r="75" spans="1:6" s="1104" customFormat="1" ht="24">
      <c r="A75" s="1153">
        <v>15</v>
      </c>
      <c r="B75" s="3775"/>
      <c r="C75" s="1067" t="s">
        <v>1531</v>
      </c>
      <c r="D75" s="1067" t="s">
        <v>1532</v>
      </c>
      <c r="E75" s="1138">
        <v>0.2</v>
      </c>
      <c r="F75" s="1153">
        <v>30</v>
      </c>
    </row>
    <row r="76" spans="1:6" s="1104" customFormat="1" ht="24">
      <c r="A76" s="1153">
        <v>16</v>
      </c>
      <c r="B76" s="3775" t="s">
        <v>1533</v>
      </c>
      <c r="C76" s="1067" t="s">
        <v>1534</v>
      </c>
      <c r="D76" s="1067" t="s">
        <v>1535</v>
      </c>
      <c r="E76" s="1138">
        <v>0.5</v>
      </c>
      <c r="F76" s="1153">
        <v>80</v>
      </c>
    </row>
    <row r="77" spans="1:6" s="1104" customFormat="1" ht="24">
      <c r="A77" s="1153">
        <v>17</v>
      </c>
      <c r="B77" s="3775"/>
      <c r="C77" s="1067" t="s">
        <v>1536</v>
      </c>
      <c r="D77" s="1067" t="s">
        <v>1537</v>
      </c>
      <c r="E77" s="1138">
        <v>0.5</v>
      </c>
      <c r="F77" s="1153">
        <v>80</v>
      </c>
    </row>
    <row r="78" spans="1:6" s="1104" customFormat="1" ht="24">
      <c r="A78" s="1153">
        <v>18</v>
      </c>
      <c r="B78" s="3775"/>
      <c r="C78" s="1067" t="s">
        <v>1538</v>
      </c>
      <c r="D78" s="1067" t="s">
        <v>1539</v>
      </c>
      <c r="E78" s="1138">
        <v>0.2</v>
      </c>
      <c r="F78" s="1153">
        <v>30</v>
      </c>
    </row>
    <row r="79" spans="1:6" s="1104" customFormat="1" ht="24">
      <c r="A79" s="1153">
        <v>19</v>
      </c>
      <c r="B79" s="3775"/>
      <c r="C79" s="1067" t="s">
        <v>1540</v>
      </c>
      <c r="D79" s="1067" t="s">
        <v>1541</v>
      </c>
      <c r="E79" s="1138">
        <v>0.5</v>
      </c>
      <c r="F79" s="1153">
        <v>80</v>
      </c>
    </row>
    <row r="80" spans="1:6" s="1104" customFormat="1" ht="36">
      <c r="A80" s="1153">
        <v>20</v>
      </c>
      <c r="B80" s="3775"/>
      <c r="C80" s="1067" t="s">
        <v>1542</v>
      </c>
      <c r="D80" s="1067" t="s">
        <v>1543</v>
      </c>
      <c r="E80" s="1138">
        <v>0.2</v>
      </c>
      <c r="F80" s="1153">
        <v>30</v>
      </c>
    </row>
    <row r="81" spans="1:6" s="1104" customFormat="1" ht="36">
      <c r="A81" s="1153">
        <v>21</v>
      </c>
      <c r="B81" s="3775"/>
      <c r="C81" s="1067" t="s">
        <v>1544</v>
      </c>
      <c r="D81" s="1067" t="s">
        <v>1545</v>
      </c>
      <c r="E81" s="1138">
        <v>0.2</v>
      </c>
      <c r="F81" s="1153">
        <v>30</v>
      </c>
    </row>
    <row r="82" spans="1:6" s="1104" customFormat="1" ht="48">
      <c r="A82" s="1153">
        <v>22</v>
      </c>
      <c r="B82" s="3775"/>
      <c r="C82" s="1067" t="s">
        <v>1546</v>
      </c>
      <c r="D82" s="1067" t="s">
        <v>1547</v>
      </c>
      <c r="E82" s="1138">
        <v>0.2</v>
      </c>
      <c r="F82" s="1153">
        <v>30</v>
      </c>
    </row>
    <row r="83" spans="1:6" s="1104" customFormat="1" ht="48">
      <c r="A83" s="1153">
        <v>23</v>
      </c>
      <c r="B83" s="3775"/>
      <c r="C83" s="1067" t="s">
        <v>1548</v>
      </c>
      <c r="D83" s="1067" t="s">
        <v>1549</v>
      </c>
      <c r="E83" s="1138">
        <v>0.2</v>
      </c>
      <c r="F83" s="1153">
        <v>30</v>
      </c>
    </row>
    <row r="84" spans="1:6" s="1104" customFormat="1" ht="36">
      <c r="A84" s="1153">
        <v>24</v>
      </c>
      <c r="B84" s="3775"/>
      <c r="C84" s="1067" t="s">
        <v>1550</v>
      </c>
      <c r="D84" s="1067" t="s">
        <v>1551</v>
      </c>
      <c r="E84" s="1138">
        <v>0.2</v>
      </c>
      <c r="F84" s="1153">
        <v>30</v>
      </c>
    </row>
    <row r="85" spans="1:6" s="1104" customFormat="1" ht="36">
      <c r="A85" s="1153">
        <v>25</v>
      </c>
      <c r="B85" s="3775"/>
      <c r="C85" s="1067" t="s">
        <v>1552</v>
      </c>
      <c r="D85" s="1067" t="s">
        <v>1553</v>
      </c>
      <c r="E85" s="1138">
        <v>0.5</v>
      </c>
      <c r="F85" s="1153">
        <v>80</v>
      </c>
    </row>
    <row r="86" spans="1:6" s="1104" customFormat="1" ht="36">
      <c r="A86" s="1153">
        <v>26</v>
      </c>
      <c r="B86" s="3775"/>
      <c r="C86" s="1067" t="s">
        <v>1554</v>
      </c>
      <c r="D86" s="1067" t="s">
        <v>1555</v>
      </c>
      <c r="E86" s="1138">
        <v>0.2</v>
      </c>
      <c r="F86" s="1153">
        <v>30</v>
      </c>
    </row>
    <row r="87" spans="1:6" s="1104" customFormat="1" ht="36">
      <c r="A87" s="1153">
        <v>27</v>
      </c>
      <c r="B87" s="3775"/>
      <c r="C87" s="1067" t="s">
        <v>1556</v>
      </c>
      <c r="D87" s="1067" t="s">
        <v>1557</v>
      </c>
      <c r="E87" s="1138">
        <v>0.2</v>
      </c>
      <c r="F87" s="1153">
        <v>30</v>
      </c>
    </row>
    <row r="88" spans="1:6" s="1104" customFormat="1" ht="36">
      <c r="A88" s="1153">
        <v>28</v>
      </c>
      <c r="B88" s="3775"/>
      <c r="C88" s="1067" t="s">
        <v>1558</v>
      </c>
      <c r="D88" s="1067" t="s">
        <v>1559</v>
      </c>
      <c r="E88" s="1138">
        <v>0.2</v>
      </c>
      <c r="F88" s="1153">
        <v>30</v>
      </c>
    </row>
    <row r="89" spans="1:6" s="1104" customFormat="1" ht="24">
      <c r="A89" s="1153">
        <v>29</v>
      </c>
      <c r="B89" s="3775"/>
      <c r="C89" s="1067" t="s">
        <v>1560</v>
      </c>
      <c r="D89" s="1067" t="s">
        <v>1561</v>
      </c>
      <c r="E89" s="1138">
        <v>0.2</v>
      </c>
      <c r="F89" s="1153">
        <v>30</v>
      </c>
    </row>
    <row r="90" spans="1:6" s="1104" customFormat="1" ht="24">
      <c r="A90" s="1153">
        <v>30</v>
      </c>
      <c r="B90" s="3775"/>
      <c r="C90" s="1067" t="s">
        <v>1562</v>
      </c>
      <c r="D90" s="1067" t="s">
        <v>1563</v>
      </c>
      <c r="E90" s="1138">
        <v>0.2</v>
      </c>
      <c r="F90" s="1153">
        <v>30</v>
      </c>
    </row>
    <row r="91" spans="1:6" s="1104" customFormat="1" ht="36">
      <c r="A91" s="1153">
        <v>31</v>
      </c>
      <c r="B91" s="3775"/>
      <c r="C91" s="1067" t="s">
        <v>1564</v>
      </c>
      <c r="D91" s="1067" t="s">
        <v>1565</v>
      </c>
      <c r="E91" s="1138">
        <v>0.2</v>
      </c>
      <c r="F91" s="1153">
        <v>30</v>
      </c>
    </row>
    <row r="92" spans="1:6" s="1104" customFormat="1" ht="24">
      <c r="A92" s="1153">
        <v>32</v>
      </c>
      <c r="B92" s="3775" t="s">
        <v>1566</v>
      </c>
      <c r="C92" s="1153" t="s">
        <v>1567</v>
      </c>
      <c r="D92" s="1067" t="s">
        <v>1568</v>
      </c>
      <c r="E92" s="1138">
        <v>0.2</v>
      </c>
      <c r="F92" s="1153">
        <v>30</v>
      </c>
    </row>
    <row r="93" spans="1:6" s="1104" customFormat="1" ht="36">
      <c r="A93" s="1153">
        <v>33</v>
      </c>
      <c r="B93" s="3775"/>
      <c r="C93" s="1153" t="s">
        <v>1569</v>
      </c>
      <c r="D93" s="1067" t="s">
        <v>1570</v>
      </c>
      <c r="E93" s="1138">
        <v>0.2</v>
      </c>
      <c r="F93" s="1153">
        <v>30</v>
      </c>
    </row>
    <row r="94" spans="1:6" s="1104" customFormat="1" ht="48">
      <c r="A94" s="1153">
        <v>34</v>
      </c>
      <c r="B94" s="3775"/>
      <c r="C94" s="1153" t="s">
        <v>1571</v>
      </c>
      <c r="D94" s="1067" t="s">
        <v>1572</v>
      </c>
      <c r="E94" s="1138">
        <v>0.2</v>
      </c>
      <c r="F94" s="1153">
        <v>30</v>
      </c>
    </row>
    <row r="95" spans="1:6" s="1104" customFormat="1" ht="36">
      <c r="A95" s="1153">
        <v>35</v>
      </c>
      <c r="B95" s="3775"/>
      <c r="C95" s="1153" t="s">
        <v>1573</v>
      </c>
      <c r="D95" s="1067" t="s">
        <v>1574</v>
      </c>
      <c r="E95" s="1138">
        <v>0.2</v>
      </c>
      <c r="F95" s="1153">
        <v>30</v>
      </c>
    </row>
    <row r="96" spans="1:6" s="1104" customFormat="1" ht="48">
      <c r="A96" s="1153">
        <v>36</v>
      </c>
      <c r="B96" s="3775"/>
      <c r="C96" s="1067" t="s">
        <v>1575</v>
      </c>
      <c r="D96" s="1067" t="s">
        <v>1576</v>
      </c>
      <c r="E96" s="1138">
        <v>0.2</v>
      </c>
      <c r="F96" s="1153">
        <v>30</v>
      </c>
    </row>
    <row r="97" spans="1:6" s="1104" customFormat="1" ht="36">
      <c r="A97" s="1153">
        <v>37</v>
      </c>
      <c r="B97" s="3775"/>
      <c r="C97" s="1153" t="s">
        <v>1577</v>
      </c>
      <c r="D97" s="1067" t="s">
        <v>1578</v>
      </c>
      <c r="E97" s="1138">
        <v>0.2</v>
      </c>
      <c r="F97" s="1153">
        <v>30</v>
      </c>
    </row>
    <row r="98" spans="1:6" s="1104" customFormat="1" ht="36">
      <c r="A98" s="1153">
        <v>38</v>
      </c>
      <c r="B98" s="3775"/>
      <c r="C98" s="1153" t="s">
        <v>1579</v>
      </c>
      <c r="D98" s="1067" t="s">
        <v>1580</v>
      </c>
      <c r="E98" s="1138">
        <v>0.2</v>
      </c>
      <c r="F98" s="1153">
        <v>30</v>
      </c>
    </row>
    <row r="99" spans="1:6" s="1104" customFormat="1" ht="36">
      <c r="A99" s="1153">
        <v>39</v>
      </c>
      <c r="B99" s="3775" t="s">
        <v>1581</v>
      </c>
      <c r="C99" s="1153" t="s">
        <v>1582</v>
      </c>
      <c r="D99" s="1067" t="s">
        <v>1583</v>
      </c>
      <c r="E99" s="1138">
        <v>0.3</v>
      </c>
      <c r="F99" s="1153">
        <v>50</v>
      </c>
    </row>
    <row r="100" spans="1:6" s="1104" customFormat="1" ht="24">
      <c r="A100" s="1153">
        <v>40</v>
      </c>
      <c r="B100" s="3775"/>
      <c r="C100" s="1153" t="s">
        <v>1584</v>
      </c>
      <c r="D100" s="1067" t="s">
        <v>1585</v>
      </c>
      <c r="E100" s="1138">
        <v>0.2</v>
      </c>
      <c r="F100" s="1153">
        <v>30</v>
      </c>
    </row>
    <row r="101" spans="1:6" s="1104" customFormat="1" ht="36">
      <c r="A101" s="1153">
        <v>41</v>
      </c>
      <c r="B101" s="3775"/>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775" t="s">
        <v>1596</v>
      </c>
      <c r="C105" s="1153" t="s">
        <v>1597</v>
      </c>
      <c r="D105" s="1067" t="s">
        <v>1598</v>
      </c>
      <c r="E105" s="1138">
        <v>0.2</v>
      </c>
      <c r="F105" s="1153">
        <v>30</v>
      </c>
    </row>
    <row r="106" spans="1:6" s="1104" customFormat="1" ht="36">
      <c r="A106" s="1153">
        <v>46</v>
      </c>
      <c r="B106" s="3775"/>
      <c r="C106" s="1153" t="s">
        <v>1599</v>
      </c>
      <c r="D106" s="1067" t="s">
        <v>1600</v>
      </c>
      <c r="E106" s="1138">
        <v>0.2</v>
      </c>
      <c r="F106" s="1153">
        <v>30</v>
      </c>
    </row>
    <row r="107" spans="1:6" s="1104" customFormat="1" ht="36">
      <c r="A107" s="1153">
        <v>47</v>
      </c>
      <c r="B107" s="3775" t="s">
        <v>1601</v>
      </c>
      <c r="C107" s="1153" t="s">
        <v>1602</v>
      </c>
      <c r="D107" s="1067" t="s">
        <v>1603</v>
      </c>
      <c r="E107" s="1138">
        <v>0.3</v>
      </c>
      <c r="F107" s="1153">
        <v>50</v>
      </c>
    </row>
    <row r="108" spans="1:6" s="1104" customFormat="1" ht="36">
      <c r="A108" s="1153">
        <v>48</v>
      </c>
      <c r="B108" s="3775"/>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775" t="s">
        <v>1612</v>
      </c>
      <c r="C111" s="1153" t="s">
        <v>1613</v>
      </c>
      <c r="D111" s="1067" t="s">
        <v>1614</v>
      </c>
      <c r="E111" s="1138">
        <v>0.2</v>
      </c>
      <c r="F111" s="1153">
        <v>30</v>
      </c>
    </row>
    <row r="112" spans="1:6" s="1104" customFormat="1" ht="24">
      <c r="A112" s="1153">
        <v>52</v>
      </c>
      <c r="B112" s="3775"/>
      <c r="C112" s="1153" t="s">
        <v>1615</v>
      </c>
      <c r="D112" s="1067" t="s">
        <v>1616</v>
      </c>
      <c r="E112" s="1138">
        <v>0.2</v>
      </c>
      <c r="F112" s="1153">
        <v>30</v>
      </c>
    </row>
    <row r="113" spans="1:14" s="1104" customFormat="1" ht="24">
      <c r="A113" s="1153">
        <v>53</v>
      </c>
      <c r="B113" s="3775"/>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775" t="s">
        <v>1625</v>
      </c>
      <c r="C116" s="1153" t="s">
        <v>1626</v>
      </c>
      <c r="D116" s="1067" t="s">
        <v>1627</v>
      </c>
      <c r="E116" s="1138">
        <v>0.2</v>
      </c>
      <c r="F116" s="1153">
        <v>30</v>
      </c>
    </row>
    <row r="117" spans="1:14" ht="36">
      <c r="A117" s="1153">
        <v>57</v>
      </c>
      <c r="B117" s="3775"/>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774" t="s">
        <v>1634</v>
      </c>
      <c r="B121" s="3774"/>
      <c r="C121" s="3774"/>
      <c r="D121" s="3774"/>
      <c r="E121" s="3774"/>
      <c r="F121" s="3774"/>
      <c r="G121" s="3774"/>
      <c r="H121" s="3774"/>
      <c r="I121" s="3774"/>
      <c r="J121" s="377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87" t="s">
        <v>1040</v>
      </c>
      <c r="B1" s="3787"/>
      <c r="C1" s="3787"/>
      <c r="D1" s="3787"/>
      <c r="E1" s="3787"/>
      <c r="F1" s="3787"/>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788" t="s">
        <v>1053</v>
      </c>
      <c r="B2" s="3788"/>
      <c r="C2" s="3788"/>
      <c r="D2" s="3788"/>
      <c r="E2" s="3788"/>
      <c r="F2" s="3788"/>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789"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790"/>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2420</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2421</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548" t="str">
        <f>项目基本情况!B1</f>
        <v>陕西省西安市未央区凤城一路以南、百寰国际项目用地以北、先锋南北二路以西出让国有建设用地使用权市场价格预评估</v>
      </c>
      <c r="C37" s="3548"/>
      <c r="D37" s="3548"/>
      <c r="E37" s="3548"/>
      <c r="F37" s="3548"/>
      <c r="G37" s="3548"/>
      <c r="H37" s="3548"/>
      <c r="I37" s="3548"/>
    </row>
    <row r="38" spans="1:9">
      <c r="A38" s="1655"/>
      <c r="B38" s="1655"/>
    </row>
    <row r="39" spans="1:9">
      <c r="A39" s="1653" t="s">
        <v>1902</v>
      </c>
      <c r="B39" s="1653" t="s">
        <v>2046</v>
      </c>
    </row>
    <row r="40" spans="1:9">
      <c r="A40" s="1653"/>
      <c r="B40" s="1653" t="str">
        <f>项目基本情况!B5</f>
        <v>五矿国际信托有限公司</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王鹏、郑燚</v>
      </c>
    </row>
    <row r="47" spans="1:9">
      <c r="A47" s="1653"/>
      <c r="B47" s="1653"/>
    </row>
    <row r="48" spans="1:9">
      <c r="A48" s="1653" t="s">
        <v>1902</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791" t="s">
        <v>2079</v>
      </c>
      <c r="B1" s="3791"/>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1097</v>
      </c>
      <c r="B6" s="1858" t="s">
        <v>2088</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2089</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2090</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2091</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2092</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2093</v>
      </c>
      <c r="C72" s="1868"/>
      <c r="D72" s="1868"/>
      <c r="E72" s="1868"/>
      <c r="F72" s="1860">
        <v>0.05</v>
      </c>
    </row>
    <row r="73" spans="1:6" ht="14.25" thickBot="1">
      <c r="A73" s="1854" t="s">
        <v>925</v>
      </c>
      <c r="B73" s="1858" t="s">
        <v>2094</v>
      </c>
      <c r="C73" s="1868"/>
      <c r="D73" s="1868"/>
      <c r="E73" s="1868"/>
      <c r="F73" s="1860">
        <v>0.05</v>
      </c>
    </row>
    <row r="74" spans="1:6" ht="14.25" thickBot="1">
      <c r="A74" s="1854" t="s">
        <v>925</v>
      </c>
      <c r="B74" s="1858" t="s">
        <v>2095</v>
      </c>
      <c r="C74" s="1868"/>
      <c r="D74" s="1868"/>
      <c r="E74" s="1868"/>
      <c r="F74" s="1860">
        <v>0.05</v>
      </c>
    </row>
    <row r="75" spans="1:6" ht="14.25" thickBot="1">
      <c r="A75" s="1862" t="s">
        <v>925</v>
      </c>
      <c r="B75" s="1869" t="s">
        <v>2096</v>
      </c>
      <c r="C75" s="1865"/>
      <c r="D75" s="1865"/>
      <c r="E75" s="1865"/>
      <c r="F75" s="1870">
        <v>0.05</v>
      </c>
    </row>
    <row r="76" spans="1:6" ht="14.25" thickBot="1">
      <c r="A76" s="1854" t="s">
        <v>1408</v>
      </c>
      <c r="B76" s="1855" t="s">
        <v>2097</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2098</v>
      </c>
      <c r="C102" s="1868"/>
      <c r="D102" s="1868"/>
      <c r="E102" s="1868"/>
      <c r="F102" s="1860">
        <v>0.05</v>
      </c>
    </row>
    <row r="103" spans="1:6" ht="24.75" thickBot="1">
      <c r="A103" s="1854" t="s">
        <v>1408</v>
      </c>
      <c r="B103" s="1858" t="s">
        <v>2099</v>
      </c>
      <c r="C103" s="1868"/>
      <c r="D103" s="1868"/>
      <c r="E103" s="1868"/>
      <c r="F103" s="1860">
        <v>0.05</v>
      </c>
    </row>
    <row r="104" spans="1:6" ht="14.25" thickBot="1">
      <c r="A104" s="1854" t="s">
        <v>1408</v>
      </c>
      <c r="B104" s="1858" t="s">
        <v>2100</v>
      </c>
      <c r="C104" s="1868"/>
      <c r="D104" s="1868"/>
      <c r="E104" s="1868"/>
      <c r="F104" s="1860">
        <v>0.05</v>
      </c>
    </row>
    <row r="105" spans="1:6" ht="14.25" thickBot="1">
      <c r="A105" s="1854" t="s">
        <v>1408</v>
      </c>
      <c r="B105" s="1858" t="s">
        <v>2101</v>
      </c>
      <c r="C105" s="1868"/>
      <c r="D105" s="1868"/>
      <c r="E105" s="1868"/>
      <c r="F105" s="1860">
        <v>0.05</v>
      </c>
    </row>
    <row r="106" spans="1:6" ht="14.25" thickBot="1">
      <c r="A106" s="1854" t="s">
        <v>1408</v>
      </c>
      <c r="B106" s="1858" t="s">
        <v>2102</v>
      </c>
      <c r="C106" s="1868"/>
      <c r="D106" s="1868"/>
      <c r="E106" s="1868"/>
      <c r="F106" s="1860">
        <v>0.05</v>
      </c>
    </row>
    <row r="107" spans="1:6" ht="24.75" thickBot="1">
      <c r="A107" s="1854" t="s">
        <v>1408</v>
      </c>
      <c r="B107" s="1858" t="s">
        <v>2103</v>
      </c>
      <c r="C107" s="1868"/>
      <c r="D107" s="1868"/>
      <c r="E107" s="1868"/>
      <c r="F107" s="1860">
        <v>0.05</v>
      </c>
    </row>
    <row r="108" spans="1:6" ht="24.75" thickBot="1">
      <c r="A108" s="1854" t="s">
        <v>1408</v>
      </c>
      <c r="B108" s="1858" t="s">
        <v>2104</v>
      </c>
      <c r="C108" s="1868"/>
      <c r="D108" s="1868"/>
      <c r="E108" s="1868"/>
      <c r="F108" s="1860">
        <v>0.05</v>
      </c>
    </row>
    <row r="109" spans="1:6" ht="24.75" thickBot="1">
      <c r="A109" s="1862" t="s">
        <v>1408</v>
      </c>
      <c r="B109" s="1869" t="s">
        <v>2105</v>
      </c>
      <c r="C109" s="1865"/>
      <c r="D109" s="1865"/>
      <c r="E109" s="1865"/>
      <c r="F109" s="1870">
        <v>0.05</v>
      </c>
    </row>
    <row r="110" spans="1:6" ht="14.25" thickBot="1">
      <c r="A110" s="1854" t="s">
        <v>1410</v>
      </c>
      <c r="B110" s="1855" t="s">
        <v>2106</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2107</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2108</v>
      </c>
      <c r="C138" s="1859">
        <v>0.105</v>
      </c>
      <c r="D138" s="1859">
        <v>0.125</v>
      </c>
      <c r="E138" s="1859">
        <v>0.112</v>
      </c>
      <c r="F138" s="1867"/>
    </row>
    <row r="139" spans="1:6" ht="14.25" thickBot="1">
      <c r="A139" s="1854" t="s">
        <v>1410</v>
      </c>
      <c r="B139" s="1858" t="s">
        <v>2109</v>
      </c>
      <c r="C139" s="1859">
        <v>0.127</v>
      </c>
      <c r="D139" s="1859">
        <v>0.127</v>
      </c>
      <c r="E139" s="1859">
        <v>0.122</v>
      </c>
      <c r="F139" s="1860">
        <v>0.13</v>
      </c>
    </row>
    <row r="140" spans="1:6" ht="14.25" thickBot="1">
      <c r="A140" s="1854" t="s">
        <v>1410</v>
      </c>
      <c r="B140" s="1858" t="s">
        <v>2110</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2111</v>
      </c>
      <c r="C144" s="1872">
        <v>0.126</v>
      </c>
      <c r="D144" s="1872">
        <v>0.126</v>
      </c>
      <c r="E144" s="1872">
        <v>0.121</v>
      </c>
      <c r="F144" s="1867"/>
    </row>
    <row r="145" spans="1:6" ht="14.25" thickBot="1">
      <c r="A145" s="1862" t="s">
        <v>1410</v>
      </c>
      <c r="B145" s="1873" t="s">
        <v>2112</v>
      </c>
      <c r="C145" s="1874"/>
      <c r="D145" s="1874"/>
      <c r="E145" s="1874"/>
      <c r="F145" s="1875">
        <v>0.05</v>
      </c>
    </row>
    <row r="146" spans="1:6" ht="24.75" thickBot="1">
      <c r="A146" s="1876" t="s">
        <v>1410</v>
      </c>
      <c r="B146" s="1861" t="s">
        <v>2113</v>
      </c>
      <c r="C146" s="1868"/>
      <c r="D146" s="1868"/>
      <c r="E146" s="1868"/>
      <c r="F146" s="1877">
        <v>0.05</v>
      </c>
    </row>
    <row r="147" spans="1:6" ht="24.75" thickBot="1">
      <c r="A147" s="1854" t="s">
        <v>1410</v>
      </c>
      <c r="B147" s="1858" t="s">
        <v>2114</v>
      </c>
      <c r="C147" s="1868"/>
      <c r="D147" s="1868"/>
      <c r="E147" s="1868"/>
      <c r="F147" s="1860">
        <v>0.05</v>
      </c>
    </row>
    <row r="148" spans="1:6" ht="24.75" thickBot="1">
      <c r="A148" s="1854" t="s">
        <v>1410</v>
      </c>
      <c r="B148" s="1858" t="s">
        <v>2115</v>
      </c>
      <c r="C148" s="1868"/>
      <c r="D148" s="1868"/>
      <c r="E148" s="1868"/>
      <c r="F148" s="1860">
        <v>0.05</v>
      </c>
    </row>
    <row r="149" spans="1:6" ht="24.75" thickBot="1">
      <c r="A149" s="1854" t="s">
        <v>1410</v>
      </c>
      <c r="B149" s="1858" t="s">
        <v>2116</v>
      </c>
      <c r="C149" s="1868"/>
      <c r="D149" s="1868"/>
      <c r="E149" s="1868"/>
      <c r="F149" s="1860">
        <v>0.05</v>
      </c>
    </row>
    <row r="150" spans="1:6" ht="24.75" thickBot="1">
      <c r="A150" s="1854" t="s">
        <v>1410</v>
      </c>
      <c r="B150" s="1858" t="s">
        <v>2117</v>
      </c>
      <c r="C150" s="1868"/>
      <c r="D150" s="1868"/>
      <c r="E150" s="1868"/>
      <c r="F150" s="1860">
        <v>0.05</v>
      </c>
    </row>
    <row r="151" spans="1:6" ht="24.75" thickBot="1">
      <c r="A151" s="1854" t="s">
        <v>1410</v>
      </c>
      <c r="B151" s="1858" t="s">
        <v>2118</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2119</v>
      </c>
      <c r="C153" s="1868"/>
      <c r="D153" s="1868"/>
      <c r="E153" s="1868"/>
      <c r="F153" s="1860">
        <v>0.05</v>
      </c>
    </row>
    <row r="154" spans="1:6" ht="14.25" thickBot="1">
      <c r="A154" s="1854" t="s">
        <v>1410</v>
      </c>
      <c r="B154" s="1858" t="s">
        <v>2120</v>
      </c>
      <c r="C154" s="1868"/>
      <c r="D154" s="1868"/>
      <c r="E154" s="1868"/>
      <c r="F154" s="1860">
        <v>0.05</v>
      </c>
    </row>
    <row r="155" spans="1:6" ht="24.75" thickBot="1">
      <c r="A155" s="1854" t="s">
        <v>1410</v>
      </c>
      <c r="B155" s="1858" t="s">
        <v>2121</v>
      </c>
      <c r="C155" s="1868"/>
      <c r="D155" s="1868"/>
      <c r="E155" s="1868"/>
      <c r="F155" s="1860">
        <v>0.05</v>
      </c>
    </row>
    <row r="156" spans="1:6" ht="24.75" thickBot="1">
      <c r="A156" s="1854" t="s">
        <v>1410</v>
      </c>
      <c r="B156" s="1858" t="s">
        <v>2122</v>
      </c>
      <c r="C156" s="1868"/>
      <c r="D156" s="1868"/>
      <c r="E156" s="1868"/>
      <c r="F156" s="1860">
        <v>0.05</v>
      </c>
    </row>
    <row r="157" spans="1:6" ht="14.25" thickBot="1">
      <c r="A157" s="1862" t="s">
        <v>1410</v>
      </c>
      <c r="B157" s="1869" t="s">
        <v>2123</v>
      </c>
      <c r="C157" s="1865"/>
      <c r="D157" s="1865"/>
      <c r="E157" s="1865"/>
      <c r="F157" s="1870">
        <v>0.05</v>
      </c>
    </row>
    <row r="158" spans="1:6" ht="14.25" thickBot="1">
      <c r="A158" s="1854" t="s">
        <v>1412</v>
      </c>
      <c r="B158" s="1855" t="s">
        <v>2124</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2125</v>
      </c>
      <c r="C171" s="1859">
        <v>0.127</v>
      </c>
      <c r="D171" s="1859">
        <v>0.126</v>
      </c>
      <c r="E171" s="1859">
        <v>0.126</v>
      </c>
      <c r="F171" s="1860">
        <v>0.11799999999999999</v>
      </c>
    </row>
    <row r="172" spans="1:6" ht="14.25" thickBot="1">
      <c r="A172" s="1854" t="s">
        <v>1412</v>
      </c>
      <c r="B172" s="1858" t="s">
        <v>2126</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2127</v>
      </c>
      <c r="C174" s="1859">
        <v>0.13</v>
      </c>
      <c r="D174" s="1859">
        <v>0.13</v>
      </c>
      <c r="E174" s="1859">
        <v>0.13</v>
      </c>
      <c r="F174" s="1860">
        <v>0.13</v>
      </c>
    </row>
    <row r="175" spans="1:6" ht="14.25" thickBot="1">
      <c r="A175" s="1854" t="s">
        <v>1412</v>
      </c>
      <c r="B175" s="1858" t="s">
        <v>2128</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2129</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2130</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2131</v>
      </c>
      <c r="C185" s="1859">
        <v>0.127</v>
      </c>
      <c r="D185" s="1859">
        <v>0.127</v>
      </c>
      <c r="E185" s="1859">
        <v>0.128</v>
      </c>
      <c r="F185" s="1860">
        <v>0.13</v>
      </c>
    </row>
    <row r="186" spans="1:6" ht="24.75" thickBot="1">
      <c r="A186" s="1854" t="s">
        <v>1412</v>
      </c>
      <c r="B186" s="1858" t="s">
        <v>2132</v>
      </c>
      <c r="C186" s="1868"/>
      <c r="D186" s="1868"/>
      <c r="E186" s="1868"/>
      <c r="F186" s="1860">
        <v>0.05</v>
      </c>
    </row>
    <row r="187" spans="1:6" ht="14.25" thickBot="1">
      <c r="A187" s="1854" t="s">
        <v>1412</v>
      </c>
      <c r="B187" s="1858" t="s">
        <v>2133</v>
      </c>
      <c r="C187" s="1868"/>
      <c r="D187" s="1868"/>
      <c r="E187" s="1868"/>
      <c r="F187" s="1860">
        <v>0.05</v>
      </c>
    </row>
    <row r="188" spans="1:6" ht="14.25" thickBot="1">
      <c r="A188" s="1854" t="s">
        <v>1412</v>
      </c>
      <c r="B188" s="1858" t="s">
        <v>2134</v>
      </c>
      <c r="C188" s="1868"/>
      <c r="D188" s="1868"/>
      <c r="E188" s="1868"/>
      <c r="F188" s="1860">
        <v>0.05</v>
      </c>
    </row>
    <row r="189" spans="1:6" ht="24.75" thickBot="1">
      <c r="A189" s="1854" t="s">
        <v>1412</v>
      </c>
      <c r="B189" s="1858" t="s">
        <v>2135</v>
      </c>
      <c r="C189" s="1868"/>
      <c r="D189" s="1868"/>
      <c r="E189" s="1868"/>
      <c r="F189" s="1860">
        <v>0.05</v>
      </c>
    </row>
    <row r="190" spans="1:6" ht="24.75" thickBot="1">
      <c r="A190" s="1854" t="s">
        <v>1412</v>
      </c>
      <c r="B190" s="1858" t="s">
        <v>2136</v>
      </c>
      <c r="C190" s="1868"/>
      <c r="D190" s="1868"/>
      <c r="E190" s="1868"/>
      <c r="F190" s="1860">
        <v>0.05</v>
      </c>
    </row>
    <row r="191" spans="1:6" ht="24.75" thickBot="1">
      <c r="A191" s="1854" t="s">
        <v>1412</v>
      </c>
      <c r="B191" s="1858" t="s">
        <v>2137</v>
      </c>
      <c r="C191" s="1868"/>
      <c r="D191" s="1868"/>
      <c r="E191" s="1868"/>
      <c r="F191" s="1860">
        <v>0.05</v>
      </c>
    </row>
    <row r="192" spans="1:6" ht="24.75" thickBot="1">
      <c r="A192" s="1854" t="s">
        <v>1412</v>
      </c>
      <c r="B192" s="1858" t="s">
        <v>2138</v>
      </c>
      <c r="C192" s="1868"/>
      <c r="D192" s="1868"/>
      <c r="E192" s="1868"/>
      <c r="F192" s="1860">
        <v>0.05</v>
      </c>
    </row>
    <row r="193" spans="1:6" ht="24.75" thickBot="1">
      <c r="A193" s="1854" t="s">
        <v>1412</v>
      </c>
      <c r="B193" s="1858" t="s">
        <v>2139</v>
      </c>
      <c r="C193" s="1868"/>
      <c r="D193" s="1868"/>
      <c r="E193" s="1868"/>
      <c r="F193" s="1860">
        <v>0.05</v>
      </c>
    </row>
    <row r="194" spans="1:6" ht="24.75" thickBot="1">
      <c r="A194" s="1854" t="s">
        <v>1412</v>
      </c>
      <c r="B194" s="1858" t="s">
        <v>2140</v>
      </c>
      <c r="C194" s="1868"/>
      <c r="D194" s="1868"/>
      <c r="E194" s="1868"/>
      <c r="F194" s="1860">
        <v>0.05</v>
      </c>
    </row>
    <row r="195" spans="1:6" ht="14.25" thickBot="1">
      <c r="A195" s="1854" t="s">
        <v>1412</v>
      </c>
      <c r="B195" s="1858" t="s">
        <v>2141</v>
      </c>
      <c r="C195" s="1868"/>
      <c r="D195" s="1868"/>
      <c r="E195" s="1868"/>
      <c r="F195" s="1860">
        <v>0.05</v>
      </c>
    </row>
    <row r="196" spans="1:6" ht="24.75" thickBot="1">
      <c r="A196" s="1854" t="s">
        <v>1412</v>
      </c>
      <c r="B196" s="1858" t="s">
        <v>2142</v>
      </c>
      <c r="C196" s="1868"/>
      <c r="D196" s="1868"/>
      <c r="E196" s="1868"/>
      <c r="F196" s="1860">
        <v>0.05</v>
      </c>
    </row>
    <row r="197" spans="1:6" ht="24.75" thickBot="1">
      <c r="A197" s="1854" t="s">
        <v>1412</v>
      </c>
      <c r="B197" s="1858" t="s">
        <v>2143</v>
      </c>
      <c r="C197" s="1868"/>
      <c r="D197" s="1868"/>
      <c r="E197" s="1868"/>
      <c r="F197" s="1860">
        <v>0.05</v>
      </c>
    </row>
    <row r="198" spans="1:6" ht="24.75" thickBot="1">
      <c r="A198" s="1854" t="s">
        <v>1412</v>
      </c>
      <c r="B198" s="1858" t="s">
        <v>2144</v>
      </c>
      <c r="C198" s="1868"/>
      <c r="D198" s="1868"/>
      <c r="E198" s="1868"/>
      <c r="F198" s="1860">
        <v>0.05</v>
      </c>
    </row>
    <row r="199" spans="1:6" ht="24.75" thickBot="1">
      <c r="A199" s="1854" t="s">
        <v>1412</v>
      </c>
      <c r="B199" s="1858" t="s">
        <v>2145</v>
      </c>
      <c r="C199" s="1868"/>
      <c r="D199" s="1868"/>
      <c r="E199" s="1868"/>
      <c r="F199" s="1860">
        <v>0.05</v>
      </c>
    </row>
    <row r="200" spans="1:6" ht="24.75" thickBot="1">
      <c r="A200" s="1854" t="s">
        <v>1412</v>
      </c>
      <c r="B200" s="1858" t="s">
        <v>2146</v>
      </c>
      <c r="C200" s="1868"/>
      <c r="D200" s="1868"/>
      <c r="E200" s="1868"/>
      <c r="F200" s="1860">
        <v>0.05</v>
      </c>
    </row>
    <row r="201" spans="1:6" ht="24.75" thickBot="1">
      <c r="A201" s="1854" t="s">
        <v>1412</v>
      </c>
      <c r="B201" s="1858" t="s">
        <v>2147</v>
      </c>
      <c r="C201" s="1868"/>
      <c r="D201" s="1868"/>
      <c r="E201" s="1868"/>
      <c r="F201" s="1860">
        <v>0.05</v>
      </c>
    </row>
    <row r="202" spans="1:6" ht="24.75" thickBot="1">
      <c r="A202" s="1854" t="s">
        <v>1412</v>
      </c>
      <c r="B202" s="1858" t="s">
        <v>2148</v>
      </c>
      <c r="C202" s="1868"/>
      <c r="D202" s="1868"/>
      <c r="E202" s="1868"/>
      <c r="F202" s="1860">
        <v>0.05</v>
      </c>
    </row>
    <row r="203" spans="1:6" ht="24.75" thickBot="1">
      <c r="A203" s="1854" t="s">
        <v>1412</v>
      </c>
      <c r="B203" s="1858" t="s">
        <v>2149</v>
      </c>
      <c r="C203" s="1868"/>
      <c r="D203" s="1868"/>
      <c r="E203" s="1868"/>
      <c r="F203" s="1860">
        <v>0.05</v>
      </c>
    </row>
    <row r="204" spans="1:6" ht="14.25" thickBot="1">
      <c r="A204" s="1854" t="s">
        <v>1412</v>
      </c>
      <c r="B204" s="1858" t="s">
        <v>2150</v>
      </c>
      <c r="C204" s="1868"/>
      <c r="D204" s="1868"/>
      <c r="E204" s="1868"/>
      <c r="F204" s="1860">
        <v>0.05</v>
      </c>
    </row>
    <row r="205" spans="1:6" ht="14.25" thickBot="1">
      <c r="A205" s="1862" t="s">
        <v>1412</v>
      </c>
      <c r="B205" s="1869" t="s">
        <v>2151</v>
      </c>
      <c r="C205" s="1865"/>
      <c r="D205" s="1865"/>
      <c r="E205" s="1865"/>
      <c r="F205" s="1870">
        <v>0.05</v>
      </c>
    </row>
    <row r="206" spans="1:6" ht="14.25" thickBot="1">
      <c r="A206" s="1854" t="s">
        <v>1414</v>
      </c>
      <c r="B206" s="1855" t="s">
        <v>2152</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2153</v>
      </c>
      <c r="C210" s="1859">
        <v>0.15</v>
      </c>
      <c r="D210" s="1859">
        <v>0.15</v>
      </c>
      <c r="E210" s="1859">
        <v>0.15</v>
      </c>
      <c r="F210" s="1860">
        <v>0.13800000000000001</v>
      </c>
    </row>
    <row r="211" spans="1:6" ht="14.25" thickBot="1">
      <c r="A211" s="1854" t="s">
        <v>1414</v>
      </c>
      <c r="B211" s="1858" t="s">
        <v>2154</v>
      </c>
      <c r="C211" s="1859">
        <v>0.13700000000000001</v>
      </c>
      <c r="D211" s="1859">
        <v>0.13500000000000001</v>
      </c>
      <c r="E211" s="1859">
        <v>0.13600000000000001</v>
      </c>
      <c r="F211" s="1860">
        <v>0.1</v>
      </c>
    </row>
    <row r="212" spans="1:6" ht="14.25" thickBot="1">
      <c r="A212" s="1854" t="s">
        <v>1414</v>
      </c>
      <c r="B212" s="1858" t="s">
        <v>2155</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2156</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2157</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2158</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2159</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2160</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2161</v>
      </c>
      <c r="C231" s="1859">
        <v>0.128</v>
      </c>
      <c r="D231" s="1859">
        <v>0.125</v>
      </c>
      <c r="E231" s="1859">
        <v>0.13200000000000001</v>
      </c>
      <c r="F231" s="1867"/>
    </row>
    <row r="232" spans="1:6" ht="14.25" thickBot="1">
      <c r="A232" s="1854" t="s">
        <v>1414</v>
      </c>
      <c r="B232" s="1858" t="s">
        <v>2162</v>
      </c>
      <c r="C232" s="1859">
        <v>0.14499999999999999</v>
      </c>
      <c r="D232" s="1859">
        <v>0.14399999999999999</v>
      </c>
      <c r="E232" s="1859">
        <v>0.14599999999999999</v>
      </c>
      <c r="F232" s="1860">
        <v>0.13800000000000001</v>
      </c>
    </row>
    <row r="233" spans="1:6" ht="14.25" thickBot="1">
      <c r="A233" s="1854" t="s">
        <v>1414</v>
      </c>
      <c r="B233" s="1858" t="s">
        <v>2163</v>
      </c>
      <c r="C233" s="1859">
        <v>0.14499999999999999</v>
      </c>
      <c r="D233" s="1859">
        <v>0.14299999999999999</v>
      </c>
      <c r="E233" s="1859">
        <v>0.14199999999999999</v>
      </c>
      <c r="F233" s="1867"/>
    </row>
    <row r="234" spans="1:6" ht="14.25" thickBot="1">
      <c r="A234" s="1854" t="s">
        <v>1414</v>
      </c>
      <c r="B234" s="1858" t="s">
        <v>2164</v>
      </c>
      <c r="C234" s="1859">
        <v>0.14000000000000001</v>
      </c>
      <c r="D234" s="1859">
        <v>0.14000000000000001</v>
      </c>
      <c r="E234" s="1859">
        <v>0.14399999999999999</v>
      </c>
      <c r="F234" s="1867"/>
    </row>
    <row r="235" spans="1:6" ht="14.25" thickBot="1">
      <c r="A235" s="1854" t="s">
        <v>1414</v>
      </c>
      <c r="B235" s="1858" t="s">
        <v>2165</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2166</v>
      </c>
      <c r="C237" s="1868"/>
      <c r="D237" s="1868"/>
      <c r="E237" s="1868"/>
      <c r="F237" s="1860">
        <v>0.05</v>
      </c>
    </row>
    <row r="238" spans="1:6" ht="24.75" thickBot="1">
      <c r="A238" s="1854" t="s">
        <v>1414</v>
      </c>
      <c r="B238" s="1858" t="s">
        <v>2167</v>
      </c>
      <c r="C238" s="1868"/>
      <c r="D238" s="1868"/>
      <c r="E238" s="1868"/>
      <c r="F238" s="1860">
        <v>0.05</v>
      </c>
    </row>
    <row r="239" spans="1:6" ht="24.75" thickBot="1">
      <c r="A239" s="1854" t="s">
        <v>1414</v>
      </c>
      <c r="B239" s="1858" t="s">
        <v>2168</v>
      </c>
      <c r="C239" s="1868"/>
      <c r="D239" s="1868"/>
      <c r="E239" s="1868"/>
      <c r="F239" s="1860">
        <v>0.05</v>
      </c>
    </row>
    <row r="240" spans="1:6" ht="24.75" thickBot="1">
      <c r="A240" s="1854" t="s">
        <v>1414</v>
      </c>
      <c r="B240" s="1858" t="s">
        <v>2169</v>
      </c>
      <c r="C240" s="1868"/>
      <c r="D240" s="1868"/>
      <c r="E240" s="1868"/>
      <c r="F240" s="1860">
        <v>0.05</v>
      </c>
    </row>
    <row r="241" spans="1:6" ht="24.75" thickBot="1">
      <c r="A241" s="1854" t="s">
        <v>1414</v>
      </c>
      <c r="B241" s="1858" t="s">
        <v>2170</v>
      </c>
      <c r="C241" s="1868"/>
      <c r="D241" s="1868"/>
      <c r="E241" s="1868"/>
      <c r="F241" s="1860">
        <v>0.05</v>
      </c>
    </row>
    <row r="242" spans="1:6" ht="24.75" thickBot="1">
      <c r="A242" s="1854" t="s">
        <v>1414</v>
      </c>
      <c r="B242" s="1858" t="s">
        <v>2171</v>
      </c>
      <c r="C242" s="1868"/>
      <c r="D242" s="1868"/>
      <c r="E242" s="1868"/>
      <c r="F242" s="1860">
        <v>0.05</v>
      </c>
    </row>
    <row r="243" spans="1:6" ht="24.75" thickBot="1">
      <c r="A243" s="1854" t="s">
        <v>1414</v>
      </c>
      <c r="B243" s="1858" t="s">
        <v>2172</v>
      </c>
      <c r="C243" s="1868"/>
      <c r="D243" s="1868"/>
      <c r="E243" s="1868"/>
      <c r="F243" s="1860">
        <v>0.05</v>
      </c>
    </row>
    <row r="244" spans="1:6" ht="24.75" thickBot="1">
      <c r="A244" s="1862" t="s">
        <v>1414</v>
      </c>
      <c r="B244" s="1869" t="s">
        <v>2173</v>
      </c>
      <c r="C244" s="1865"/>
      <c r="D244" s="1865"/>
      <c r="E244" s="1865"/>
      <c r="F244" s="1870">
        <v>0.05</v>
      </c>
    </row>
    <row r="245" spans="1:6" ht="14.25" thickBot="1">
      <c r="A245" s="1854" t="s">
        <v>1416</v>
      </c>
      <c r="B245" s="1855" t="s">
        <v>2174</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2175</v>
      </c>
      <c r="C247" s="1859">
        <v>0.15</v>
      </c>
      <c r="D247" s="1859">
        <v>0.15</v>
      </c>
      <c r="E247" s="1859">
        <v>0.15</v>
      </c>
      <c r="F247" s="1860">
        <v>0.15</v>
      </c>
    </row>
    <row r="248" spans="1:6" ht="14.25" thickBot="1">
      <c r="A248" s="1854" t="s">
        <v>1416</v>
      </c>
      <c r="B248" s="1858" t="s">
        <v>2176</v>
      </c>
      <c r="C248" s="1859">
        <v>0.15</v>
      </c>
      <c r="D248" s="1859">
        <v>0.15</v>
      </c>
      <c r="E248" s="1859">
        <v>0.15</v>
      </c>
      <c r="F248" s="1860">
        <v>0.14000000000000001</v>
      </c>
    </row>
    <row r="249" spans="1:6" ht="14.25" thickBot="1">
      <c r="A249" s="1854" t="s">
        <v>1416</v>
      </c>
      <c r="B249" s="1858" t="s">
        <v>2177</v>
      </c>
      <c r="C249" s="1859">
        <v>0.15</v>
      </c>
      <c r="D249" s="1859">
        <v>0.14899999999999999</v>
      </c>
      <c r="E249" s="1859">
        <v>0.15</v>
      </c>
      <c r="F249" s="1860">
        <v>0.1</v>
      </c>
    </row>
    <row r="250" spans="1:6" ht="14.25" thickBot="1">
      <c r="A250" s="1854" t="s">
        <v>1416</v>
      </c>
      <c r="B250" s="1858" t="s">
        <v>2178</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2179</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2180</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2181</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2182</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2183</v>
      </c>
      <c r="C273" s="1859">
        <v>0.14199999999999999</v>
      </c>
      <c r="D273" s="1859">
        <v>0.14299999999999999</v>
      </c>
      <c r="E273" s="1859">
        <v>0.15</v>
      </c>
      <c r="F273" s="1860">
        <v>0.1</v>
      </c>
    </row>
    <row r="274" spans="1:6" ht="14.25" thickBot="1">
      <c r="A274" s="1854" t="s">
        <v>1416</v>
      </c>
      <c r="B274" s="1858" t="s">
        <v>2184</v>
      </c>
      <c r="C274" s="1859">
        <v>0.14799999999999999</v>
      </c>
      <c r="D274" s="1859">
        <v>0.14799999999999999</v>
      </c>
      <c r="E274" s="1859">
        <v>0.15</v>
      </c>
      <c r="F274" s="1860">
        <v>6.7000000000000004E-2</v>
      </c>
    </row>
    <row r="275" spans="1:6" ht="14.25" thickBot="1">
      <c r="A275" s="1854" t="s">
        <v>1416</v>
      </c>
      <c r="B275" s="1858" t="s">
        <v>2185</v>
      </c>
      <c r="C275" s="1859">
        <v>0.15</v>
      </c>
      <c r="D275" s="1859">
        <v>0.15</v>
      </c>
      <c r="E275" s="1859">
        <v>0.15</v>
      </c>
      <c r="F275" s="1860">
        <v>0.15</v>
      </c>
    </row>
    <row r="276" spans="1:6" ht="14.25" thickBot="1">
      <c r="A276" s="1854" t="s">
        <v>1416</v>
      </c>
      <c r="B276" s="1858" t="s">
        <v>2186</v>
      </c>
      <c r="C276" s="1859">
        <v>0.14499999999999999</v>
      </c>
      <c r="D276" s="1859">
        <v>0.14299999999999999</v>
      </c>
      <c r="E276" s="1859">
        <v>0.15</v>
      </c>
      <c r="F276" s="1860">
        <v>5.8999999999999997E-2</v>
      </c>
    </row>
    <row r="277" spans="1:6" ht="14.25" thickBot="1">
      <c r="A277" s="1854" t="s">
        <v>1416</v>
      </c>
      <c r="B277" s="1858" t="s">
        <v>2187</v>
      </c>
      <c r="C277" s="1859">
        <v>0.15</v>
      </c>
      <c r="D277" s="1859">
        <v>0.15</v>
      </c>
      <c r="E277" s="1859">
        <v>0.15</v>
      </c>
      <c r="F277" s="1860">
        <v>0.121</v>
      </c>
    </row>
    <row r="278" spans="1:6" ht="14.25" thickBot="1">
      <c r="A278" s="1854" t="s">
        <v>1416</v>
      </c>
      <c r="B278" s="1858" t="s">
        <v>2188</v>
      </c>
      <c r="C278" s="1859">
        <v>0.15</v>
      </c>
      <c r="D278" s="1859">
        <v>0.15</v>
      </c>
      <c r="E278" s="1859">
        <v>0.15</v>
      </c>
      <c r="F278" s="1860">
        <v>0.13800000000000001</v>
      </c>
    </row>
    <row r="279" spans="1:6" ht="24.75" thickBot="1">
      <c r="A279" s="1854" t="s">
        <v>1416</v>
      </c>
      <c r="B279" s="1858" t="s">
        <v>2189</v>
      </c>
      <c r="C279" s="1868"/>
      <c r="D279" s="1868"/>
      <c r="E279" s="1868"/>
      <c r="F279" s="1860">
        <v>0.05</v>
      </c>
    </row>
    <row r="280" spans="1:6" ht="24.75" thickBot="1">
      <c r="A280" s="1854" t="s">
        <v>1416</v>
      </c>
      <c r="B280" s="1858" t="s">
        <v>2190</v>
      </c>
      <c r="C280" s="1868"/>
      <c r="D280" s="1868"/>
      <c r="E280" s="1868"/>
      <c r="F280" s="1860">
        <v>0.05</v>
      </c>
    </row>
    <row r="281" spans="1:6" ht="24.75" thickBot="1">
      <c r="A281" s="1854" t="s">
        <v>1416</v>
      </c>
      <c r="B281" s="1858" t="s">
        <v>2191</v>
      </c>
      <c r="C281" s="1868"/>
      <c r="D281" s="1868"/>
      <c r="E281" s="1868"/>
      <c r="F281" s="1860">
        <v>0.05</v>
      </c>
    </row>
    <row r="282" spans="1:6" ht="24.75" thickBot="1">
      <c r="A282" s="1854" t="s">
        <v>1416</v>
      </c>
      <c r="B282" s="1858" t="s">
        <v>2192</v>
      </c>
      <c r="C282" s="1868"/>
      <c r="D282" s="1868"/>
      <c r="E282" s="1868"/>
      <c r="F282" s="1860">
        <v>0.05</v>
      </c>
    </row>
    <row r="283" spans="1:6" ht="24.75" thickBot="1">
      <c r="A283" s="1854" t="s">
        <v>1416</v>
      </c>
      <c r="B283" s="1858" t="s">
        <v>2193</v>
      </c>
      <c r="C283" s="1868"/>
      <c r="D283" s="1868"/>
      <c r="E283" s="1868"/>
      <c r="F283" s="1860">
        <v>0.05</v>
      </c>
    </row>
    <row r="284" spans="1:6" ht="24.75" thickBot="1">
      <c r="A284" s="1854" t="s">
        <v>1416</v>
      </c>
      <c r="B284" s="1858" t="s">
        <v>2194</v>
      </c>
      <c r="C284" s="1868"/>
      <c r="D284" s="1868"/>
      <c r="E284" s="1868"/>
      <c r="F284" s="1860">
        <v>0.05</v>
      </c>
    </row>
    <row r="285" spans="1:6" ht="24.75" thickBot="1">
      <c r="A285" s="1854" t="s">
        <v>1416</v>
      </c>
      <c r="B285" s="1858" t="s">
        <v>2195</v>
      </c>
      <c r="C285" s="1868"/>
      <c r="D285" s="1868"/>
      <c r="E285" s="1868"/>
      <c r="F285" s="1860">
        <v>0.05</v>
      </c>
    </row>
    <row r="286" spans="1:6" ht="24.75" thickBot="1">
      <c r="A286" s="1854" t="s">
        <v>1416</v>
      </c>
      <c r="B286" s="1858" t="s">
        <v>2196</v>
      </c>
      <c r="C286" s="1868"/>
      <c r="D286" s="1868"/>
      <c r="E286" s="1868"/>
      <c r="F286" s="1860">
        <v>0.05</v>
      </c>
    </row>
    <row r="287" spans="1:6" ht="24.75" thickBot="1">
      <c r="A287" s="1854" t="s">
        <v>1416</v>
      </c>
      <c r="B287" s="1858" t="s">
        <v>2197</v>
      </c>
      <c r="C287" s="1868"/>
      <c r="D287" s="1868"/>
      <c r="E287" s="1868"/>
      <c r="F287" s="1860">
        <v>0.05</v>
      </c>
    </row>
    <row r="288" spans="1:6" ht="24.75" thickBot="1">
      <c r="A288" s="1854" t="s">
        <v>1416</v>
      </c>
      <c r="B288" s="1858" t="s">
        <v>2198</v>
      </c>
      <c r="C288" s="1868"/>
      <c r="D288" s="1868"/>
      <c r="E288" s="1868"/>
      <c r="F288" s="1860">
        <v>0.05</v>
      </c>
    </row>
    <row r="289" spans="1:6" ht="24.75" thickBot="1">
      <c r="A289" s="1862" t="s">
        <v>1416</v>
      </c>
      <c r="B289" s="1869" t="s">
        <v>2199</v>
      </c>
      <c r="C289" s="1865"/>
      <c r="D289" s="1865"/>
      <c r="E289" s="1865"/>
      <c r="F289" s="1870">
        <v>0.05</v>
      </c>
    </row>
    <row r="290" spans="1:6" ht="14.25" thickBot="1">
      <c r="A290" s="1854" t="s">
        <v>1420</v>
      </c>
      <c r="B290" s="1855" t="s">
        <v>2200</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2201</v>
      </c>
      <c r="C292" s="1859">
        <v>0.15</v>
      </c>
      <c r="D292" s="1859">
        <v>0.15</v>
      </c>
      <c r="E292" s="1859">
        <v>0.15</v>
      </c>
      <c r="F292" s="1860">
        <v>0.14699999999999999</v>
      </c>
    </row>
    <row r="293" spans="1:6" ht="14.25" thickBot="1">
      <c r="A293" s="1854" t="s">
        <v>1420</v>
      </c>
      <c r="B293" s="1858" t="s">
        <v>2202</v>
      </c>
      <c r="C293" s="1868"/>
      <c r="D293" s="1868"/>
      <c r="E293" s="1868"/>
      <c r="F293" s="1860">
        <v>0.1</v>
      </c>
    </row>
    <row r="294" spans="1:6" ht="14.25" thickBot="1">
      <c r="A294" s="1854" t="s">
        <v>1420</v>
      </c>
      <c r="B294" s="1858" t="s">
        <v>2203</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2204</v>
      </c>
      <c r="C296" s="1859">
        <v>0.15</v>
      </c>
      <c r="D296" s="1859">
        <v>0.15</v>
      </c>
      <c r="E296" s="1859">
        <v>0.15</v>
      </c>
      <c r="F296" s="1860">
        <v>0.15</v>
      </c>
    </row>
    <row r="297" spans="1:6" ht="14.25" thickBot="1">
      <c r="A297" s="1854" t="s">
        <v>1420</v>
      </c>
      <c r="B297" s="1858" t="s">
        <v>2205</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2206</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2207</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2208</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2209</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2210</v>
      </c>
      <c r="C310" s="1859">
        <v>0.15</v>
      </c>
      <c r="D310" s="1859">
        <v>0.15</v>
      </c>
      <c r="E310" s="1859">
        <v>0.15</v>
      </c>
      <c r="F310" s="1860">
        <v>0.13700000000000001</v>
      </c>
    </row>
    <row r="311" spans="1:6" ht="14.25" thickBot="1">
      <c r="A311" s="1854" t="s">
        <v>1420</v>
      </c>
      <c r="B311" s="1858" t="s">
        <v>2211</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2212</v>
      </c>
      <c r="C313" s="1859">
        <v>0.15</v>
      </c>
      <c r="D313" s="1859">
        <v>0.15</v>
      </c>
      <c r="E313" s="1859">
        <v>0.15</v>
      </c>
      <c r="F313" s="1860">
        <v>0.15</v>
      </c>
    </row>
    <row r="314" spans="1:6" ht="24.75" thickBot="1">
      <c r="A314" s="1854" t="s">
        <v>1420</v>
      </c>
      <c r="B314" s="1858" t="s">
        <v>2213</v>
      </c>
      <c r="C314" s="1868"/>
      <c r="D314" s="1868"/>
      <c r="E314" s="1868"/>
      <c r="F314" s="1860">
        <v>0.05</v>
      </c>
    </row>
    <row r="315" spans="1:6" ht="24.75" thickBot="1">
      <c r="A315" s="1854" t="s">
        <v>1420</v>
      </c>
      <c r="B315" s="1858" t="s">
        <v>2214</v>
      </c>
      <c r="C315" s="1868"/>
      <c r="D315" s="1868"/>
      <c r="E315" s="1868"/>
      <c r="F315" s="1860">
        <v>0.05</v>
      </c>
    </row>
    <row r="316" spans="1:6" ht="24.75" thickBot="1">
      <c r="A316" s="1862" t="s">
        <v>1420</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1108</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1177</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1197</v>
      </c>
      <c r="C328" s="1859">
        <v>0.15</v>
      </c>
      <c r="D328" s="1859">
        <v>0.15</v>
      </c>
      <c r="E328" s="1859">
        <v>0.15</v>
      </c>
      <c r="F328" s="1860">
        <v>0.14099999999999999</v>
      </c>
    </row>
    <row r="329" spans="1:6" ht="14.25" thickBot="1">
      <c r="A329" s="1854" t="s">
        <v>2216</v>
      </c>
      <c r="B329" s="1858" t="s">
        <v>1207</v>
      </c>
      <c r="C329" s="1859">
        <v>0.15</v>
      </c>
      <c r="D329" s="1859">
        <v>0.15</v>
      </c>
      <c r="E329" s="1859">
        <v>0.15</v>
      </c>
      <c r="F329" s="1860">
        <v>0.15</v>
      </c>
    </row>
    <row r="330" spans="1:6" ht="14.25" thickBot="1">
      <c r="A330" s="1854" t="s">
        <v>2216</v>
      </c>
      <c r="B330" s="1858" t="s">
        <v>1217</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1237</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1257</v>
      </c>
      <c r="C334" s="1859">
        <v>0.15</v>
      </c>
      <c r="D334" s="1859">
        <v>0.15</v>
      </c>
      <c r="E334" s="1859">
        <v>0.15</v>
      </c>
      <c r="F334" s="1860">
        <v>0.15</v>
      </c>
    </row>
    <row r="335" spans="1:6" ht="14.25" thickBot="1">
      <c r="A335" s="1854" t="s">
        <v>2216</v>
      </c>
      <c r="B335" s="1858" t="s">
        <v>1267</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1285</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33" sqref="H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2940</v>
      </c>
      <c r="B1" s="3133"/>
      <c r="C1" s="3133"/>
      <c r="D1" s="3133"/>
      <c r="E1" s="3133"/>
      <c r="F1" s="3133"/>
    </row>
    <row r="2" spans="1:6" ht="14.25">
      <c r="A2" s="3134" t="s">
        <v>2934</v>
      </c>
      <c r="B2" s="3135" t="e">
        <f ca="1">SUMIF(B7:B14,"&lt;&gt;#ref!",B7:B14)</f>
        <v>#DIV/0!</v>
      </c>
      <c r="C2" s="3134" t="s">
        <v>2935</v>
      </c>
      <c r="D2" s="3133"/>
      <c r="E2" s="3133"/>
      <c r="F2" s="3133"/>
    </row>
    <row r="3" spans="1:6" ht="14.25">
      <c r="A3" s="3134" t="s">
        <v>2937</v>
      </c>
      <c r="B3" s="3135" t="e">
        <f ca="1">ROUND(B2*10000/E3,0)</f>
        <v>#DIV/0!</v>
      </c>
      <c r="C3" s="3134" t="s">
        <v>2078</v>
      </c>
      <c r="D3" s="3134" t="s">
        <v>2936</v>
      </c>
      <c r="E3" s="3135" t="e">
        <f ca="1">SUM(E7:E14)</f>
        <v>#REF!</v>
      </c>
      <c r="F3" s="3133"/>
    </row>
    <row r="4" spans="1:6" ht="14.25">
      <c r="A4" s="3134" t="s">
        <v>2944</v>
      </c>
      <c r="B4" s="3135" t="e">
        <f ca="1">ROUND(B2*10000/E4,0)</f>
        <v>#DIV/0!</v>
      </c>
      <c r="C4" s="3134" t="s">
        <v>2078</v>
      </c>
      <c r="D4" s="3134" t="s">
        <v>2945</v>
      </c>
      <c r="E4" s="3135" t="e">
        <f ca="1">SUM(F7:F14)</f>
        <v>#REF!</v>
      </c>
      <c r="F4" s="3133"/>
    </row>
    <row r="5" spans="1:6" ht="14.25">
      <c r="A5" s="3136"/>
      <c r="B5" s="1880"/>
      <c r="C5" s="1880"/>
      <c r="D5" s="1880"/>
      <c r="E5" s="1880"/>
      <c r="F5" s="3133"/>
    </row>
    <row r="6" spans="1:6" ht="28.5">
      <c r="A6" s="3137" t="s">
        <v>2941</v>
      </c>
      <c r="B6" s="3134" t="s">
        <v>2938</v>
      </c>
      <c r="C6" s="3135"/>
      <c r="D6" s="1880"/>
      <c r="E6" s="3134" t="s">
        <v>2939</v>
      </c>
      <c r="F6" s="3134" t="s">
        <v>2943</v>
      </c>
    </row>
    <row r="7" spans="1:6" ht="14.25">
      <c r="A7" s="259" t="s">
        <v>2942</v>
      </c>
      <c r="B7" s="3138" t="e">
        <f ca="1">SUMIF(INDIRECT("'"&amp;A7&amp;"'"&amp;"!A:A"),"总价",INDIRECT("'"&amp;A7&amp;"'"&amp;"!B:B"))</f>
        <v>#DIV/0!</v>
      </c>
      <c r="C7" s="3134" t="s">
        <v>2935</v>
      </c>
      <c r="D7" s="1880"/>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2935</v>
      </c>
      <c r="D8" s="1880"/>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2935</v>
      </c>
      <c r="D9" s="1880"/>
      <c r="E9" s="3139" t="e">
        <f t="shared" ca="1" si="1"/>
        <v>#REF!</v>
      </c>
      <c r="F9" s="3139" t="e">
        <f t="shared" ca="1" si="2"/>
        <v>#REF!</v>
      </c>
    </row>
    <row r="10" spans="1:6" ht="14.25">
      <c r="A10" s="259"/>
      <c r="B10" s="3138" t="e">
        <f t="shared" ca="1" si="0"/>
        <v>#REF!</v>
      </c>
      <c r="C10" s="3134" t="s">
        <v>2935</v>
      </c>
      <c r="D10" s="1880"/>
      <c r="E10" s="3139" t="e">
        <f t="shared" ca="1" si="1"/>
        <v>#REF!</v>
      </c>
      <c r="F10" s="3139" t="e">
        <f t="shared" ca="1" si="2"/>
        <v>#REF!</v>
      </c>
    </row>
    <row r="11" spans="1:6" ht="14.25">
      <c r="A11" s="259"/>
      <c r="B11" s="3138" t="e">
        <f t="shared" ca="1" si="0"/>
        <v>#REF!</v>
      </c>
      <c r="C11" s="3134" t="s">
        <v>2935</v>
      </c>
      <c r="D11" s="1880"/>
      <c r="E11" s="3139" t="e">
        <f t="shared" ca="1" si="1"/>
        <v>#REF!</v>
      </c>
      <c r="F11" s="3139" t="e">
        <f t="shared" ca="1" si="2"/>
        <v>#REF!</v>
      </c>
    </row>
    <row r="12" spans="1:6" ht="14.25">
      <c r="A12" s="259"/>
      <c r="B12" s="3138" t="e">
        <f t="shared" ca="1" si="0"/>
        <v>#REF!</v>
      </c>
      <c r="C12" s="3134" t="s">
        <v>2935</v>
      </c>
      <c r="D12" s="1880"/>
      <c r="E12" s="3139" t="e">
        <f t="shared" ca="1" si="1"/>
        <v>#REF!</v>
      </c>
      <c r="F12" s="3139" t="e">
        <f t="shared" ca="1" si="2"/>
        <v>#REF!</v>
      </c>
    </row>
    <row r="13" spans="1:6" ht="14.25">
      <c r="A13" s="259"/>
      <c r="B13" s="3138" t="e">
        <f t="shared" ca="1" si="0"/>
        <v>#REF!</v>
      </c>
      <c r="C13" s="3134" t="s">
        <v>2935</v>
      </c>
      <c r="D13" s="1880"/>
      <c r="E13" s="3139" t="e">
        <f t="shared" ca="1" si="1"/>
        <v>#REF!</v>
      </c>
      <c r="F13" s="3139" t="e">
        <f t="shared" ca="1" si="2"/>
        <v>#REF!</v>
      </c>
    </row>
    <row r="14" spans="1:6" ht="14.25">
      <c r="A14" s="3132"/>
      <c r="B14" s="3138" t="e">
        <f t="shared" ca="1" si="0"/>
        <v>#REF!</v>
      </c>
      <c r="C14" s="3134" t="s">
        <v>2935</v>
      </c>
      <c r="D14" s="1880"/>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H33" sqref="H33"/>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629</v>
      </c>
      <c r="B1" s="737"/>
      <c r="C1" s="772"/>
      <c r="D1" s="2049"/>
      <c r="E1" s="2410" t="s">
        <v>2372</v>
      </c>
      <c r="F1" s="2411">
        <f ca="1">J54</f>
        <v>0</v>
      </c>
      <c r="G1" s="773">
        <f>MATCH(C1,'数据-取费表'!A6:A16,0)+5</f>
        <v>9</v>
      </c>
      <c r="H1" s="1349"/>
      <c r="I1" s="2050"/>
      <c r="J1" s="2050"/>
      <c r="K1" s="2051"/>
      <c r="L1" s="2050"/>
      <c r="M1" s="2050"/>
      <c r="N1" s="2052"/>
      <c r="O1" s="2052"/>
      <c r="P1" s="2052"/>
      <c r="Q1" s="2052"/>
      <c r="R1" s="2052"/>
      <c r="S1" s="2052"/>
      <c r="T1" s="2052"/>
      <c r="U1" s="2052"/>
      <c r="V1" s="2052"/>
      <c r="W1" s="2052"/>
      <c r="X1" s="2052"/>
      <c r="Y1" s="2052"/>
    </row>
    <row r="2" spans="1:25" ht="18" customHeight="1">
      <c r="A2" s="1643" t="s">
        <v>630</v>
      </c>
      <c r="B2" s="774">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5" t="s">
        <v>696</v>
      </c>
      <c r="I3" s="2056"/>
      <c r="J3" s="2056"/>
      <c r="K3" s="2057"/>
      <c r="L3" s="2056"/>
      <c r="M3" s="2056"/>
    </row>
    <row r="4" spans="1:25" ht="18" customHeight="1">
      <c r="A4" s="1645" t="s">
        <v>697</v>
      </c>
      <c r="B4" s="1351">
        <f ca="1">ROUND(B2*10000/'数据-汇总表'!D3,0)</f>
        <v>0</v>
      </c>
      <c r="C4" s="427"/>
      <c r="D4" s="2054"/>
      <c r="E4" s="2055"/>
      <c r="F4" s="2055"/>
      <c r="G4" s="1589"/>
      <c r="H4" s="775"/>
      <c r="I4" s="2056"/>
      <c r="J4" s="2056"/>
      <c r="K4" s="2057"/>
      <c r="L4" s="2056"/>
      <c r="M4" s="2056"/>
    </row>
    <row r="5" spans="1:25" ht="18" customHeight="1" thickBot="1">
      <c r="A5" s="1646"/>
      <c r="B5" s="429">
        <f ca="1">ROUND(B2/('数据-汇总表'!D3/666.67),0)</f>
        <v>0</v>
      </c>
      <c r="C5" s="430" t="s">
        <v>698</v>
      </c>
      <c r="D5" s="2054"/>
      <c r="E5" s="2055"/>
      <c r="F5" s="2055"/>
      <c r="G5" s="1589"/>
      <c r="H5" s="775"/>
      <c r="I5" s="2056"/>
      <c r="J5" s="2056"/>
      <c r="K5" s="2057"/>
      <c r="L5" s="2056"/>
      <c r="M5" s="2056"/>
    </row>
    <row r="6" spans="1:25" ht="18" customHeight="1">
      <c r="A6" s="1827" t="s">
        <v>699</v>
      </c>
      <c r="B6" s="1819" t="s">
        <v>700</v>
      </c>
      <c r="C6" s="1819" t="s">
        <v>633</v>
      </c>
      <c r="D6" s="1819" t="s">
        <v>634</v>
      </c>
      <c r="E6" s="778" t="s">
        <v>635</v>
      </c>
      <c r="F6" s="779"/>
      <c r="G6" s="1591"/>
      <c r="H6" s="1827" t="s">
        <v>631</v>
      </c>
      <c r="I6" s="1819" t="s">
        <v>632</v>
      </c>
      <c r="J6" s="1819" t="s">
        <v>633</v>
      </c>
      <c r="K6" s="1819" t="s">
        <v>634</v>
      </c>
      <c r="L6" s="778" t="s">
        <v>635</v>
      </c>
      <c r="M6" s="779"/>
    </row>
    <row r="7" spans="1:25" ht="18" customHeight="1">
      <c r="A7" s="780">
        <v>1</v>
      </c>
      <c r="B7" s="781" t="s">
        <v>2457</v>
      </c>
      <c r="C7" s="53">
        <f ca="1">C8+C12+C14</f>
        <v>0</v>
      </c>
      <c r="D7" s="2519" t="s">
        <v>2460</v>
      </c>
      <c r="E7" s="2513"/>
      <c r="F7" s="2514"/>
      <c r="G7" s="1591"/>
      <c r="H7" s="780">
        <v>1</v>
      </c>
      <c r="I7" s="781" t="s">
        <v>2457</v>
      </c>
      <c r="J7" s="53">
        <f ca="1">J8+J12+J14</f>
        <v>0</v>
      </c>
      <c r="K7" s="2519" t="s">
        <v>2460</v>
      </c>
      <c r="L7" s="2513"/>
      <c r="M7" s="2514"/>
    </row>
    <row r="8" spans="1:25" ht="18" customHeight="1">
      <c r="A8" s="1829" t="s">
        <v>1825</v>
      </c>
      <c r="B8" s="3793" t="s">
        <v>2462</v>
      </c>
      <c r="C8" s="1824">
        <f ca="1">ROUND(F8*F10*F9*(1-F11)/10000,0)</f>
        <v>0</v>
      </c>
      <c r="D8" s="1821" t="s">
        <v>2534</v>
      </c>
      <c r="E8" s="61" t="s">
        <v>638</v>
      </c>
      <c r="F8" s="784">
        <f ca="1">INDIRECT("'数据-取费表'!u"&amp;$G$1)</f>
        <v>0</v>
      </c>
      <c r="G8" s="1591"/>
      <c r="H8" s="2527" t="s">
        <v>1825</v>
      </c>
      <c r="I8" s="3793" t="s">
        <v>2462</v>
      </c>
      <c r="J8" s="782">
        <f ca="1">ROUND(M8*M10*M9*(1-M11)/10000,0)</f>
        <v>0</v>
      </c>
      <c r="K8" s="340" t="s">
        <v>2534</v>
      </c>
      <c r="L8" s="783" t="s">
        <v>1739</v>
      </c>
      <c r="M8" s="784">
        <f ca="1">INDIRECT("'数据-取费表'!z"&amp;$G$1)</f>
        <v>0</v>
      </c>
    </row>
    <row r="9" spans="1:25" ht="18" customHeight="1">
      <c r="A9" s="2523"/>
      <c r="B9" s="3794"/>
      <c r="C9" s="1825"/>
      <c r="D9" s="1822"/>
      <c r="E9" s="61" t="s">
        <v>639</v>
      </c>
      <c r="F9" s="784">
        <f ca="1">IF(INDIRECT("'数据-取费表'!ah"&amp;$G$1)="",INDIRECT("'数据-取费表'!k"&amp;$G$1),INDIRECT("'数据-取费表'!ah"&amp;$G$1))</f>
        <v>0</v>
      </c>
      <c r="G9" s="1591"/>
      <c r="H9" s="2512"/>
      <c r="I9" s="3794"/>
      <c r="J9" s="787"/>
      <c r="K9" s="788"/>
      <c r="L9" s="783" t="s">
        <v>1740</v>
      </c>
      <c r="M9" s="784">
        <f ca="1">F9</f>
        <v>0</v>
      </c>
    </row>
    <row r="10" spans="1:25" ht="18" customHeight="1">
      <c r="A10" s="2516"/>
      <c r="B10" s="3795"/>
      <c r="C10" s="1825"/>
      <c r="D10" s="1822"/>
      <c r="E10" s="61" t="s">
        <v>640</v>
      </c>
      <c r="F10" s="784">
        <f ca="1">INDIRECT("'数据-取费表'!ai"&amp;$G$1)</f>
        <v>0</v>
      </c>
      <c r="G10" s="1591"/>
      <c r="H10" s="2512"/>
      <c r="I10" s="3795"/>
      <c r="J10" s="787"/>
      <c r="K10" s="788"/>
      <c r="L10" s="783" t="s">
        <v>1741</v>
      </c>
      <c r="M10" s="784">
        <f ca="1">INDIRECT("'数据-取费表'!ai"&amp;$G$1)</f>
        <v>0</v>
      </c>
    </row>
    <row r="11" spans="1:25" ht="18" customHeight="1">
      <c r="A11" s="785"/>
      <c r="B11" s="3796"/>
      <c r="C11" s="1825"/>
      <c r="D11" s="1822"/>
      <c r="E11" s="61" t="s">
        <v>641</v>
      </c>
      <c r="F11" s="793">
        <f ca="1">INDIRECT("'数据-取费表'!w"&amp;$G$1)</f>
        <v>0</v>
      </c>
      <c r="G11" s="1591"/>
      <c r="H11" s="2528"/>
      <c r="I11" s="3795"/>
      <c r="J11" s="787"/>
      <c r="K11" s="788"/>
      <c r="L11" s="794" t="s">
        <v>1742</v>
      </c>
      <c r="M11" s="795">
        <f ca="1">INDIRECT("'数据-取费表'!ab"&amp;$G$1)</f>
        <v>0</v>
      </c>
    </row>
    <row r="12" spans="1:25" ht="18" customHeight="1">
      <c r="A12" s="1829" t="s">
        <v>1826</v>
      </c>
      <c r="B12" s="2517" t="s">
        <v>2458</v>
      </c>
      <c r="C12" s="798">
        <f ca="1">ROUND(IF(F12="押一",F8*F10*F9/12*F13,IF(F12="押二",F8*F10*F9/12*2*F13,IF(F12="押三",F8*F10*F9/12*3*F13,C13*F13)))/10000,0)</f>
        <v>0</v>
      </c>
      <c r="D12" s="2524" t="s">
        <v>2465</v>
      </c>
      <c r="E12" s="2521" t="s">
        <v>2463</v>
      </c>
      <c r="F12" s="2644"/>
      <c r="G12" s="1591"/>
      <c r="H12" s="2584" t="s">
        <v>1826</v>
      </c>
      <c r="I12" s="2589" t="s">
        <v>2458</v>
      </c>
      <c r="J12" s="782">
        <f ca="1">ROUND(IF(M12="押一",M8*M10*M9/12*M13,IF(M12="押二",M8*M10*M9/12*2*M13,IF(M12="押三",M8*M10*M9/12*3*M13,J13*M13)))/10000,0)</f>
        <v>0</v>
      </c>
      <c r="K12" s="2524" t="s">
        <v>2465</v>
      </c>
      <c r="L12" s="2521" t="s">
        <v>2463</v>
      </c>
      <c r="M12" s="2644"/>
    </row>
    <row r="13" spans="1:25" ht="18" customHeight="1">
      <c r="A13" s="789"/>
      <c r="B13" s="2518" t="s">
        <v>2573</v>
      </c>
      <c r="C13" s="2522"/>
      <c r="D13" s="788"/>
      <c r="E13" s="2521" t="s">
        <v>2455</v>
      </c>
      <c r="F13" s="795">
        <f ca="1">'数据-取费表'!B39</f>
        <v>1.4999999999999999E-2</v>
      </c>
      <c r="G13" s="1591"/>
      <c r="H13" s="2585"/>
      <c r="I13" s="2518" t="s">
        <v>2573</v>
      </c>
      <c r="J13" s="2522"/>
      <c r="K13" s="2586"/>
      <c r="L13" s="2521" t="s">
        <v>2455</v>
      </c>
      <c r="M13" s="2515">
        <f ca="1">'数据-取费表'!B39</f>
        <v>1.4999999999999999E-2</v>
      </c>
    </row>
    <row r="14" spans="1:25" ht="18" customHeight="1" thickBot="1">
      <c r="A14" s="2560" t="s">
        <v>2467</v>
      </c>
      <c r="B14" s="2561" t="s">
        <v>2459</v>
      </c>
      <c r="C14" s="2562"/>
      <c r="D14" s="2563"/>
      <c r="E14" s="2564"/>
      <c r="F14" s="2565"/>
      <c r="G14" s="1591"/>
      <c r="H14" s="2574" t="s">
        <v>2467</v>
      </c>
      <c r="I14" s="2587" t="s">
        <v>2459</v>
      </c>
      <c r="J14" s="2588"/>
      <c r="K14" s="2563"/>
      <c r="L14" s="2564"/>
      <c r="M14" s="2577"/>
    </row>
    <row r="15" spans="1:25" ht="18" customHeight="1" thickTop="1">
      <c r="A15" s="1828" t="s">
        <v>1875</v>
      </c>
      <c r="B15" s="1826" t="s">
        <v>642</v>
      </c>
      <c r="C15" s="791">
        <f ca="1">ROUND(C31*F15,0)</f>
        <v>0</v>
      </c>
      <c r="D15" s="1833" t="s">
        <v>643</v>
      </c>
      <c r="E15" s="794" t="s">
        <v>644</v>
      </c>
      <c r="F15" s="799">
        <f ca="1">INDIRECT("'数据-取费表'!y"&amp;$G$1)</f>
        <v>0</v>
      </c>
      <c r="G15" s="1591"/>
      <c r="H15" s="1828" t="s">
        <v>1827</v>
      </c>
      <c r="I15" s="1826" t="s">
        <v>645</v>
      </c>
      <c r="J15" s="1818">
        <f ca="1">ROUND(J16*J17,0)</f>
        <v>0</v>
      </c>
      <c r="K15" s="1820" t="s">
        <v>643</v>
      </c>
      <c r="L15" s="800"/>
      <c r="M15" s="801"/>
    </row>
    <row r="16" spans="1:25" ht="18" customHeight="1">
      <c r="A16" s="802" t="s">
        <v>1876</v>
      </c>
      <c r="B16" s="783" t="s">
        <v>646</v>
      </c>
      <c r="C16" s="803">
        <f ca="1">INDIRECT("'数据-取费表'!m"&amp;$G$1)+INDIRECT("'数据-取费表'!t"&amp;$G$1)</f>
        <v>0</v>
      </c>
      <c r="D16" s="1978" t="s">
        <v>647</v>
      </c>
      <c r="E16" s="1979"/>
      <c r="F16" s="804"/>
      <c r="G16" s="1591"/>
      <c r="H16" s="802" t="s">
        <v>2069</v>
      </c>
      <c r="I16" s="2230" t="s">
        <v>2824</v>
      </c>
      <c r="J16" s="53">
        <f ca="1">C31</f>
        <v>0</v>
      </c>
      <c r="K16" s="26"/>
      <c r="L16" s="800"/>
      <c r="M16" s="801"/>
    </row>
    <row r="17" spans="1:25" s="2063" customFormat="1" ht="18" customHeight="1">
      <c r="A17" s="802" t="s">
        <v>1850</v>
      </c>
      <c r="B17" s="783" t="s">
        <v>648</v>
      </c>
      <c r="C17" s="53">
        <f ca="1">ROUND(C16*F17,0)</f>
        <v>0</v>
      </c>
      <c r="D17" s="805" t="s">
        <v>649</v>
      </c>
      <c r="E17" s="805" t="s">
        <v>650</v>
      </c>
      <c r="F17" s="806">
        <f>'数据-取费表'!B33</f>
        <v>0.03</v>
      </c>
      <c r="G17" s="1592"/>
      <c r="H17" s="802" t="s">
        <v>2070</v>
      </c>
      <c r="I17" s="783" t="s">
        <v>644</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1851</v>
      </c>
      <c r="B18" s="783" t="s">
        <v>651</v>
      </c>
      <c r="C18" s="53">
        <f ca="1">ROUND(INDIRECT("'数据-取费表'!m"&amp;$G$1)*F18,0)</f>
        <v>0</v>
      </c>
      <c r="D18" s="783" t="s">
        <v>649</v>
      </c>
      <c r="E18" s="783" t="s">
        <v>650</v>
      </c>
      <c r="F18" s="808">
        <f ca="1">IF(INDIRECT("'数据-取费表'!c"&amp;$G$1)="住宅",'数据-取费表'!B34,0)</f>
        <v>0</v>
      </c>
      <c r="G18" s="1591"/>
      <c r="H18" s="796" t="s">
        <v>1828</v>
      </c>
      <c r="I18" s="797" t="s">
        <v>652</v>
      </c>
      <c r="J18" s="798">
        <f ca="1">ROUND(J19+J24+J25+J26,0)</f>
        <v>0</v>
      </c>
      <c r="K18" s="26" t="s">
        <v>653</v>
      </c>
      <c r="L18" s="1981"/>
      <c r="M18" s="56"/>
    </row>
    <row r="19" spans="1:25" s="2063" customFormat="1" ht="18" customHeight="1">
      <c r="A19" s="802" t="s">
        <v>1852</v>
      </c>
      <c r="B19" s="783" t="s">
        <v>654</v>
      </c>
      <c r="C19" s="53">
        <f ca="1">ROUND(F19*(INDIRECT("'数据-取费表'!k"&amp;$G$1)+INDIRECT("'数据-取费表'!S"&amp;$G$1))/10000,0)</f>
        <v>0</v>
      </c>
      <c r="D19" s="783" t="s">
        <v>655</v>
      </c>
      <c r="E19" s="783" t="s">
        <v>656</v>
      </c>
      <c r="F19" s="56">
        <f>'数据-取费表'!B35</f>
        <v>200</v>
      </c>
      <c r="G19" s="1592"/>
      <c r="H19" s="802" t="s">
        <v>2069</v>
      </c>
      <c r="I19" s="783" t="s">
        <v>657</v>
      </c>
      <c r="J19" s="53">
        <f ca="1">ROUND(IF(项目基本情况!B11="自然人",J7*M19,J20+J21+J22),0)</f>
        <v>0</v>
      </c>
      <c r="K19" s="1978" t="s">
        <v>658</v>
      </c>
      <c r="L19" s="1976" t="s">
        <v>659</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1853</v>
      </c>
      <c r="B20" s="783" t="s">
        <v>660</v>
      </c>
      <c r="C20" s="53">
        <f ca="1">ROUND(C16*F20,0)</f>
        <v>0</v>
      </c>
      <c r="D20" s="783" t="s">
        <v>649</v>
      </c>
      <c r="E20" s="783" t="s">
        <v>650</v>
      </c>
      <c r="F20" s="808">
        <f>'数据-取费表'!B36</f>
        <v>1.4999999999999999E-2</v>
      </c>
      <c r="G20" s="1592"/>
      <c r="H20" s="802" t="s">
        <v>1832</v>
      </c>
      <c r="I20" s="783" t="s">
        <v>661</v>
      </c>
      <c r="J20" s="53">
        <f ca="1">ROUND(J7*M20/1.05,1)</f>
        <v>0</v>
      </c>
      <c r="K20" s="1976" t="s">
        <v>662</v>
      </c>
      <c r="L20" s="783" t="s">
        <v>650</v>
      </c>
      <c r="M20" s="808">
        <f>'数据-取费表'!B41</f>
        <v>5.6000000000000001E-2</v>
      </c>
      <c r="N20" s="2062"/>
      <c r="O20" s="2062"/>
      <c r="P20" s="2062"/>
      <c r="Q20" s="2062"/>
      <c r="R20" s="2062"/>
      <c r="S20" s="2062"/>
      <c r="T20" s="2062"/>
      <c r="U20" s="2062"/>
      <c r="V20" s="2062"/>
      <c r="W20" s="2062"/>
      <c r="X20" s="2062"/>
      <c r="Y20" s="2062"/>
    </row>
    <row r="21" spans="1:25" ht="18" customHeight="1">
      <c r="A21" s="802" t="s">
        <v>1877</v>
      </c>
      <c r="B21" s="783" t="s">
        <v>663</v>
      </c>
      <c r="C21" s="53">
        <f ca="1">SUM(C16:C20)</f>
        <v>0</v>
      </c>
      <c r="D21" s="260" t="s">
        <v>664</v>
      </c>
      <c r="E21" s="1981"/>
      <c r="F21" s="56"/>
      <c r="G21" s="1591"/>
      <c r="H21" s="1829" t="s">
        <v>1850</v>
      </c>
      <c r="I21" s="783" t="s">
        <v>665</v>
      </c>
      <c r="J21" s="53">
        <f ca="1">IF(K21="按租金收入计税",ROUND(J7*M21,1),ROUND(C31*F35*0.7,1))</f>
        <v>0</v>
      </c>
      <c r="K21" s="810" t="s">
        <v>666</v>
      </c>
      <c r="L21" s="783" t="s">
        <v>650</v>
      </c>
      <c r="M21" s="808">
        <f>IF(K21="按租金收入计税",'数据-取费表'!B51,'数据-取费表'!B50)</f>
        <v>1.2E-2</v>
      </c>
    </row>
    <row r="22" spans="1:25" s="2063" customFormat="1" ht="18" customHeight="1">
      <c r="A22" s="802" t="s">
        <v>1878</v>
      </c>
      <c r="B22" s="783" t="s">
        <v>667</v>
      </c>
      <c r="C22" s="53">
        <f ca="1">ROUND(C21*F22,0)</f>
        <v>0</v>
      </c>
      <c r="D22" s="811" t="s">
        <v>668</v>
      </c>
      <c r="E22" s="783" t="s">
        <v>650</v>
      </c>
      <c r="F22" s="808">
        <f>'数据-取费表'!B37</f>
        <v>1.4999999999999999E-2</v>
      </c>
      <c r="G22" s="1592"/>
      <c r="H22" s="1831" t="s">
        <v>1851</v>
      </c>
      <c r="I22" s="1821" t="s">
        <v>669</v>
      </c>
      <c r="J22" s="54">
        <f ca="1">ROUND(M22*M23/10000,0)</f>
        <v>0</v>
      </c>
      <c r="K22" s="813" t="s">
        <v>670</v>
      </c>
      <c r="L22" s="783" t="s">
        <v>671</v>
      </c>
      <c r="M22" s="639">
        <f>'数据-取费表'!B52</f>
        <v>16</v>
      </c>
      <c r="N22" s="2062"/>
      <c r="O22" s="2062"/>
      <c r="P22" s="2062"/>
      <c r="Q22" s="2062"/>
      <c r="R22" s="2062"/>
      <c r="S22" s="2062"/>
      <c r="T22" s="2062"/>
      <c r="U22" s="2062"/>
      <c r="V22" s="2062"/>
      <c r="W22" s="2062"/>
      <c r="X22" s="2062"/>
      <c r="Y22" s="2062"/>
    </row>
    <row r="23" spans="1:25" s="2063" customFormat="1" ht="18" customHeight="1">
      <c r="A23" s="802" t="s">
        <v>1879</v>
      </c>
      <c r="B23" s="783" t="s">
        <v>672</v>
      </c>
      <c r="C23" s="53" t="s">
        <v>1</v>
      </c>
      <c r="D23" s="811" t="s">
        <v>673</v>
      </c>
      <c r="E23" s="783" t="s">
        <v>674</v>
      </c>
      <c r="F23" s="808">
        <f>'数据-取费表'!B38</f>
        <v>1.4999999999999999E-2</v>
      </c>
      <c r="G23" s="1592"/>
      <c r="H23" s="1832"/>
      <c r="I23" s="1823"/>
      <c r="J23" s="69"/>
      <c r="K23" s="815"/>
      <c r="L23" s="783" t="s">
        <v>675</v>
      </c>
      <c r="M23" s="784">
        <f ca="1">INDIRECT("'数据-取费表'!r"&amp;$G$1)</f>
        <v>0</v>
      </c>
      <c r="N23" s="2062"/>
      <c r="O23" s="2062"/>
      <c r="P23" s="2062"/>
      <c r="Q23" s="2062"/>
      <c r="R23" s="2062"/>
      <c r="S23" s="2062"/>
      <c r="T23" s="2062"/>
      <c r="U23" s="2062"/>
      <c r="V23" s="2062"/>
      <c r="W23" s="2062"/>
      <c r="X23" s="2062"/>
      <c r="Y23" s="2062"/>
    </row>
    <row r="24" spans="1:25" ht="18" customHeight="1">
      <c r="A24" s="802" t="s">
        <v>1880</v>
      </c>
      <c r="B24" s="783" t="s">
        <v>676</v>
      </c>
      <c r="C24" s="53"/>
      <c r="D24" s="2595" t="str">
        <f>IF(F25&lt;=1,"单利计息。","复利计息。")&amp;"建造成本、管理费用、销售费用产生的利息。"</f>
        <v>复利计息。建造成本、管理费用、销售费用产生的利息。</v>
      </c>
      <c r="E24" s="1981"/>
      <c r="F24" s="56"/>
      <c r="G24" s="1591"/>
      <c r="H24" s="1830" t="s">
        <v>2070</v>
      </c>
      <c r="I24" s="783" t="s">
        <v>677</v>
      </c>
      <c r="J24" s="53">
        <f ca="1">ROUND(J16*M24,0)</f>
        <v>0</v>
      </c>
      <c r="K24" s="1976" t="s">
        <v>678</v>
      </c>
      <c r="L24" s="783" t="s">
        <v>650</v>
      </c>
      <c r="M24" s="816">
        <f ca="1">INDIRECT("'数据-取费表'!Ak"&amp;$G$1)</f>
        <v>0</v>
      </c>
    </row>
    <row r="25" spans="1:25" s="2063" customFormat="1" ht="18" customHeight="1">
      <c r="A25" s="802" t="s">
        <v>1876</v>
      </c>
      <c r="B25" s="783" t="s">
        <v>2435</v>
      </c>
      <c r="C25" s="53">
        <f ca="1">ROUND(IF('数据-取费表'!B22&lt;=1,(C21+C22)*F26*F25/2,(C21+C22)*(POWER((1+F26),F25/2)-1)),0)</f>
        <v>0</v>
      </c>
      <c r="D25" s="2594" t="str">
        <f>IF(F25&lt;=1,"(建造成本+管理费用)×利率×(建设周期÷2)","(建造成本+管理费用)×((1+利率)^(建设周期÷2)-1)")</f>
        <v>(建造成本+管理费用)×((1+利率)^(建设周期÷2)-1)</v>
      </c>
      <c r="E25" s="783" t="s">
        <v>679</v>
      </c>
      <c r="F25" s="639">
        <f>'数据-取费表'!B20</f>
        <v>2</v>
      </c>
      <c r="G25" s="1592"/>
      <c r="H25" s="802" t="s">
        <v>1879</v>
      </c>
      <c r="I25" s="783" t="s">
        <v>680</v>
      </c>
      <c r="J25" s="53">
        <f ca="1">ROUND(J15*M25,0)</f>
        <v>0</v>
      </c>
      <c r="K25" s="1976" t="s">
        <v>681</v>
      </c>
      <c r="L25" s="783" t="s">
        <v>650</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1850</v>
      </c>
      <c r="B26" s="783" t="s">
        <v>682</v>
      </c>
      <c r="C26" s="53">
        <f ca="1">ROUND(IF('数据-取费表'!B22&lt;=1,F23*F26*F25/2,F23*(POWER((1+F26),F25/2)-1)),4)</f>
        <v>6.9999999999999999E-4</v>
      </c>
      <c r="D26" s="2594" t="str">
        <f>IF(F25&lt;=1,"销售费用×利率×(建设周期÷2)","销售费用×((1+利率)^(建设周期÷2)-1)")</f>
        <v>销售费用×((1+利率)^(建设周期÷2)-1)</v>
      </c>
      <c r="E26" s="783" t="s">
        <v>683</v>
      </c>
      <c r="F26" s="818">
        <f ca="1">'数据-取费表'!B40</f>
        <v>4.7500000000000001E-2</v>
      </c>
      <c r="G26" s="1592"/>
      <c r="H26" s="802" t="s">
        <v>1880</v>
      </c>
      <c r="I26" s="783" t="s">
        <v>667</v>
      </c>
      <c r="J26" s="53">
        <f ca="1">ROUND(J7*M26,0)</f>
        <v>0</v>
      </c>
      <c r="K26" s="1976" t="s">
        <v>684</v>
      </c>
      <c r="L26" s="783" t="s">
        <v>650</v>
      </c>
      <c r="M26" s="793">
        <f ca="1">INDIRECT("'数据-取费表'!Am"&amp;$G$1)</f>
        <v>0</v>
      </c>
      <c r="N26" s="2062"/>
      <c r="O26" s="2062"/>
      <c r="P26" s="2062"/>
      <c r="Q26" s="2062"/>
      <c r="R26" s="2062"/>
      <c r="S26" s="2062"/>
      <c r="T26" s="2062"/>
      <c r="U26" s="2062"/>
      <c r="V26" s="2062"/>
      <c r="W26" s="2062"/>
      <c r="X26" s="2062"/>
      <c r="Y26" s="2062"/>
    </row>
    <row r="27" spans="1:25" ht="18" customHeight="1">
      <c r="A27" s="802" t="s">
        <v>1882</v>
      </c>
      <c r="B27" s="783" t="s">
        <v>685</v>
      </c>
      <c r="C27" s="53"/>
      <c r="D27" s="260" t="s">
        <v>686</v>
      </c>
      <c r="E27" s="1981"/>
      <c r="F27" s="56"/>
      <c r="G27" s="1591"/>
      <c r="H27" s="796" t="s">
        <v>1829</v>
      </c>
      <c r="I27" s="3035" t="s">
        <v>2821</v>
      </c>
      <c r="J27" s="798">
        <f ca="1">J7-J18</f>
        <v>0</v>
      </c>
      <c r="K27" s="1978" t="s">
        <v>701</v>
      </c>
      <c r="L27" s="1980"/>
      <c r="M27" s="819"/>
    </row>
    <row r="28" spans="1:25" ht="18" customHeight="1">
      <c r="A28" s="802" t="s">
        <v>1876</v>
      </c>
      <c r="B28" s="783" t="s">
        <v>2436</v>
      </c>
      <c r="C28" s="53">
        <f ca="1">ROUND((C21+C22)*F28,0)</f>
        <v>0</v>
      </c>
      <c r="D28" s="811" t="s">
        <v>702</v>
      </c>
      <c r="E28" s="794" t="s">
        <v>703</v>
      </c>
      <c r="F28" s="793">
        <f ca="1">INDIRECT("'数据-取费表'!q"&amp;$G$1)</f>
        <v>0</v>
      </c>
      <c r="G28" s="1591"/>
      <c r="H28" s="780" t="s">
        <v>1838</v>
      </c>
      <c r="I28" s="781" t="s">
        <v>704</v>
      </c>
      <c r="J28" s="782">
        <f ca="1">IF(J7&lt;&gt;0,ROUND(J27*(1-((1+M30)/(1+M28))^M29)/(M28-M30),0),0)</f>
        <v>0</v>
      </c>
      <c r="K28" s="813" t="s">
        <v>705</v>
      </c>
      <c r="L28" s="783" t="s">
        <v>706</v>
      </c>
      <c r="M28" s="793">
        <f ca="1">INDIRECT("'数据-取费表'!I"&amp;$G$1)</f>
        <v>0</v>
      </c>
    </row>
    <row r="29" spans="1:25" ht="18" customHeight="1">
      <c r="A29" s="802" t="s">
        <v>1850</v>
      </c>
      <c r="B29" s="783" t="s">
        <v>687</v>
      </c>
      <c r="C29" s="53">
        <f ca="1">ROUND(F23*F28,4)</f>
        <v>0</v>
      </c>
      <c r="D29" s="811" t="s">
        <v>707</v>
      </c>
      <c r="E29" s="805"/>
      <c r="F29" s="806"/>
      <c r="G29" s="1591"/>
      <c r="H29" s="785"/>
      <c r="I29" s="786"/>
      <c r="J29" s="787"/>
      <c r="K29" s="820" t="s">
        <v>708</v>
      </c>
      <c r="L29" s="783" t="s">
        <v>709</v>
      </c>
      <c r="M29" s="821">
        <f ca="1">INDIRECT("'数据-取费表'!ag"&amp;$G$1)</f>
        <v>0</v>
      </c>
    </row>
    <row r="30" spans="1:25" s="2063" customFormat="1" ht="18" customHeight="1">
      <c r="A30" s="802" t="s">
        <v>1883</v>
      </c>
      <c r="B30" s="783" t="s">
        <v>688</v>
      </c>
      <c r="C30" s="53">
        <f>ROUND(F30/(1+'数据-取费表'!C42),4)</f>
        <v>5.33E-2</v>
      </c>
      <c r="D30" s="811" t="s">
        <v>710</v>
      </c>
      <c r="E30" s="783" t="s">
        <v>650</v>
      </c>
      <c r="F30" s="808">
        <f>'数据-取费表'!B41</f>
        <v>5.6000000000000001E-2</v>
      </c>
      <c r="G30" s="1592"/>
      <c r="H30" s="789"/>
      <c r="I30" s="790"/>
      <c r="J30" s="791"/>
      <c r="K30" s="815"/>
      <c r="L30" s="783" t="s">
        <v>711</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1884</v>
      </c>
      <c r="B31" s="2564" t="s">
        <v>2822</v>
      </c>
      <c r="C31" s="2567">
        <f ca="1">ROUND((C21+C22+C25+C28)/(1-F23-C26-C29-C30),0)</f>
        <v>0</v>
      </c>
      <c r="D31" s="2568"/>
      <c r="E31" s="2569"/>
      <c r="F31" s="2570"/>
      <c r="G31" s="1592"/>
      <c r="H31" s="822" t="s">
        <v>1873</v>
      </c>
      <c r="I31" s="3036" t="s">
        <v>2823</v>
      </c>
      <c r="J31" s="824">
        <f ca="1">ROUND(J28/(1+F45)^F46,0)</f>
        <v>0</v>
      </c>
      <c r="K31" s="825" t="s">
        <v>689</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690</v>
      </c>
      <c r="C32" s="791">
        <f ca="1">ROUND(C33+C38+C39+C40,0)</f>
        <v>0</v>
      </c>
      <c r="D32" s="1820" t="s">
        <v>653</v>
      </c>
      <c r="E32" s="2510"/>
      <c r="F32" s="2514"/>
      <c r="G32" s="2061"/>
      <c r="H32" s="2064"/>
      <c r="I32" s="2065"/>
      <c r="J32" s="2066"/>
      <c r="K32" s="2067"/>
      <c r="L32" s="2068"/>
      <c r="M32" s="2069"/>
    </row>
    <row r="33" spans="1:18" ht="18" customHeight="1">
      <c r="A33" s="802" t="s">
        <v>1877</v>
      </c>
      <c r="B33" s="783" t="s">
        <v>657</v>
      </c>
      <c r="C33" s="53">
        <f ca="1">ROUND(IF(项目基本情况!B11="自然人",C7*F33,C34+C35+C36),1)</f>
        <v>0</v>
      </c>
      <c r="D33" s="1978" t="s">
        <v>658</v>
      </c>
      <c r="E33" s="1976" t="s">
        <v>691</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1876</v>
      </c>
      <c r="B34" s="783" t="s">
        <v>661</v>
      </c>
      <c r="C34" s="53">
        <f ca="1">ROUND(C7*F34/1.05,1)</f>
        <v>0</v>
      </c>
      <c r="D34" s="1976" t="s">
        <v>662</v>
      </c>
      <c r="E34" s="783" t="s">
        <v>650</v>
      </c>
      <c r="F34" s="808">
        <f>'数据-取费表'!B41</f>
        <v>5.6000000000000001E-2</v>
      </c>
      <c r="G34" s="2061"/>
      <c r="H34" s="2070"/>
      <c r="I34" s="2071"/>
      <c r="J34" s="2072"/>
      <c r="K34" s="2073"/>
      <c r="L34" s="2074"/>
      <c r="M34" s="2075"/>
    </row>
    <row r="35" spans="1:18" ht="18" customHeight="1">
      <c r="A35" s="802" t="s">
        <v>1850</v>
      </c>
      <c r="B35" s="783" t="s">
        <v>665</v>
      </c>
      <c r="C35" s="53">
        <f ca="1">IF(D35="按租金收入计税",ROUND(C7*F35,1),IF(D35="按房产原值计税",ROUND(C31*F35*0.7,1),INDIRECT("'数据-取费表'!Aj"&amp;$G$1)))</f>
        <v>0</v>
      </c>
      <c r="D35" s="810" t="s">
        <v>1681</v>
      </c>
      <c r="E35" s="783" t="s">
        <v>650</v>
      </c>
      <c r="F35" s="808">
        <f>IF(D35="按租金收入计税",'数据-取费表'!B51,'数据-取费表'!B50)</f>
        <v>1.2E-2</v>
      </c>
      <c r="G35" s="2061"/>
      <c r="H35" s="2076"/>
      <c r="I35" s="2076"/>
      <c r="J35" s="2076"/>
      <c r="K35" s="2077"/>
      <c r="L35" s="2076"/>
      <c r="M35" s="2076"/>
    </row>
    <row r="36" spans="1:18" ht="18" customHeight="1">
      <c r="A36" s="812" t="s">
        <v>1881</v>
      </c>
      <c r="B36" s="340" t="s">
        <v>669</v>
      </c>
      <c r="C36" s="54">
        <f ca="1">ROUND(F36*F37/10000,1)</f>
        <v>0</v>
      </c>
      <c r="D36" s="813" t="s">
        <v>670</v>
      </c>
      <c r="E36" s="783" t="s">
        <v>671</v>
      </c>
      <c r="F36" s="639">
        <f>'数据-取费表'!B52</f>
        <v>16</v>
      </c>
      <c r="G36" s="2061"/>
      <c r="H36" s="2064"/>
      <c r="I36" s="3792"/>
      <c r="J36" s="2078"/>
      <c r="K36" s="2079"/>
      <c r="L36" s="2078"/>
      <c r="M36" s="2078"/>
    </row>
    <row r="37" spans="1:18" ht="18" customHeight="1">
      <c r="A37" s="814"/>
      <c r="B37" s="792"/>
      <c r="C37" s="69"/>
      <c r="D37" s="815"/>
      <c r="E37" s="783" t="s">
        <v>675</v>
      </c>
      <c r="F37" s="784">
        <f ca="1">INDIRECT("'数据-取费表'!r"&amp;$G$1)</f>
        <v>0</v>
      </c>
      <c r="G37" s="2061"/>
      <c r="H37" s="2064"/>
      <c r="I37" s="3792"/>
      <c r="J37" s="2076"/>
      <c r="K37" s="2077"/>
      <c r="L37" s="2076"/>
      <c r="M37" s="2076"/>
    </row>
    <row r="38" spans="1:18" ht="18" customHeight="1">
      <c r="A38" s="802" t="s">
        <v>1878</v>
      </c>
      <c r="B38" s="783" t="s">
        <v>677</v>
      </c>
      <c r="C38" s="53">
        <f ca="1">ROUND(C31*F38,1)</f>
        <v>0</v>
      </c>
      <c r="D38" s="1976" t="s">
        <v>692</v>
      </c>
      <c r="E38" s="783" t="s">
        <v>650</v>
      </c>
      <c r="F38" s="816">
        <f ca="1">INDIRECT("'数据-取费表'!Ak"&amp;$G$1)</f>
        <v>0</v>
      </c>
      <c r="G38" s="2061"/>
      <c r="H38" s="2076"/>
      <c r="I38" s="2080"/>
      <c r="J38" s="1987"/>
      <c r="K38" s="2081"/>
      <c r="L38" s="2076"/>
      <c r="M38" s="2076"/>
    </row>
    <row r="39" spans="1:18" ht="18" customHeight="1">
      <c r="A39" s="802" t="s">
        <v>1879</v>
      </c>
      <c r="B39" s="783" t="s">
        <v>680</v>
      </c>
      <c r="C39" s="53">
        <f ca="1">ROUND(C15*F39,1)</f>
        <v>0</v>
      </c>
      <c r="D39" s="1976" t="s">
        <v>681</v>
      </c>
      <c r="E39" s="783" t="s">
        <v>650</v>
      </c>
      <c r="F39" s="817">
        <f ca="1">INDIRECT("'数据-取费表'!Al"&amp;$G$1)</f>
        <v>0</v>
      </c>
      <c r="G39" s="2061"/>
      <c r="H39" s="2076"/>
      <c r="I39" s="2080"/>
      <c r="J39" s="1987"/>
      <c r="K39" s="2081"/>
      <c r="L39" s="2076"/>
      <c r="M39" s="2076"/>
    </row>
    <row r="40" spans="1:18" ht="18" customHeight="1" thickBot="1">
      <c r="A40" s="2583" t="s">
        <v>1880</v>
      </c>
      <c r="B40" s="2569" t="s">
        <v>667</v>
      </c>
      <c r="C40" s="2567">
        <f ca="1">ROUND(C7*F40,1)</f>
        <v>0</v>
      </c>
      <c r="D40" s="2568" t="s">
        <v>684</v>
      </c>
      <c r="E40" s="2569" t="s">
        <v>650</v>
      </c>
      <c r="F40" s="2565">
        <f ca="1">INDIRECT("'数据-取费表'!Am"&amp;$G$1)</f>
        <v>0</v>
      </c>
      <c r="G40" s="2061"/>
      <c r="H40" s="2076"/>
      <c r="I40" s="2080"/>
      <c r="J40" s="1987"/>
      <c r="K40" s="2082"/>
      <c r="L40" s="2076"/>
      <c r="M40" s="2076"/>
    </row>
    <row r="41" spans="1:18" ht="18" customHeight="1" thickTop="1">
      <c r="A41" s="1828">
        <v>4</v>
      </c>
      <c r="B41" s="1826" t="s">
        <v>693</v>
      </c>
      <c r="C41" s="1352"/>
      <c r="D41" s="1353"/>
      <c r="E41" s="1353"/>
      <c r="F41" s="1354"/>
      <c r="G41" s="2061"/>
      <c r="H41" s="2061"/>
      <c r="I41" s="2061"/>
      <c r="J41" s="2061"/>
      <c r="K41" s="2082"/>
      <c r="L41" s="2061"/>
      <c r="M41" s="2061"/>
    </row>
    <row r="42" spans="1:18" ht="18" customHeight="1">
      <c r="A42" s="802" t="s">
        <v>1877</v>
      </c>
      <c r="B42" s="834" t="s">
        <v>694</v>
      </c>
      <c r="C42" s="828">
        <f ca="1">C7-C32</f>
        <v>0</v>
      </c>
      <c r="D42" s="1978" t="s">
        <v>695</v>
      </c>
      <c r="E42" s="1980"/>
      <c r="F42" s="819"/>
      <c r="G42" s="2061"/>
      <c r="H42" s="2061"/>
      <c r="I42" s="2061"/>
      <c r="J42" s="2061"/>
      <c r="K42" s="2082"/>
      <c r="L42" s="2061"/>
      <c r="M42" s="2061"/>
    </row>
    <row r="43" spans="1:18" ht="18" customHeight="1">
      <c r="A43" s="802" t="s">
        <v>1878</v>
      </c>
      <c r="B43" s="834" t="s">
        <v>712</v>
      </c>
      <c r="C43" s="835">
        <f ca="1">ROUND(C15*F43,0)</f>
        <v>0</v>
      </c>
      <c r="D43" s="1355" t="s">
        <v>713</v>
      </c>
      <c r="E43" s="3152" t="s">
        <v>2953</v>
      </c>
      <c r="F43" s="3153">
        <f ca="1">INDIRECT("'数据-取费表'!j"&amp;$G$1)</f>
        <v>0</v>
      </c>
      <c r="G43" s="2061"/>
      <c r="H43" s="2061"/>
      <c r="I43" s="2061"/>
      <c r="J43" s="2061"/>
      <c r="K43" s="2082"/>
      <c r="L43" s="2061"/>
      <c r="M43" s="2061"/>
    </row>
    <row r="44" spans="1:18" ht="18" customHeight="1">
      <c r="A44" s="802" t="s">
        <v>1879</v>
      </c>
      <c r="B44" s="834" t="s">
        <v>714</v>
      </c>
      <c r="C44" s="1356">
        <f ca="1">C42-C43</f>
        <v>0</v>
      </c>
      <c r="D44" s="462" t="s">
        <v>715</v>
      </c>
      <c r="E44" s="463"/>
      <c r="F44" s="464"/>
      <c r="G44" s="2061"/>
      <c r="H44" s="2061"/>
      <c r="I44" s="2061"/>
      <c r="J44" s="2061"/>
      <c r="K44" s="2082"/>
      <c r="L44" s="2061"/>
      <c r="M44" s="2061"/>
    </row>
    <row r="45" spans="1:18" ht="18" customHeight="1">
      <c r="A45" s="802" t="s">
        <v>1880</v>
      </c>
      <c r="B45" s="1355" t="s">
        <v>716</v>
      </c>
      <c r="C45" s="3062">
        <f ca="1">ROUND(-PV(F45,F46,C44,0),0)</f>
        <v>0</v>
      </c>
      <c r="D45" s="1357" t="s">
        <v>717</v>
      </c>
      <c r="E45" s="805" t="s">
        <v>718</v>
      </c>
      <c r="F45" s="829">
        <f ca="1">INDIRECT("'数据-取费表'!h"&amp;$G$1)</f>
        <v>0</v>
      </c>
      <c r="G45" s="2061"/>
      <c r="H45" s="2061"/>
      <c r="I45" s="2061"/>
      <c r="J45" s="2061"/>
      <c r="K45" s="2082"/>
      <c r="L45" s="2061"/>
      <c r="M45" s="2061"/>
    </row>
    <row r="46" spans="1:18" ht="18" customHeight="1" thickBot="1">
      <c r="A46" s="830"/>
      <c r="B46" s="1358"/>
      <c r="C46" s="1359"/>
      <c r="D46" s="1360"/>
      <c r="E46" s="3154" t="s">
        <v>2956</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2340</v>
      </c>
      <c r="J47" s="2378"/>
      <c r="K47" s="2379"/>
      <c r="L47" s="2380" t="str">
        <f ca="1">IF(M48="住宅",0,IF(L49&gt;J52,L61,J61))</f>
        <v>0</v>
      </c>
      <c r="O47" s="2417" t="s">
        <v>2408</v>
      </c>
      <c r="P47" s="1591"/>
      <c r="Q47" s="1603"/>
      <c r="R47" s="1591"/>
    </row>
    <row r="48" spans="1:18" s="2058" customFormat="1" ht="18" customHeight="1" thickBot="1">
      <c r="A48" s="2083"/>
      <c r="C48" s="2086"/>
      <c r="D48" s="2087"/>
      <c r="E48" s="2087"/>
      <c r="F48" s="2088"/>
      <c r="G48" s="2089"/>
      <c r="I48" s="2381" t="s">
        <v>2341</v>
      </c>
      <c r="J48" s="2386"/>
      <c r="K48" s="2387" t="s">
        <v>2347</v>
      </c>
      <c r="L48" s="2388">
        <f ca="1">INDIRECT("'数据-取费表'!d"&amp;$G$1)</f>
        <v>0</v>
      </c>
      <c r="M48" s="3149" t="str">
        <f>IF(ISNUMBER(FIND("住宅",C1)),"住宅","非住宅")</f>
        <v>非住宅</v>
      </c>
      <c r="O48" s="2418" t="s">
        <v>2373</v>
      </c>
      <c r="P48" s="2419" t="s">
        <v>2374</v>
      </c>
      <c r="Q48" s="2420" t="s">
        <v>2375</v>
      </c>
      <c r="R48" s="2419" t="s">
        <v>2376</v>
      </c>
    </row>
    <row r="49" spans="1:18" s="2058" customFormat="1" ht="18" customHeight="1" thickBot="1">
      <c r="A49" s="2083"/>
      <c r="D49" s="2090"/>
      <c r="E49" s="2091"/>
      <c r="F49" s="2088"/>
      <c r="G49" s="2089"/>
      <c r="H49" s="2092"/>
      <c r="I49" s="2382" t="s">
        <v>2342</v>
      </c>
      <c r="J49" s="2389"/>
      <c r="K49" s="2390" t="s">
        <v>2349</v>
      </c>
      <c r="L49" s="2391">
        <f ca="1">INDIRECT("'数据-取费表'!f"&amp;$G$1)</f>
        <v>0</v>
      </c>
      <c r="O49" s="2421" t="s">
        <v>2377</v>
      </c>
      <c r="P49" s="2422" t="s">
        <v>2403</v>
      </c>
      <c r="Q49" s="2423">
        <f ca="1">C41+J31</f>
        <v>0</v>
      </c>
      <c r="R49" s="2422" t="s">
        <v>2378</v>
      </c>
    </row>
    <row r="50" spans="1:18" s="2058" customFormat="1" ht="18" customHeight="1" thickBot="1">
      <c r="A50" s="2083"/>
      <c r="D50" s="2093"/>
      <c r="E50" s="2093"/>
      <c r="F50" s="2087"/>
      <c r="G50" s="2094"/>
      <c r="H50" s="2092"/>
      <c r="I50" s="2382" t="s">
        <v>2343</v>
      </c>
      <c r="J50" s="2392"/>
      <c r="K50" s="2393" t="s">
        <v>2350</v>
      </c>
      <c r="L50" s="2394"/>
      <c r="O50" s="2421" t="s">
        <v>2379</v>
      </c>
      <c r="P50" s="2422" t="s">
        <v>2404</v>
      </c>
      <c r="Q50" s="2423" t="str">
        <f ca="1">J61</f>
        <v>0</v>
      </c>
      <c r="R50" s="2422" t="s">
        <v>2380</v>
      </c>
    </row>
    <row r="51" spans="1:18" s="2058" customFormat="1" ht="18" customHeight="1" thickBot="1">
      <c r="A51" s="2095"/>
      <c r="D51" s="2093"/>
      <c r="E51" s="2093"/>
      <c r="F51" s="2084"/>
      <c r="H51" s="2092"/>
      <c r="I51" s="2382" t="s">
        <v>2344</v>
      </c>
      <c r="J51" s="2395">
        <f>SUMPRODUCT((I64:I66=J48)*(J63:L63=J49)*(J64:L66))</f>
        <v>0</v>
      </c>
      <c r="K51" s="2393" t="s">
        <v>2351</v>
      </c>
      <c r="L51" s="2394"/>
      <c r="O51" s="2424" t="s">
        <v>2381</v>
      </c>
      <c r="P51" s="2422" t="s">
        <v>2405</v>
      </c>
      <c r="Q51" s="2423">
        <f ca="1">C31</f>
        <v>0</v>
      </c>
      <c r="R51" s="2422" t="s">
        <v>2378</v>
      </c>
    </row>
    <row r="52" spans="1:18" s="2058" customFormat="1" ht="18" customHeight="1" thickBot="1">
      <c r="A52" s="2095"/>
      <c r="F52" s="2084"/>
      <c r="I52" s="2383" t="s">
        <v>2345</v>
      </c>
      <c r="J52" s="2396">
        <f>IF(J50="",J51,J50+J51-YEAR('数据-取费表'!B3))</f>
        <v>0</v>
      </c>
      <c r="K52" s="2382" t="s">
        <v>2352</v>
      </c>
      <c r="L52" s="2397">
        <f ca="1">ROUND(-PV(INDIRECT("'数据-取费表'!h"&amp;$G$1),L49,(C40-C14*J36),0),0)</f>
        <v>0</v>
      </c>
      <c r="O52" s="2424" t="s">
        <v>2382</v>
      </c>
      <c r="P52" s="2422" t="s">
        <v>2383</v>
      </c>
      <c r="Q52" s="2425" t="e">
        <f ca="1">J59</f>
        <v>#VALUE!</v>
      </c>
      <c r="R52" s="2426"/>
    </row>
    <row r="53" spans="1:18" s="2058" customFormat="1" ht="18" customHeight="1" thickBot="1">
      <c r="A53" s="2095"/>
      <c r="F53" s="2084"/>
      <c r="I53" s="2384" t="s">
        <v>2419</v>
      </c>
      <c r="J53" s="2398"/>
      <c r="K53" s="2384" t="s">
        <v>2418</v>
      </c>
      <c r="L53" s="2398"/>
      <c r="O53" s="2424" t="s">
        <v>2384</v>
      </c>
      <c r="P53" s="2422" t="s">
        <v>2385</v>
      </c>
      <c r="Q53" s="2425">
        <f>J53</f>
        <v>0</v>
      </c>
      <c r="R53" s="2426"/>
    </row>
    <row r="54" spans="1:18" s="2058" customFormat="1" ht="43.5" thickBot="1">
      <c r="A54" s="2095"/>
      <c r="I54" s="2385" t="s">
        <v>2346</v>
      </c>
      <c r="J54" s="2399">
        <f ca="1">IF(M48="住宅",J52,IF(J52&gt;L49,L49-'数据-取费表'!B25,J52))</f>
        <v>0</v>
      </c>
      <c r="K54" s="3797"/>
      <c r="L54" s="3798"/>
      <c r="O54" s="2424" t="s">
        <v>2386</v>
      </c>
      <c r="P54" s="2422" t="s">
        <v>2387</v>
      </c>
      <c r="Q54" s="2423">
        <f ca="1">J54</f>
        <v>0</v>
      </c>
      <c r="R54" s="2422" t="s">
        <v>2388</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2389</v>
      </c>
      <c r="P55" s="2422" t="s">
        <v>2406</v>
      </c>
      <c r="Q55" s="2423">
        <f ca="1">Q49+Q50</f>
        <v>0</v>
      </c>
      <c r="R55" s="2426" t="s">
        <v>2390</v>
      </c>
    </row>
    <row r="56" spans="1:18" s="2058" customFormat="1" ht="16.5" thickBot="1">
      <c r="A56" s="2095"/>
      <c r="B56" s="2096"/>
      <c r="C56" s="2096"/>
      <c r="I56" s="3126" t="s">
        <v>2353</v>
      </c>
      <c r="J56" s="3150" t="e">
        <f ca="1">ROUND(IF(J48="钢混",J58/J51,1-(1-2%)*(J51-J58)/J51),3)</f>
        <v>#VALUE!</v>
      </c>
      <c r="K56" s="2400" t="s">
        <v>2354</v>
      </c>
      <c r="L56" s="2401"/>
      <c r="O56" s="2427" t="s">
        <v>2409</v>
      </c>
      <c r="P56" s="1591"/>
      <c r="Q56" s="1603"/>
      <c r="R56" s="1591"/>
    </row>
    <row r="57" spans="1:18" s="2058" customFormat="1" ht="43.5" thickBot="1">
      <c r="A57" s="2095"/>
      <c r="B57" s="2096"/>
      <c r="C57" s="2096"/>
      <c r="I57" s="2402" t="s">
        <v>2355</v>
      </c>
      <c r="J57" s="3149" t="s">
        <v>1679</v>
      </c>
      <c r="K57" s="2382" t="s">
        <v>2360</v>
      </c>
      <c r="L57" s="2391">
        <f ca="1">IF(L49&lt;J52,"——",L49-J52)</f>
        <v>0</v>
      </c>
      <c r="O57" s="2418" t="s">
        <v>2373</v>
      </c>
      <c r="P57" s="2419" t="s">
        <v>2374</v>
      </c>
      <c r="Q57" s="2420" t="s">
        <v>2375</v>
      </c>
      <c r="R57" s="2419" t="s">
        <v>2376</v>
      </c>
    </row>
    <row r="58" spans="1:18" s="2058" customFormat="1" ht="29.25" thickBot="1">
      <c r="A58" s="2095"/>
      <c r="B58" s="2096"/>
      <c r="C58" s="2096"/>
      <c r="I58" s="2403" t="s">
        <v>2356</v>
      </c>
      <c r="J58" s="2405" t="str">
        <f ca="1">IF(OR(M48="住宅",J52&lt;L49,J57="是"),"——",J52-L49)</f>
        <v>——</v>
      </c>
      <c r="K58" s="2382" t="s">
        <v>2361</v>
      </c>
      <c r="L58" s="2391">
        <f ca="1">IF(L49&lt;J52,"——",IF(L56="比较法",L50,IF(L56="基准地价",L51,L52)))</f>
        <v>0</v>
      </c>
      <c r="O58" s="2421" t="s">
        <v>2377</v>
      </c>
      <c r="P58" s="2422" t="s">
        <v>2403</v>
      </c>
      <c r="Q58" s="2423">
        <f ca="1">C41+J31</f>
        <v>0</v>
      </c>
      <c r="R58" s="2422" t="s">
        <v>2378</v>
      </c>
    </row>
    <row r="59" spans="1:18" s="2058" customFormat="1" ht="29.25" thickBot="1">
      <c r="A59" s="2095"/>
      <c r="B59" s="2096"/>
      <c r="C59" s="2096"/>
      <c r="I59" s="2403" t="s">
        <v>2357</v>
      </c>
      <c r="J59" s="3151" t="e">
        <f ca="1">IF(J56&lt;0.4,0.4,J56)</f>
        <v>#VALUE!</v>
      </c>
      <c r="K59" s="2382" t="s">
        <v>2362</v>
      </c>
      <c r="L59" s="2391">
        <f ca="1">IF(ISERROR(POWER(1+L53,L48-L49)*(POWER(1+L53,L49)-1)/(POWER(1+L53,L48)-1)),0,POWER(1+L53,L48-L49)*(POWER(1+L53,L49)-1)/(POWER(1+L53,L48)-1))</f>
        <v>0</v>
      </c>
      <c r="O59" s="2421" t="s">
        <v>2379</v>
      </c>
      <c r="P59" s="2422" t="s">
        <v>2410</v>
      </c>
      <c r="Q59" s="2423" t="e">
        <f ca="1">L61</f>
        <v>#DIV/0!</v>
      </c>
      <c r="R59" s="2426" t="s">
        <v>2412</v>
      </c>
    </row>
    <row r="60" spans="1:18" s="2058" customFormat="1" ht="29.25" thickBot="1">
      <c r="A60" s="2095"/>
      <c r="B60" s="2096"/>
      <c r="C60" s="2096"/>
      <c r="I60" s="2403" t="s">
        <v>2358</v>
      </c>
      <c r="J60" s="2405" t="str">
        <f ca="1">IF(OR(M48="住宅",J52&lt;L49,J57="是"),"——",ROUND(C30*J59,0))</f>
        <v>——</v>
      </c>
      <c r="K60" s="2382" t="s">
        <v>2363</v>
      </c>
      <c r="L60" s="2391">
        <f ca="1">IF(ISERROR(POWER(1+L53,L48-J52)*(POWER(1+L53,J52)-1)/(POWER(1+L53,L48)-1)),0,POWER(1+L53,L48-J52)*(POWER(1+L53,J52)-1)/(POWER(1+L53,L48)-1))</f>
        <v>0</v>
      </c>
      <c r="O60" s="2424" t="s">
        <v>2381</v>
      </c>
      <c r="P60" s="2422" t="s">
        <v>2411</v>
      </c>
      <c r="Q60" s="2423">
        <f>IF(L56="比较法",L50,IF(L56="基准地价",L51,0))</f>
        <v>0</v>
      </c>
      <c r="R60" s="2422" t="s">
        <v>2378</v>
      </c>
    </row>
    <row r="61" spans="1:18" s="2058" customFormat="1" ht="15.75" thickBot="1">
      <c r="A61" s="2095"/>
      <c r="B61" s="2096"/>
      <c r="C61" s="2096"/>
      <c r="I61" s="2404" t="s">
        <v>2359</v>
      </c>
      <c r="J61" s="2406" t="str">
        <f ca="1">IF(OR(M48="住宅",J52&lt;L49,J57="是"),"0",ROUND(J60/(1+J53)^J54,0))</f>
        <v>0</v>
      </c>
      <c r="K61" s="2407" t="s">
        <v>2364</v>
      </c>
      <c r="L61" s="2406" t="e">
        <f ca="1">IF(OR(M48="住宅",L49&lt;J52),0,ROUND(L58*(L59/L60-1),0))</f>
        <v>#DIV/0!</v>
      </c>
      <c r="O61" s="2424" t="s">
        <v>2382</v>
      </c>
      <c r="P61" s="2422" t="s">
        <v>2391</v>
      </c>
      <c r="Q61" s="2425">
        <f>L53</f>
        <v>0</v>
      </c>
      <c r="R61" s="2426"/>
    </row>
    <row r="62" spans="1:18" s="2058" customFormat="1" ht="20.25" thickBot="1">
      <c r="A62" s="2095"/>
      <c r="B62" s="2096"/>
      <c r="C62" s="2096"/>
      <c r="K62" s="2085"/>
      <c r="O62" s="2424" t="s">
        <v>2384</v>
      </c>
      <c r="P62" s="2422" t="s">
        <v>2392</v>
      </c>
      <c r="Q62" s="2423">
        <f ca="1">L59</f>
        <v>0</v>
      </c>
      <c r="R62" s="2426" t="s">
        <v>2393</v>
      </c>
    </row>
    <row r="63" spans="1:18" s="2058" customFormat="1" ht="20.25" thickBot="1">
      <c r="A63" s="2095"/>
      <c r="B63" s="2096"/>
      <c r="C63" s="2096"/>
      <c r="I63" s="2408" t="s">
        <v>2365</v>
      </c>
      <c r="J63" s="2409" t="s">
        <v>2366</v>
      </c>
      <c r="K63" s="2409" t="s">
        <v>2367</v>
      </c>
      <c r="L63" s="2409" t="s">
        <v>2348</v>
      </c>
      <c r="M63" s="3128" t="s">
        <v>2932</v>
      </c>
      <c r="O63" s="2424" t="s">
        <v>2386</v>
      </c>
      <c r="P63" s="2422" t="s">
        <v>2394</v>
      </c>
      <c r="Q63" s="2423">
        <f ca="1">L60</f>
        <v>0</v>
      </c>
      <c r="R63" s="2426" t="s">
        <v>2395</v>
      </c>
    </row>
    <row r="64" spans="1:18" s="2058" customFormat="1" ht="15.75" thickBot="1">
      <c r="A64" s="2095"/>
      <c r="B64" s="2096"/>
      <c r="C64" s="2096"/>
      <c r="I64" s="2408" t="s">
        <v>2368</v>
      </c>
      <c r="J64" s="2409">
        <v>70</v>
      </c>
      <c r="K64" s="2409">
        <v>50</v>
      </c>
      <c r="L64" s="2409">
        <v>80</v>
      </c>
      <c r="M64" s="3129">
        <v>0.02</v>
      </c>
      <c r="O64" s="2421" t="s">
        <v>2389</v>
      </c>
      <c r="P64" s="2422" t="s">
        <v>2406</v>
      </c>
      <c r="Q64" s="2423" t="e">
        <f ca="1">Q58+Q59</f>
        <v>#DIV/0!</v>
      </c>
      <c r="R64" s="2426" t="s">
        <v>2390</v>
      </c>
    </row>
    <row r="65" spans="1:18" s="2058" customFormat="1" ht="16.5" thickBot="1">
      <c r="A65" s="2095"/>
      <c r="B65" s="2096"/>
      <c r="C65" s="2096"/>
      <c r="I65" s="2408" t="s">
        <v>2369</v>
      </c>
      <c r="J65" s="2409">
        <v>50</v>
      </c>
      <c r="K65" s="2409">
        <v>35</v>
      </c>
      <c r="L65" s="2409">
        <v>60</v>
      </c>
      <c r="M65" s="3130">
        <v>0</v>
      </c>
      <c r="O65" s="2427" t="s">
        <v>2413</v>
      </c>
      <c r="P65" s="1591"/>
      <c r="Q65" s="1603"/>
      <c r="R65" s="1591"/>
    </row>
    <row r="66" spans="1:18" s="2058" customFormat="1" ht="15.75" thickBot="1">
      <c r="A66" s="2095"/>
      <c r="B66" s="2096"/>
      <c r="C66" s="2096"/>
      <c r="I66" s="2408" t="s">
        <v>2370</v>
      </c>
      <c r="J66" s="2409">
        <v>40</v>
      </c>
      <c r="K66" s="2409">
        <v>30</v>
      </c>
      <c r="L66" s="2409">
        <v>50</v>
      </c>
      <c r="M66" s="3129">
        <v>0.02</v>
      </c>
      <c r="O66" s="2418" t="s">
        <v>2373</v>
      </c>
      <c r="P66" s="2419" t="s">
        <v>2374</v>
      </c>
      <c r="Q66" s="2420" t="s">
        <v>2375</v>
      </c>
      <c r="R66" s="2419" t="s">
        <v>2376</v>
      </c>
    </row>
    <row r="67" spans="1:18" s="2058" customFormat="1" ht="15.75" thickBot="1">
      <c r="A67" s="2095"/>
      <c r="B67" s="2096"/>
      <c r="C67" s="2096"/>
      <c r="K67" s="2085"/>
      <c r="O67" s="2421" t="s">
        <v>2377</v>
      </c>
      <c r="P67" s="2422" t="s">
        <v>2403</v>
      </c>
      <c r="Q67" s="2423">
        <f ca="1">C41+J31</f>
        <v>0</v>
      </c>
      <c r="R67" s="2422" t="s">
        <v>2378</v>
      </c>
    </row>
    <row r="68" spans="1:18" s="2058" customFormat="1" ht="20.25" thickBot="1">
      <c r="A68" s="2095"/>
      <c r="B68" s="2096"/>
      <c r="C68" s="2096"/>
      <c r="K68" s="2085"/>
      <c r="O68" s="2421" t="s">
        <v>2379</v>
      </c>
      <c r="P68" s="2422" t="s">
        <v>2410</v>
      </c>
      <c r="Q68" s="2423" t="e">
        <f ca="1">L61</f>
        <v>#DIV/0!</v>
      </c>
      <c r="R68" s="2426" t="s">
        <v>2412</v>
      </c>
    </row>
    <row r="69" spans="1:18" s="2058" customFormat="1" ht="21.75" thickBot="1">
      <c r="A69" s="2095"/>
      <c r="B69" s="2096"/>
      <c r="C69" s="2096"/>
      <c r="K69" s="2085"/>
      <c r="O69" s="2424" t="s">
        <v>2381</v>
      </c>
      <c r="P69" s="2422" t="s">
        <v>2411</v>
      </c>
      <c r="Q69" s="2428">
        <f ca="1">L52</f>
        <v>0</v>
      </c>
      <c r="R69" s="2429" t="s">
        <v>2414</v>
      </c>
    </row>
    <row r="70" spans="1:18" s="2058" customFormat="1" ht="20.25" thickBot="1">
      <c r="A70" s="2095"/>
      <c r="B70" s="2096"/>
      <c r="C70" s="2096"/>
      <c r="K70" s="2085"/>
      <c r="O70" s="2424" t="s">
        <v>2382</v>
      </c>
      <c r="P70" s="2430" t="s">
        <v>2396</v>
      </c>
      <c r="Q70" s="2423">
        <f ca="1">ROUND(Q71-Q72*Q73,0)</f>
        <v>0</v>
      </c>
      <c r="R70" s="2426"/>
    </row>
    <row r="71" spans="1:18" s="2058" customFormat="1" ht="15.75" thickBot="1">
      <c r="A71" s="2095"/>
      <c r="B71" s="2096"/>
      <c r="C71" s="2096"/>
      <c r="K71" s="2085"/>
      <c r="O71" s="2424" t="s">
        <v>2397</v>
      </c>
      <c r="P71" s="2430" t="s">
        <v>2398</v>
      </c>
      <c r="Q71" s="2423">
        <f ca="1">C42</f>
        <v>0</v>
      </c>
      <c r="R71" s="2422" t="s">
        <v>2378</v>
      </c>
    </row>
    <row r="72" spans="1:18" s="2058" customFormat="1" ht="15.75" thickBot="1">
      <c r="A72" s="2095"/>
      <c r="B72" s="2096"/>
      <c r="C72" s="2096"/>
      <c r="K72" s="2085"/>
      <c r="O72" s="2424" t="s">
        <v>2399</v>
      </c>
      <c r="P72" s="2430" t="s">
        <v>2400</v>
      </c>
      <c r="Q72" s="2423">
        <f ca="1">C15</f>
        <v>0</v>
      </c>
      <c r="R72" s="2422" t="s">
        <v>2378</v>
      </c>
    </row>
    <row r="73" spans="1:18" s="2058" customFormat="1" ht="15.75" thickBot="1">
      <c r="A73" s="2095"/>
      <c r="B73" s="2096"/>
      <c r="C73" s="2096"/>
      <c r="K73" s="2085"/>
      <c r="O73" s="2424" t="s">
        <v>2401</v>
      </c>
      <c r="P73" s="2430" t="s">
        <v>2402</v>
      </c>
      <c r="Q73" s="2425">
        <f ca="1">F43</f>
        <v>0</v>
      </c>
      <c r="R73" s="2426"/>
    </row>
    <row r="74" spans="1:18" s="2058" customFormat="1" ht="15.75" thickBot="1">
      <c r="A74" s="2095"/>
      <c r="B74" s="2096"/>
      <c r="C74" s="2096"/>
      <c r="K74" s="2085"/>
      <c r="O74" s="2424" t="s">
        <v>2384</v>
      </c>
      <c r="P74" s="2422" t="s">
        <v>2391</v>
      </c>
      <c r="Q74" s="2425">
        <f>L53</f>
        <v>0</v>
      </c>
      <c r="R74" s="2426"/>
    </row>
    <row r="75" spans="1:18" s="2058" customFormat="1" ht="20.25" thickBot="1">
      <c r="A75" s="2095"/>
      <c r="B75" s="2096"/>
      <c r="C75" s="2096"/>
      <c r="K75" s="2085"/>
      <c r="O75" s="2424" t="s">
        <v>2386</v>
      </c>
      <c r="P75" s="2422" t="s">
        <v>2392</v>
      </c>
      <c r="Q75" s="2423">
        <f ca="1">L59</f>
        <v>0</v>
      </c>
      <c r="R75" s="2426" t="s">
        <v>2393</v>
      </c>
    </row>
    <row r="76" spans="1:18" s="2058" customFormat="1" ht="20.25" thickBot="1">
      <c r="A76" s="2095"/>
      <c r="B76" s="2096"/>
      <c r="C76" s="2096"/>
      <c r="K76" s="2085"/>
      <c r="O76" s="2424" t="s">
        <v>2415</v>
      </c>
      <c r="P76" s="2422" t="s">
        <v>2394</v>
      </c>
      <c r="Q76" s="2423">
        <f ca="1">L60</f>
        <v>0</v>
      </c>
      <c r="R76" s="2426" t="s">
        <v>2395</v>
      </c>
    </row>
    <row r="77" spans="1:18" s="2058" customFormat="1" ht="15.75" thickBot="1">
      <c r="A77" s="2095"/>
      <c r="B77" s="2096"/>
      <c r="C77" s="2096"/>
      <c r="K77" s="2085"/>
      <c r="O77" s="2421" t="s">
        <v>2389</v>
      </c>
      <c r="P77" s="2422" t="s">
        <v>2406</v>
      </c>
      <c r="Q77" s="2423" t="e">
        <f ca="1">Q67+Q68</f>
        <v>#DIV/0!</v>
      </c>
      <c r="R77" s="2426" t="s">
        <v>2390</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801" t="s">
        <v>2576</v>
      </c>
      <c r="C1" s="3801"/>
      <c r="D1" s="3801"/>
      <c r="E1" s="3801"/>
      <c r="F1" s="3801"/>
      <c r="G1" s="3800" t="s">
        <v>2577</v>
      </c>
      <c r="H1" s="3800"/>
      <c r="I1" s="3800"/>
      <c r="J1" s="3800"/>
      <c r="K1" s="3800"/>
      <c r="L1" s="3800"/>
      <c r="N1" s="3800" t="s">
        <v>2578</v>
      </c>
      <c r="O1" s="3800"/>
      <c r="P1" s="3800"/>
      <c r="Q1" s="3800"/>
      <c r="R1" s="2678"/>
      <c r="S1" s="3800" t="s">
        <v>2579</v>
      </c>
      <c r="T1" s="3800"/>
      <c r="U1" s="3800"/>
      <c r="V1" s="3800"/>
      <c r="X1" s="3799" t="s">
        <v>2639</v>
      </c>
      <c r="Y1" s="3800"/>
      <c r="Z1" s="3800"/>
      <c r="AA1" s="3800"/>
      <c r="AB1" s="3800"/>
      <c r="AD1" s="3799" t="s">
        <v>2643</v>
      </c>
      <c r="AE1" s="3800"/>
      <c r="AF1" s="3800"/>
      <c r="AG1" s="3800"/>
      <c r="AH1" s="3800"/>
    </row>
    <row r="2" spans="1:34" s="2780" customFormat="1" ht="14.25" thickBot="1">
      <c r="B2" s="2788" t="s">
        <v>2580</v>
      </c>
      <c r="C2" s="2788" t="s">
        <v>2641</v>
      </c>
      <c r="D2" s="2781" t="s">
        <v>1645</v>
      </c>
      <c r="E2" s="2781" t="s">
        <v>1952</v>
      </c>
      <c r="F2" s="2788" t="s">
        <v>2642</v>
      </c>
      <c r="G2" s="2784"/>
      <c r="H2" s="2783"/>
      <c r="I2" s="2788" t="s">
        <v>2947</v>
      </c>
      <c r="J2" s="2781" t="s">
        <v>2949</v>
      </c>
      <c r="K2" s="2781" t="s">
        <v>2950</v>
      </c>
      <c r="L2" s="2788" t="s">
        <v>2951</v>
      </c>
      <c r="N2" s="2788" t="s">
        <v>2580</v>
      </c>
      <c r="O2" s="2781" t="s">
        <v>2948</v>
      </c>
      <c r="P2" s="2781" t="s">
        <v>1952</v>
      </c>
      <c r="Q2" s="2788" t="s">
        <v>2642</v>
      </c>
      <c r="R2" s="2782"/>
      <c r="S2" s="2788" t="s">
        <v>2580</v>
      </c>
      <c r="T2" s="2781" t="s">
        <v>2948</v>
      </c>
      <c r="U2" s="2781" t="s">
        <v>1952</v>
      </c>
      <c r="V2" s="2788" t="s">
        <v>2642</v>
      </c>
      <c r="X2" s="2788" t="s">
        <v>2580</v>
      </c>
      <c r="Y2" s="2788" t="s">
        <v>2641</v>
      </c>
      <c r="Z2" s="2781" t="s">
        <v>1645</v>
      </c>
      <c r="AA2" s="2781" t="s">
        <v>1952</v>
      </c>
      <c r="AB2" s="2788" t="s">
        <v>2642</v>
      </c>
      <c r="AD2" s="2788" t="s">
        <v>2580</v>
      </c>
      <c r="AE2" s="2788" t="s">
        <v>2641</v>
      </c>
      <c r="AF2" s="2781" t="s">
        <v>1645</v>
      </c>
      <c r="AG2" s="2781" t="s">
        <v>1952</v>
      </c>
      <c r="AH2" s="2788" t="s">
        <v>2642</v>
      </c>
    </row>
    <row r="3" spans="1:34" s="3164" customFormat="1" ht="14.25">
      <c r="A3" s="3176" t="s">
        <v>2961</v>
      </c>
      <c r="B3" s="3165"/>
      <c r="C3" s="3165"/>
      <c r="D3" s="3166"/>
      <c r="E3" s="3166"/>
      <c r="F3" s="3165"/>
      <c r="G3" s="3167"/>
      <c r="H3" s="3168"/>
      <c r="I3" s="3175">
        <f>ROUND(AVERAGE($I6:$I21),2)</f>
        <v>2.4500000000000002</v>
      </c>
      <c r="J3" s="3175">
        <f>ROUND(AVERAGE($J6:$J21),2)</f>
        <v>1.65</v>
      </c>
      <c r="K3" s="3175">
        <f>ROUND(AVERAGE($K6:$K21),2)</f>
        <v>2.71</v>
      </c>
      <c r="L3" s="3175">
        <f>ROUND(AVERAGE($L6:$L21),2)</f>
        <v>1.39</v>
      </c>
      <c r="N3" s="3167"/>
      <c r="O3" s="3169"/>
      <c r="P3" s="3169"/>
      <c r="Q3" s="3169"/>
      <c r="R3" s="3169"/>
      <c r="S3" s="3167"/>
      <c r="T3" s="3169"/>
      <c r="U3" s="3169"/>
      <c r="V3" s="3169"/>
      <c r="W3" s="3172"/>
      <c r="X3" s="3170">
        <f>ROUND(SUMPRODUCT(PRODUCT(1+N3:N$20)),4)</f>
        <v>1.4274</v>
      </c>
      <c r="Y3" s="3170">
        <f>ROUND(SUMPRODUCT(PRODUCT(1+O3:O$20)),4)</f>
        <v>1.2685</v>
      </c>
      <c r="Z3" s="3170">
        <f t="shared" ref="Z3:Z18" si="0">Y3</f>
        <v>1.2685</v>
      </c>
      <c r="AA3" s="3170">
        <f>ROUND(SUMPRODUCT(PRODUCT(1+P3:P$20)),4)</f>
        <v>1.4825999999999999</v>
      </c>
      <c r="AB3" s="3170">
        <f>ROUND(SUMPRODUCT(PRODUCT(1+Q3:Q$20)),4)</f>
        <v>1.2309000000000001</v>
      </c>
      <c r="AD3" s="3171">
        <f>ROUND(AVERAGE(I3:I$21)/100,4)</f>
        <v>2.3099999999999999E-2</v>
      </c>
      <c r="AE3" s="3171">
        <f>ROUND(AVERAGE(J3:J$21)/100,4)</f>
        <v>1.5599999999999999E-2</v>
      </c>
      <c r="AF3" s="3171">
        <f t="shared" ref="AF3:AF19" si="1">AE3</f>
        <v>1.5599999999999999E-2</v>
      </c>
      <c r="AG3" s="3171">
        <f>ROUND(AVERAGE(K3:K$21)/100,4)</f>
        <v>2.5600000000000001E-2</v>
      </c>
      <c r="AH3" s="3171">
        <f>ROUND(AVERAGE(L3:L$21)/100,4)</f>
        <v>1.32E-2</v>
      </c>
    </row>
    <row r="4" spans="1:34" s="2773" customFormat="1" ht="14.25">
      <c r="B4" s="2774"/>
      <c r="C4" s="2774"/>
      <c r="D4" s="2775"/>
      <c r="E4" s="2775"/>
      <c r="F4" s="2774"/>
      <c r="G4" s="2779"/>
      <c r="H4" s="2776"/>
      <c r="I4" s="3157"/>
      <c r="J4" s="3157"/>
      <c r="K4" s="3157"/>
      <c r="L4" s="3157"/>
      <c r="N4" s="2779"/>
      <c r="O4" s="2777"/>
      <c r="P4" s="2777"/>
      <c r="Q4" s="2777"/>
      <c r="R4" s="2777"/>
      <c r="S4" s="2779"/>
      <c r="T4" s="2777"/>
      <c r="U4" s="2777"/>
      <c r="V4" s="2777"/>
      <c r="W4" s="3173"/>
      <c r="X4" s="2778"/>
      <c r="Y4" s="2778"/>
      <c r="Z4" s="2778"/>
      <c r="AA4" s="2778"/>
      <c r="AB4" s="2778"/>
      <c r="AD4" s="2698"/>
      <c r="AE4" s="2698"/>
      <c r="AF4" s="2698"/>
      <c r="AG4" s="2698"/>
      <c r="AH4" s="2698"/>
    </row>
    <row r="5" spans="1:34" s="3143" customFormat="1" ht="13.5" thickBot="1">
      <c r="A5" s="3141" t="s">
        <v>2960</v>
      </c>
      <c r="B5" s="2819">
        <f>B6*(1+N5)</f>
        <v>439.19121308559727</v>
      </c>
      <c r="C5" s="2819">
        <f t="shared" ref="C5" si="2">C6*(1+O5)</f>
        <v>326.28510789673351</v>
      </c>
      <c r="D5" s="2819">
        <f t="shared" ref="D5:D10" si="3">C5</f>
        <v>326.28510789673351</v>
      </c>
      <c r="E5" s="2819">
        <f t="shared" ref="E5" si="4">E6*(1+P5)</f>
        <v>626.49404043656455</v>
      </c>
      <c r="F5" s="2819">
        <f t="shared" ref="F5" si="5">F6*(1+Q5)</f>
        <v>283.46416215500358</v>
      </c>
      <c r="G5" s="2779">
        <v>2018</v>
      </c>
      <c r="H5" s="3142">
        <v>1</v>
      </c>
      <c r="I5" s="3158">
        <v>0</v>
      </c>
      <c r="J5" s="3158">
        <v>0</v>
      </c>
      <c r="K5" s="3158">
        <v>0</v>
      </c>
      <c r="L5" s="3158">
        <v>0</v>
      </c>
      <c r="N5" s="2786">
        <f t="shared" ref="N5:N10" si="6">I5/100</f>
        <v>0</v>
      </c>
      <c r="O5" s="2786">
        <f t="shared" ref="O5" si="7">J5/100</f>
        <v>0</v>
      </c>
      <c r="P5" s="2786">
        <f t="shared" ref="P5" si="8">K5/100</f>
        <v>0</v>
      </c>
      <c r="Q5" s="2786">
        <f t="shared" ref="Q5" si="9">L5/100</f>
        <v>0</v>
      </c>
      <c r="R5" s="3144"/>
      <c r="S5" s="3145"/>
      <c r="T5" s="3144"/>
      <c r="U5" s="3144"/>
      <c r="V5" s="3144"/>
      <c r="W5" s="3174" t="s">
        <v>2962</v>
      </c>
      <c r="X5" s="3146">
        <f>ROUND(SUMPRODUCT(PRODUCT(1+N5:N$20)),4)</f>
        <v>1.4274</v>
      </c>
      <c r="Y5" s="3146">
        <f>ROUND(SUMPRODUCT(PRODUCT(1+O5:O$20)),4)</f>
        <v>1.2685</v>
      </c>
      <c r="Z5" s="3146">
        <f t="shared" ref="Z5" si="10">Y5</f>
        <v>1.2685</v>
      </c>
      <c r="AA5" s="3146">
        <f>ROUND(SUMPRODUCT(PRODUCT(1+P5:P$20)),4)</f>
        <v>1.4825999999999999</v>
      </c>
      <c r="AB5" s="3146">
        <f>ROUND(SUMPRODUCT(PRODUCT(1+Q5:Q$20)),4)</f>
        <v>1.2309000000000001</v>
      </c>
      <c r="AD5" s="3147">
        <f>ROUND(AVERAGE(I5:I$21)/100,4)</f>
        <v>2.3E-2</v>
      </c>
      <c r="AE5" s="3147">
        <f>ROUND(AVERAGE(J5:J$21)/100,4)</f>
        <v>1.55E-2</v>
      </c>
      <c r="AF5" s="3147">
        <f t="shared" ref="AF5" si="11">AE5</f>
        <v>1.55E-2</v>
      </c>
      <c r="AG5" s="3147">
        <f>ROUND(AVERAGE(K5:K$21)/100,4)</f>
        <v>2.5499999999999998E-2</v>
      </c>
      <c r="AH5" s="3147">
        <f>ROUND(AVERAGE(L5:L$21)/100,4)</f>
        <v>1.3100000000000001E-2</v>
      </c>
    </row>
    <row r="6" spans="1:34">
      <c r="A6" s="2679" t="s">
        <v>2958</v>
      </c>
      <c r="B6" s="2685">
        <f t="shared" ref="B6" si="12">B7*(1+N6)</f>
        <v>439.19121308559727</v>
      </c>
      <c r="C6" s="2685">
        <f t="shared" ref="C6" si="13">C7*(1+O6)</f>
        <v>326.28510789673351</v>
      </c>
      <c r="D6" s="2685">
        <f t="shared" si="3"/>
        <v>326.28510789673351</v>
      </c>
      <c r="E6" s="2685">
        <f t="shared" ref="E6" si="14">E7*(1+P6)</f>
        <v>626.49404043656455</v>
      </c>
      <c r="F6" s="2686">
        <f t="shared" ref="F6" si="15">F7*(1+Q6)</f>
        <v>283.46416215500358</v>
      </c>
      <c r="G6" s="3161">
        <v>2017</v>
      </c>
      <c r="H6" s="2680">
        <v>4</v>
      </c>
      <c r="I6" s="2680">
        <v>1.71</v>
      </c>
      <c r="J6" s="2680">
        <v>1.78</v>
      </c>
      <c r="K6" s="2680">
        <v>1.71</v>
      </c>
      <c r="L6" s="2681">
        <v>1.43</v>
      </c>
      <c r="N6" s="2688">
        <f t="shared" si="6"/>
        <v>1.7100000000000001E-2</v>
      </c>
      <c r="O6" s="2689">
        <f t="shared" ref="O6" si="16">J6/100</f>
        <v>1.78E-2</v>
      </c>
      <c r="P6" s="2689">
        <f t="shared" ref="P6" si="17">K6/100</f>
        <v>1.7100000000000001E-2</v>
      </c>
      <c r="Q6" s="2689">
        <f t="shared" ref="Q6" si="18">L6/100</f>
        <v>1.43E-2</v>
      </c>
      <c r="R6" s="2690"/>
      <c r="S6" s="2691"/>
      <c r="T6" s="2692"/>
      <c r="U6" s="2692"/>
      <c r="V6" s="2692"/>
      <c r="X6" s="2778">
        <f>ROUND(SUMPRODUCT(PRODUCT(1+N6:N$20)),4)</f>
        <v>1.4274</v>
      </c>
      <c r="Y6" s="2778">
        <f>ROUND(SUMPRODUCT(PRODUCT(1+O6:O$20)),4)</f>
        <v>1.2685</v>
      </c>
      <c r="Z6" s="2778">
        <f t="shared" si="0"/>
        <v>1.2685</v>
      </c>
      <c r="AA6" s="2778">
        <f>ROUND(SUMPRODUCT(PRODUCT(1+P6:P$20)),4)</f>
        <v>1.4825999999999999</v>
      </c>
      <c r="AB6" s="2778">
        <f>ROUND(SUMPRODUCT(PRODUCT(1+Q6:Q$20)),4)</f>
        <v>1.2309000000000001</v>
      </c>
      <c r="AD6" s="2698">
        <f>ROUND(AVERAGE(I6:I$21)/100,4)</f>
        <v>2.4500000000000001E-2</v>
      </c>
      <c r="AE6" s="2698">
        <f>ROUND(AVERAGE(J6:J$21)/100,4)</f>
        <v>1.6500000000000001E-2</v>
      </c>
      <c r="AF6" s="2698">
        <f t="shared" si="1"/>
        <v>1.6500000000000001E-2</v>
      </c>
      <c r="AG6" s="2698">
        <f>ROUND(AVERAGE(K6:K$21)/100,4)</f>
        <v>2.7099999999999999E-2</v>
      </c>
      <c r="AH6" s="2698">
        <f>ROUND(AVERAGE(L6:L$21)/100,4)</f>
        <v>1.3899999999999999E-2</v>
      </c>
    </row>
    <row r="7" spans="1:34" s="2785" customFormat="1" ht="13.5" thickBot="1">
      <c r="A7" s="2679" t="s">
        <v>2963</v>
      </c>
      <c r="B7" s="2693">
        <f t="shared" ref="B7:C9" si="19">B8*(1+N7)</f>
        <v>431.80730811680002</v>
      </c>
      <c r="C7" s="2693">
        <f t="shared" si="19"/>
        <v>320.57880516480003</v>
      </c>
      <c r="D7" s="2693">
        <f t="shared" si="3"/>
        <v>320.57880516480003</v>
      </c>
      <c r="E7" s="2693">
        <f t="shared" ref="E7:F9" si="20">E8*(1+P7)</f>
        <v>615.96110553196797</v>
      </c>
      <c r="F7" s="2693">
        <f t="shared" si="20"/>
        <v>279.46777300108801</v>
      </c>
      <c r="G7" s="3163"/>
      <c r="H7" s="2683">
        <v>3</v>
      </c>
      <c r="I7" s="2683">
        <v>2.98</v>
      </c>
      <c r="J7" s="2683">
        <v>2.11</v>
      </c>
      <c r="K7" s="2683">
        <v>3.24</v>
      </c>
      <c r="L7" s="2694">
        <v>1.72</v>
      </c>
      <c r="M7" s="2687"/>
      <c r="N7" s="2688">
        <f t="shared" si="6"/>
        <v>2.98E-2</v>
      </c>
      <c r="O7" s="2689">
        <f t="shared" ref="O7:O8" si="21">J7/100</f>
        <v>2.1099999999999997E-2</v>
      </c>
      <c r="P7" s="2689">
        <f t="shared" ref="P7:P8" si="22">K7/100</f>
        <v>3.2400000000000005E-2</v>
      </c>
      <c r="Q7" s="2689">
        <f t="shared" ref="Q7:Q8" si="23">L7/100</f>
        <v>1.72E-2</v>
      </c>
      <c r="R7" s="2690"/>
      <c r="S7" s="2696"/>
      <c r="T7" s="2697"/>
      <c r="U7" s="2697"/>
      <c r="V7" s="2697"/>
      <c r="W7" s="2687"/>
      <c r="X7" s="2778">
        <f>ROUND(SUMPRODUCT(PRODUCT(1+N7:N$20)),4)</f>
        <v>1.4034</v>
      </c>
      <c r="Y7" s="2778">
        <f>ROUND(SUMPRODUCT(PRODUCT(1+O7:O$20)),4)</f>
        <v>1.2463</v>
      </c>
      <c r="Z7" s="2778">
        <f t="shared" si="0"/>
        <v>1.2463</v>
      </c>
      <c r="AA7" s="2778">
        <f>ROUND(SUMPRODUCT(PRODUCT(1+P7:P$20)),4)</f>
        <v>1.4577</v>
      </c>
      <c r="AB7" s="2778">
        <f>ROUND(SUMPRODUCT(PRODUCT(1+Q7:Q$20)),4)</f>
        <v>1.2136</v>
      </c>
      <c r="AC7" s="2687"/>
      <c r="AD7" s="2698">
        <f>ROUND(AVERAGE(I7:I$21)/100,4)</f>
        <v>2.4899999999999999E-2</v>
      </c>
      <c r="AE7" s="2698">
        <f>ROUND(AVERAGE(J7:J$21)/100,4)</f>
        <v>1.6400000000000001E-2</v>
      </c>
      <c r="AF7" s="2698">
        <f t="shared" si="1"/>
        <v>1.6400000000000001E-2</v>
      </c>
      <c r="AG7" s="2698">
        <f>ROUND(AVERAGE(K7:K$21)/100,4)</f>
        <v>2.7799999999999998E-2</v>
      </c>
      <c r="AH7" s="2698">
        <f>ROUND(AVERAGE(L7:L$21)/100,4)</f>
        <v>1.3899999999999999E-2</v>
      </c>
    </row>
    <row r="8" spans="1:34" s="2677" customFormat="1">
      <c r="A8" s="2679" t="s">
        <v>2581</v>
      </c>
      <c r="B8" s="2693">
        <f t="shared" si="19"/>
        <v>419.31181600000002</v>
      </c>
      <c r="C8" s="2693">
        <f t="shared" si="19"/>
        <v>313.95436800000004</v>
      </c>
      <c r="D8" s="2693">
        <f t="shared" si="3"/>
        <v>313.95436800000004</v>
      </c>
      <c r="E8" s="2693">
        <f t="shared" si="20"/>
        <v>596.63028431999999</v>
      </c>
      <c r="F8" s="2693">
        <f t="shared" si="20"/>
        <v>274.74220703999998</v>
      </c>
      <c r="G8" s="3162"/>
      <c r="H8" s="2684">
        <v>2</v>
      </c>
      <c r="I8" s="2684">
        <v>3.4</v>
      </c>
      <c r="J8" s="2684">
        <v>2</v>
      </c>
      <c r="K8" s="2684">
        <v>3.82</v>
      </c>
      <c r="L8" s="2695">
        <v>1.68</v>
      </c>
      <c r="N8" s="2688">
        <f t="shared" si="6"/>
        <v>3.4000000000000002E-2</v>
      </c>
      <c r="O8" s="2689">
        <f t="shared" si="21"/>
        <v>0.02</v>
      </c>
      <c r="P8" s="2689">
        <f t="shared" si="22"/>
        <v>3.8199999999999998E-2</v>
      </c>
      <c r="Q8" s="2689">
        <f t="shared" si="23"/>
        <v>1.6799999999999999E-2</v>
      </c>
      <c r="R8" s="2678"/>
      <c r="S8" s="2682"/>
      <c r="T8" s="2678"/>
      <c r="U8" s="2678"/>
      <c r="V8" s="2678"/>
      <c r="X8" s="2778">
        <f>ROUND(SUMPRODUCT(PRODUCT(1+N8:N$20)),4)</f>
        <v>1.3628</v>
      </c>
      <c r="Y8" s="2778">
        <f>ROUND(SUMPRODUCT(PRODUCT(1+O8:O$20)),4)</f>
        <v>1.2205999999999999</v>
      </c>
      <c r="Z8" s="2778">
        <f t="shared" si="0"/>
        <v>1.2205999999999999</v>
      </c>
      <c r="AA8" s="2778">
        <f>ROUND(SUMPRODUCT(PRODUCT(1+P8:P$20)),4)</f>
        <v>1.4118999999999999</v>
      </c>
      <c r="AB8" s="2778">
        <f>ROUND(SUMPRODUCT(PRODUCT(1+Q8:Q$20)),4)</f>
        <v>1.1930000000000001</v>
      </c>
      <c r="AD8" s="2698">
        <f>ROUND(AVERAGE(I8:I$21)/100,4)</f>
        <v>2.46E-2</v>
      </c>
      <c r="AE8" s="2698">
        <f>ROUND(AVERAGE(J8:J$21)/100,4)</f>
        <v>1.6E-2</v>
      </c>
      <c r="AF8" s="2698">
        <f t="shared" si="1"/>
        <v>1.6E-2</v>
      </c>
      <c r="AG8" s="2698">
        <f>ROUND(AVERAGE(K8:K$21)/100,4)</f>
        <v>2.75E-2</v>
      </c>
      <c r="AH8" s="2698">
        <f>ROUND(AVERAGE(L8:L$21)/100,4)</f>
        <v>1.37E-2</v>
      </c>
    </row>
    <row r="9" spans="1:34" s="2785" customFormat="1" ht="13.5" thickBot="1">
      <c r="A9" s="2679" t="s">
        <v>2582</v>
      </c>
      <c r="B9" s="2693">
        <f t="shared" si="19"/>
        <v>405.524</v>
      </c>
      <c r="C9" s="2693">
        <f t="shared" si="19"/>
        <v>307.79840000000002</v>
      </c>
      <c r="D9" s="2693">
        <f t="shared" si="3"/>
        <v>307.79840000000002</v>
      </c>
      <c r="E9" s="2693">
        <f t="shared" si="20"/>
        <v>574.67759999999998</v>
      </c>
      <c r="F9" s="2693">
        <f t="shared" si="20"/>
        <v>270.20280000000002</v>
      </c>
      <c r="G9" s="3163"/>
      <c r="H9" s="2683">
        <v>1</v>
      </c>
      <c r="I9" s="2683">
        <v>3.45</v>
      </c>
      <c r="J9" s="2683">
        <v>1.92</v>
      </c>
      <c r="K9" s="2683">
        <v>3.92</v>
      </c>
      <c r="L9" s="2694">
        <v>1.58</v>
      </c>
      <c r="M9" s="2687"/>
      <c r="N9" s="2688">
        <f t="shared" si="6"/>
        <v>3.4500000000000003E-2</v>
      </c>
      <c r="O9" s="2689">
        <f t="shared" ref="O9" si="24">J9/100</f>
        <v>1.9199999999999998E-2</v>
      </c>
      <c r="P9" s="2689">
        <f t="shared" ref="P9" si="25">K9/100</f>
        <v>3.9199999999999999E-2</v>
      </c>
      <c r="Q9" s="2689">
        <f t="shared" ref="Q9" si="26">L9/100</f>
        <v>1.5800000000000002E-2</v>
      </c>
      <c r="R9" s="2690"/>
      <c r="S9" s="2696">
        <f>B9/B10-1</f>
        <v>3.4499999999999975E-2</v>
      </c>
      <c r="T9" s="2697">
        <f>C9/C10-1</f>
        <v>1.9200000000000106E-2</v>
      </c>
      <c r="U9" s="2697">
        <f>E9/E10-1</f>
        <v>3.9199999999999902E-2</v>
      </c>
      <c r="V9" s="2697">
        <f>F9/F10-1</f>
        <v>1.5800000000000036E-2</v>
      </c>
      <c r="W9" s="2687"/>
      <c r="X9" s="2778">
        <f>ROUND(SUMPRODUCT(PRODUCT(1+N9:N$20)),4)</f>
        <v>1.3180000000000001</v>
      </c>
      <c r="Y9" s="2778">
        <f>ROUND(SUMPRODUCT(PRODUCT(1+O9:O$20)),4)</f>
        <v>1.1966000000000001</v>
      </c>
      <c r="Z9" s="2778">
        <f t="shared" si="0"/>
        <v>1.1966000000000001</v>
      </c>
      <c r="AA9" s="2778">
        <f>ROUND(SUMPRODUCT(PRODUCT(1+P9:P$20)),4)</f>
        <v>1.36</v>
      </c>
      <c r="AB9" s="2778">
        <f>ROUND(SUMPRODUCT(PRODUCT(1+Q9:Q$20)),4)</f>
        <v>1.1733</v>
      </c>
      <c r="AC9" s="2687"/>
      <c r="AD9" s="2698">
        <f>ROUND(AVERAGE(I9:I$21)/100,4)</f>
        <v>2.3900000000000001E-2</v>
      </c>
      <c r="AE9" s="2698">
        <f>ROUND(AVERAGE(J9:J$21)/100,4)</f>
        <v>1.5699999999999999E-2</v>
      </c>
      <c r="AF9" s="2698">
        <f t="shared" si="1"/>
        <v>1.5699999999999999E-2</v>
      </c>
      <c r="AG9" s="2698">
        <f>ROUND(AVERAGE(K9:K$21)/100,4)</f>
        <v>2.6599999999999999E-2</v>
      </c>
      <c r="AH9" s="2698">
        <f>ROUND(AVERAGE(L9:L$21)/100,4)</f>
        <v>1.34E-2</v>
      </c>
    </row>
    <row r="10" spans="1:34">
      <c r="A10" s="2679" t="s">
        <v>971</v>
      </c>
      <c r="B10" s="2685">
        <v>392</v>
      </c>
      <c r="C10" s="2685">
        <v>302</v>
      </c>
      <c r="D10" s="2685">
        <f t="shared" si="3"/>
        <v>302</v>
      </c>
      <c r="E10" s="2685">
        <v>553</v>
      </c>
      <c r="F10" s="2686">
        <v>266</v>
      </c>
      <c r="G10" s="3808">
        <v>2016</v>
      </c>
      <c r="H10" s="2680">
        <v>4</v>
      </c>
      <c r="I10" s="2680">
        <v>4.5599999999999996</v>
      </c>
      <c r="J10" s="2680">
        <v>2.15</v>
      </c>
      <c r="K10" s="2680">
        <v>5.32</v>
      </c>
      <c r="L10" s="2681">
        <v>1.57</v>
      </c>
      <c r="N10" s="2688">
        <f t="shared" si="6"/>
        <v>4.5599999999999995E-2</v>
      </c>
      <c r="O10" s="2689">
        <f t="shared" ref="O10:Q25" si="27">J10/100</f>
        <v>2.1499999999999998E-2</v>
      </c>
      <c r="P10" s="2689">
        <f t="shared" si="27"/>
        <v>5.3200000000000004E-2</v>
      </c>
      <c r="Q10" s="2689">
        <f t="shared" si="27"/>
        <v>1.5700000000000002E-2</v>
      </c>
      <c r="R10" s="2690"/>
      <c r="S10" s="2691"/>
      <c r="T10" s="2692"/>
      <c r="U10" s="2692"/>
      <c r="V10" s="2692"/>
      <c r="X10" s="2778">
        <f>ROUND(SUMPRODUCT(PRODUCT(1+N10:N$20)),4)</f>
        <v>1.274</v>
      </c>
      <c r="Y10" s="2778">
        <f>ROUND(SUMPRODUCT(PRODUCT(1+O10:O$20)),4)</f>
        <v>1.1740999999999999</v>
      </c>
      <c r="Z10" s="2778">
        <f t="shared" si="0"/>
        <v>1.1740999999999999</v>
      </c>
      <c r="AA10" s="2778">
        <f>ROUND(SUMPRODUCT(PRODUCT(1+P10:P$20)),4)</f>
        <v>1.3087</v>
      </c>
      <c r="AB10" s="2778">
        <f>ROUND(SUMPRODUCT(PRODUCT(1+Q10:Q$20)),4)</f>
        <v>1.1551</v>
      </c>
      <c r="AD10" s="2698">
        <f>ROUND(AVERAGE(I10:I$21)/100,4)</f>
        <v>2.3E-2</v>
      </c>
      <c r="AE10" s="2698">
        <f>ROUND(AVERAGE(J10:J$21)/100,4)</f>
        <v>1.55E-2</v>
      </c>
      <c r="AF10" s="2698">
        <f t="shared" si="1"/>
        <v>1.55E-2</v>
      </c>
      <c r="AG10" s="2698">
        <f>ROUND(AVERAGE(K10:K$21)/100,4)</f>
        <v>2.5600000000000001E-2</v>
      </c>
      <c r="AH10" s="2698">
        <f>ROUND(AVERAGE(L10:L$21)/100,4)</f>
        <v>1.32E-2</v>
      </c>
    </row>
    <row r="11" spans="1:34">
      <c r="A11" s="2679" t="s">
        <v>970</v>
      </c>
      <c r="B11" s="2693">
        <f t="shared" ref="B11:C13" si="28">B10/(1+N10)</f>
        <v>374.90436113236416</v>
      </c>
      <c r="C11" s="2693">
        <f t="shared" si="28"/>
        <v>295.64366128242779</v>
      </c>
      <c r="D11" s="2693">
        <f t="shared" ref="D11:D70" si="29">C11</f>
        <v>295.64366128242779</v>
      </c>
      <c r="E11" s="2693">
        <f t="shared" ref="E11:F13" si="30">E10/(1+P10)</f>
        <v>525.06646410938095</v>
      </c>
      <c r="F11" s="2693">
        <f t="shared" si="30"/>
        <v>261.88835286009646</v>
      </c>
      <c r="G11" s="3803"/>
      <c r="H11" s="2683">
        <v>3</v>
      </c>
      <c r="I11" s="2683">
        <v>4.12</v>
      </c>
      <c r="J11" s="2683">
        <v>2</v>
      </c>
      <c r="K11" s="2683">
        <v>4.79</v>
      </c>
      <c r="L11" s="2694">
        <v>1.97</v>
      </c>
      <c r="N11" s="2688">
        <f t="shared" ref="N11:Q45" si="31">I11/100</f>
        <v>4.1200000000000001E-2</v>
      </c>
      <c r="O11" s="2689">
        <f t="shared" si="27"/>
        <v>0.02</v>
      </c>
      <c r="P11" s="2689">
        <f t="shared" si="27"/>
        <v>4.7899999999999998E-2</v>
      </c>
      <c r="Q11" s="2689">
        <f t="shared" si="27"/>
        <v>1.9699999999999999E-2</v>
      </c>
      <c r="R11" s="2690"/>
      <c r="S11" s="2688"/>
      <c r="T11" s="2689"/>
      <c r="U11" s="2689"/>
      <c r="V11" s="2689"/>
      <c r="X11" s="2778">
        <f>ROUND(SUMPRODUCT(PRODUCT(1+N11:N$20)),4)</f>
        <v>1.2184999999999999</v>
      </c>
      <c r="Y11" s="2778">
        <f>ROUND(SUMPRODUCT(PRODUCT(1+O11:O$20)),4)</f>
        <v>1.1494</v>
      </c>
      <c r="Z11" s="2778">
        <f t="shared" si="0"/>
        <v>1.1494</v>
      </c>
      <c r="AA11" s="2778">
        <f>ROUND(SUMPRODUCT(PRODUCT(1+P11:P$20)),4)</f>
        <v>1.2425999999999999</v>
      </c>
      <c r="AB11" s="2778">
        <f>ROUND(SUMPRODUCT(PRODUCT(1+Q11:Q$20)),4)</f>
        <v>1.1372</v>
      </c>
      <c r="AD11" s="2698">
        <f>ROUND(AVERAGE(I11:I$21)/100,4)</f>
        <v>2.0899999999999998E-2</v>
      </c>
      <c r="AE11" s="2698">
        <f>ROUND(AVERAGE(J11:J$21)/100,4)</f>
        <v>1.49E-2</v>
      </c>
      <c r="AF11" s="2698">
        <f t="shared" si="1"/>
        <v>1.49E-2</v>
      </c>
      <c r="AG11" s="2698">
        <f>ROUND(AVERAGE(K11:K$21)/100,4)</f>
        <v>2.3099999999999999E-2</v>
      </c>
      <c r="AH11" s="2698">
        <f>ROUND(AVERAGE(L11:L$21)/100,4)</f>
        <v>1.2999999999999999E-2</v>
      </c>
    </row>
    <row r="12" spans="1:34">
      <c r="A12" s="2679" t="s">
        <v>960</v>
      </c>
      <c r="B12" s="2693">
        <f t="shared" si="28"/>
        <v>360.06949782209392</v>
      </c>
      <c r="C12" s="2693">
        <f t="shared" si="28"/>
        <v>289.84672674747821</v>
      </c>
      <c r="D12" s="2693">
        <f t="shared" si="29"/>
        <v>289.84672674747821</v>
      </c>
      <c r="E12" s="2693">
        <f t="shared" si="30"/>
        <v>501.06543001181495</v>
      </c>
      <c r="F12" s="2693">
        <f t="shared" si="30"/>
        <v>256.82882500744967</v>
      </c>
      <c r="G12" s="3803"/>
      <c r="H12" s="2684">
        <v>2</v>
      </c>
      <c r="I12" s="2684">
        <v>3.85</v>
      </c>
      <c r="J12" s="2684">
        <v>1.95</v>
      </c>
      <c r="K12" s="2684">
        <v>4.4800000000000004</v>
      </c>
      <c r="L12" s="2695">
        <v>1.41</v>
      </c>
      <c r="N12" s="2688">
        <f t="shared" si="31"/>
        <v>3.85E-2</v>
      </c>
      <c r="O12" s="2689">
        <f t="shared" si="27"/>
        <v>1.95E-2</v>
      </c>
      <c r="P12" s="2689">
        <f t="shared" si="27"/>
        <v>4.4800000000000006E-2</v>
      </c>
      <c r="Q12" s="2689">
        <f t="shared" si="27"/>
        <v>1.41E-2</v>
      </c>
      <c r="R12" s="2690"/>
      <c r="S12" s="2688"/>
      <c r="T12" s="2689"/>
      <c r="U12" s="2689"/>
      <c r="V12" s="2689"/>
      <c r="X12" s="2778">
        <f>ROUND(SUMPRODUCT(PRODUCT(1+N12:N$20)),4)</f>
        <v>1.1702999999999999</v>
      </c>
      <c r="Y12" s="2778">
        <f>ROUND(SUMPRODUCT(PRODUCT(1+O12:O$20)),4)</f>
        <v>1.1269</v>
      </c>
      <c r="Z12" s="2778">
        <f t="shared" si="0"/>
        <v>1.1269</v>
      </c>
      <c r="AA12" s="2778">
        <f>ROUND(SUMPRODUCT(PRODUCT(1+P12:P$20)),4)</f>
        <v>1.1858</v>
      </c>
      <c r="AB12" s="2778">
        <f>ROUND(SUMPRODUCT(PRODUCT(1+Q12:Q$20)),4)</f>
        <v>1.1152</v>
      </c>
      <c r="AD12" s="2698">
        <f>ROUND(AVERAGE(I12:I$21)/100,4)</f>
        <v>1.89E-2</v>
      </c>
      <c r="AE12" s="2698">
        <f>ROUND(AVERAGE(J12:J$21)/100,4)</f>
        <v>1.44E-2</v>
      </c>
      <c r="AF12" s="2698">
        <f t="shared" si="1"/>
        <v>1.44E-2</v>
      </c>
      <c r="AG12" s="2698">
        <f>ROUND(AVERAGE(K12:K$21)/100,4)</f>
        <v>2.06E-2</v>
      </c>
      <c r="AH12" s="2698">
        <f>ROUND(AVERAGE(L12:L$21)/100,4)</f>
        <v>1.23E-2</v>
      </c>
    </row>
    <row r="13" spans="1:34" ht="13.5" thickBot="1">
      <c r="A13" s="2679" t="s">
        <v>969</v>
      </c>
      <c r="B13" s="2693">
        <f t="shared" si="28"/>
        <v>346.720748986128</v>
      </c>
      <c r="C13" s="2693">
        <f t="shared" si="28"/>
        <v>284.30282172386285</v>
      </c>
      <c r="D13" s="2693">
        <f t="shared" si="29"/>
        <v>284.30282172386285</v>
      </c>
      <c r="E13" s="2693">
        <f t="shared" si="30"/>
        <v>479.58023546306947</v>
      </c>
      <c r="F13" s="2693">
        <f t="shared" si="30"/>
        <v>253.25788877571213</v>
      </c>
      <c r="G13" s="3804"/>
      <c r="H13" s="2683">
        <v>1</v>
      </c>
      <c r="I13" s="2683">
        <v>4.09</v>
      </c>
      <c r="J13" s="2683">
        <v>2.93</v>
      </c>
      <c r="K13" s="2683">
        <v>4.54</v>
      </c>
      <c r="L13" s="2694">
        <v>1.48</v>
      </c>
      <c r="N13" s="2688">
        <f t="shared" si="31"/>
        <v>4.0899999999999999E-2</v>
      </c>
      <c r="O13" s="2689">
        <f t="shared" si="27"/>
        <v>2.9300000000000003E-2</v>
      </c>
      <c r="P13" s="2689">
        <f t="shared" si="27"/>
        <v>4.5400000000000003E-2</v>
      </c>
      <c r="Q13" s="2689">
        <f t="shared" si="27"/>
        <v>1.4800000000000001E-2</v>
      </c>
      <c r="R13" s="2690"/>
      <c r="S13" s="2696">
        <f>B13/B14-1</f>
        <v>4.1203450408792808E-2</v>
      </c>
      <c r="T13" s="2697">
        <f>C13/C14-1</f>
        <v>2.6363977342465095E-2</v>
      </c>
      <c r="U13" s="2697">
        <f>E13/E14-1</f>
        <v>4.4837114298626357E-2</v>
      </c>
      <c r="V13" s="2697">
        <f>F13/F14-1</f>
        <v>1.7099954922538574E-2</v>
      </c>
      <c r="X13" s="2778">
        <f>ROUND(SUMPRODUCT(PRODUCT(1+N13:N$20)),4)</f>
        <v>1.1269</v>
      </c>
      <c r="Y13" s="2778">
        <f>ROUND(SUMPRODUCT(PRODUCT(1+O13:O$20)),4)</f>
        <v>1.1052999999999999</v>
      </c>
      <c r="Z13" s="2778">
        <f t="shared" si="0"/>
        <v>1.1052999999999999</v>
      </c>
      <c r="AA13" s="2778">
        <f>ROUND(SUMPRODUCT(PRODUCT(1+P13:P$20)),4)</f>
        <v>1.1349</v>
      </c>
      <c r="AB13" s="2778">
        <f>ROUND(SUMPRODUCT(PRODUCT(1+Q13:Q$20)),4)</f>
        <v>1.0996999999999999</v>
      </c>
      <c r="AD13" s="2698">
        <f>ROUND(AVERAGE(I13:I$21)/100,4)</f>
        <v>1.67E-2</v>
      </c>
      <c r="AE13" s="2698">
        <f>ROUND(AVERAGE(J13:J$21)/100,4)</f>
        <v>1.38E-2</v>
      </c>
      <c r="AF13" s="2698">
        <f t="shared" si="1"/>
        <v>1.38E-2</v>
      </c>
      <c r="AG13" s="2698">
        <f>ROUND(AVERAGE(K13:K$21)/100,4)</f>
        <v>1.7899999999999999E-2</v>
      </c>
      <c r="AH13" s="2698">
        <f>ROUND(AVERAGE(L13:L$21)/100,4)</f>
        <v>1.21E-2</v>
      </c>
    </row>
    <row r="14" spans="1:34" ht="13.5" thickBot="1">
      <c r="A14" s="2679" t="s">
        <v>968</v>
      </c>
      <c r="B14" s="2685">
        <v>333</v>
      </c>
      <c r="C14" s="2685">
        <v>277</v>
      </c>
      <c r="D14" s="2685">
        <f t="shared" si="29"/>
        <v>277</v>
      </c>
      <c r="E14" s="2685">
        <v>459</v>
      </c>
      <c r="F14" s="2686">
        <v>249</v>
      </c>
      <c r="G14" s="3802">
        <v>2015</v>
      </c>
      <c r="H14" s="2699">
        <v>4</v>
      </c>
      <c r="I14" s="2699">
        <v>1.63</v>
      </c>
      <c r="J14" s="2699">
        <v>1.1100000000000001</v>
      </c>
      <c r="K14" s="2699">
        <v>1.77</v>
      </c>
      <c r="L14" s="2700">
        <v>1.89</v>
      </c>
      <c r="N14" s="2701">
        <f t="shared" si="31"/>
        <v>1.6299999999999999E-2</v>
      </c>
      <c r="O14" s="2702">
        <f t="shared" si="27"/>
        <v>1.11E-2</v>
      </c>
      <c r="P14" s="2702">
        <f t="shared" si="27"/>
        <v>1.77E-2</v>
      </c>
      <c r="Q14" s="2702">
        <f t="shared" si="27"/>
        <v>1.89E-2</v>
      </c>
      <c r="R14" s="2690"/>
      <c r="X14" s="2778">
        <f>ROUND(SUMPRODUCT(PRODUCT(1+N14:N$20)),4)</f>
        <v>1.0826</v>
      </c>
      <c r="Y14" s="2778">
        <f>ROUND(SUMPRODUCT(PRODUCT(1+O14:O$20)),4)</f>
        <v>1.0738000000000001</v>
      </c>
      <c r="Z14" s="2778">
        <f t="shared" si="0"/>
        <v>1.0738000000000001</v>
      </c>
      <c r="AA14" s="2778">
        <f>ROUND(SUMPRODUCT(PRODUCT(1+P14:P$20)),4)</f>
        <v>1.0855999999999999</v>
      </c>
      <c r="AB14" s="2778">
        <f>ROUND(SUMPRODUCT(PRODUCT(1+Q14:Q$20)),4)</f>
        <v>1.0837000000000001</v>
      </c>
      <c r="AD14" s="2698">
        <f>ROUND(AVERAGE(I14:I$21)/100,4)</f>
        <v>1.37E-2</v>
      </c>
      <c r="AE14" s="2698">
        <f>ROUND(AVERAGE(J14:J$21)/100,4)</f>
        <v>1.1900000000000001E-2</v>
      </c>
      <c r="AF14" s="2698">
        <f t="shared" si="1"/>
        <v>1.1900000000000001E-2</v>
      </c>
      <c r="AG14" s="2698">
        <f>ROUND(AVERAGE(K14:K$21)/100,4)</f>
        <v>1.4500000000000001E-2</v>
      </c>
      <c r="AH14" s="2698">
        <f>ROUND(AVERAGE(L14:L$21)/100,4)</f>
        <v>1.18E-2</v>
      </c>
    </row>
    <row r="15" spans="1:34">
      <c r="A15" s="2679" t="s">
        <v>967</v>
      </c>
      <c r="B15" s="2693">
        <f t="shared" ref="B15:C17" si="32">B14/(1+N14)</f>
        <v>327.65915576109415</v>
      </c>
      <c r="C15" s="2693">
        <f t="shared" si="32"/>
        <v>273.95905449510434</v>
      </c>
      <c r="D15" s="2693">
        <f t="shared" si="29"/>
        <v>273.95905449510434</v>
      </c>
      <c r="E15" s="2693">
        <f t="shared" ref="E15:F17" si="33">E14/(1+P14)</f>
        <v>451.01699911565294</v>
      </c>
      <c r="F15" s="2693">
        <f t="shared" si="33"/>
        <v>244.38119540681129</v>
      </c>
      <c r="G15" s="3803"/>
      <c r="H15" s="2704">
        <v>3</v>
      </c>
      <c r="I15" s="2704">
        <v>1.65</v>
      </c>
      <c r="J15" s="2704">
        <v>0.92</v>
      </c>
      <c r="K15" s="2704">
        <v>1.88</v>
      </c>
      <c r="L15" s="2705">
        <v>1.26</v>
      </c>
      <c r="N15" s="2688">
        <f t="shared" si="31"/>
        <v>1.6500000000000001E-2</v>
      </c>
      <c r="O15" s="2706">
        <f t="shared" si="27"/>
        <v>9.1999999999999998E-3</v>
      </c>
      <c r="P15" s="2706">
        <f t="shared" si="27"/>
        <v>1.8799999999999997E-2</v>
      </c>
      <c r="Q15" s="2706">
        <f t="shared" si="27"/>
        <v>1.26E-2</v>
      </c>
      <c r="R15" s="2690"/>
      <c r="S15" s="2688"/>
      <c r="T15" s="2689"/>
      <c r="U15" s="2689"/>
      <c r="V15" s="2689"/>
      <c r="X15" s="2778">
        <f>ROUND(SUMPRODUCT(PRODUCT(1+N15:N$20)),4)</f>
        <v>1.0651999999999999</v>
      </c>
      <c r="Y15" s="2778">
        <f>ROUND(SUMPRODUCT(PRODUCT(1+O15:O$20)),4)</f>
        <v>1.0621</v>
      </c>
      <c r="Z15" s="2778">
        <f t="shared" si="0"/>
        <v>1.0621</v>
      </c>
      <c r="AA15" s="2778">
        <f>ROUND(SUMPRODUCT(PRODUCT(1+P15:P$20)),4)</f>
        <v>1.0668</v>
      </c>
      <c r="AB15" s="2778">
        <f>ROUND(SUMPRODUCT(PRODUCT(1+Q15:Q$20)),4)</f>
        <v>1.0636000000000001</v>
      </c>
      <c r="AD15" s="2698">
        <f>ROUND(AVERAGE(I15:I$21)/100,4)</f>
        <v>1.3299999999999999E-2</v>
      </c>
      <c r="AE15" s="2698">
        <f>ROUND(AVERAGE(J15:J$21)/100,4)</f>
        <v>1.2E-2</v>
      </c>
      <c r="AF15" s="2698">
        <f t="shared" si="1"/>
        <v>1.2E-2</v>
      </c>
      <c r="AG15" s="2698">
        <f>ROUND(AVERAGE(K15:K$21)/100,4)</f>
        <v>1.4E-2</v>
      </c>
      <c r="AH15" s="2698">
        <f>ROUND(AVERAGE(L15:L$21)/100,4)</f>
        <v>1.0800000000000001E-2</v>
      </c>
    </row>
    <row r="16" spans="1:34">
      <c r="A16" s="2679" t="s">
        <v>966</v>
      </c>
      <c r="B16" s="2693">
        <f t="shared" si="32"/>
        <v>322.34053690220776</v>
      </c>
      <c r="C16" s="2693">
        <f t="shared" si="32"/>
        <v>271.46160770422546</v>
      </c>
      <c r="D16" s="2693">
        <f t="shared" si="29"/>
        <v>271.46160770422546</v>
      </c>
      <c r="E16" s="2693">
        <f t="shared" si="33"/>
        <v>442.69434542172456</v>
      </c>
      <c r="F16" s="2693">
        <f t="shared" si="33"/>
        <v>241.34030753190925</v>
      </c>
      <c r="G16" s="3803"/>
      <c r="H16" s="2684">
        <v>2</v>
      </c>
      <c r="I16" s="2684">
        <v>0.77</v>
      </c>
      <c r="J16" s="2684">
        <v>0.69</v>
      </c>
      <c r="K16" s="2684">
        <v>0.8</v>
      </c>
      <c r="L16" s="2695">
        <v>0.88</v>
      </c>
      <c r="N16" s="2688">
        <f t="shared" si="31"/>
        <v>7.7000000000000002E-3</v>
      </c>
      <c r="O16" s="2706">
        <f t="shared" si="27"/>
        <v>6.8999999999999999E-3</v>
      </c>
      <c r="P16" s="2706">
        <f t="shared" si="27"/>
        <v>8.0000000000000002E-3</v>
      </c>
      <c r="Q16" s="2706">
        <f t="shared" si="27"/>
        <v>8.8000000000000005E-3</v>
      </c>
      <c r="R16" s="2690"/>
      <c r="S16" s="2688"/>
      <c r="T16" s="2689"/>
      <c r="U16" s="2689"/>
      <c r="V16" s="2689"/>
      <c r="X16" s="2778">
        <f>ROUND(SUMPRODUCT(PRODUCT(1+N16:N$20)),4)</f>
        <v>1.048</v>
      </c>
      <c r="Y16" s="2778">
        <f>ROUND(SUMPRODUCT(PRODUCT(1+O16:O$20)),4)</f>
        <v>1.0524</v>
      </c>
      <c r="Z16" s="2778">
        <f t="shared" si="0"/>
        <v>1.0524</v>
      </c>
      <c r="AA16" s="2778">
        <f>ROUND(SUMPRODUCT(PRODUCT(1+P16:P$20)),4)</f>
        <v>1.0470999999999999</v>
      </c>
      <c r="AB16" s="2778">
        <f>ROUND(SUMPRODUCT(PRODUCT(1+Q16:Q$20)),4)</f>
        <v>1.0504</v>
      </c>
      <c r="AD16" s="2698">
        <f>ROUND(AVERAGE(I16:I$21)/100,4)</f>
        <v>1.2800000000000001E-2</v>
      </c>
      <c r="AE16" s="2698">
        <f>ROUND(AVERAGE(J16:J$21)/100,4)</f>
        <v>1.2500000000000001E-2</v>
      </c>
      <c r="AF16" s="2698">
        <f t="shared" si="1"/>
        <v>1.2500000000000001E-2</v>
      </c>
      <c r="AG16" s="2698">
        <f>ROUND(AVERAGE(K16:K$21)/100,4)</f>
        <v>1.32E-2</v>
      </c>
      <c r="AH16" s="2698">
        <f>ROUND(AVERAGE(L16:L$21)/100,4)</f>
        <v>1.0500000000000001E-2</v>
      </c>
    </row>
    <row r="17" spans="1:34">
      <c r="A17" s="2679" t="s">
        <v>965</v>
      </c>
      <c r="B17" s="2693">
        <f t="shared" si="32"/>
        <v>319.87748030386797</v>
      </c>
      <c r="C17" s="2693">
        <f t="shared" si="32"/>
        <v>269.60135833173649</v>
      </c>
      <c r="D17" s="2693">
        <f t="shared" si="29"/>
        <v>269.60135833173649</v>
      </c>
      <c r="E17" s="2693">
        <f t="shared" si="33"/>
        <v>439.18089823583784</v>
      </c>
      <c r="F17" s="2693">
        <f t="shared" si="33"/>
        <v>239.23503918706311</v>
      </c>
      <c r="G17" s="3804"/>
      <c r="H17" s="2683">
        <v>1</v>
      </c>
      <c r="I17" s="2683">
        <v>0.51</v>
      </c>
      <c r="J17" s="2683">
        <v>0.54</v>
      </c>
      <c r="K17" s="2683">
        <v>0.48</v>
      </c>
      <c r="L17" s="2694">
        <v>0.93</v>
      </c>
      <c r="N17" s="2696">
        <f t="shared" si="31"/>
        <v>5.1000000000000004E-3</v>
      </c>
      <c r="O17" s="2697">
        <f t="shared" si="27"/>
        <v>5.4000000000000003E-3</v>
      </c>
      <c r="P17" s="2697">
        <f t="shared" si="27"/>
        <v>4.7999999999999996E-3</v>
      </c>
      <c r="Q17" s="2697">
        <f t="shared" si="27"/>
        <v>9.300000000000001E-3</v>
      </c>
      <c r="R17" s="2690"/>
      <c r="S17" s="2696">
        <f>B17/B18-1</f>
        <v>5.9040261127922822E-3</v>
      </c>
      <c r="T17" s="2697">
        <f>C17/C18-1</f>
        <v>5.9752176557332781E-3</v>
      </c>
      <c r="U17" s="2697">
        <f>E17/E18-1</f>
        <v>4.9906138119859556E-3</v>
      </c>
      <c r="V17" s="2697">
        <f>F17/F18-1</f>
        <v>9.4305450930933787E-3</v>
      </c>
      <c r="X17" s="2778">
        <f>ROUND(SUMPRODUCT(PRODUCT(1+N17:N$20)),4)</f>
        <v>1.0399</v>
      </c>
      <c r="Y17" s="2778">
        <f>ROUND(SUMPRODUCT(PRODUCT(1+O17:O$20)),4)</f>
        <v>1.0451999999999999</v>
      </c>
      <c r="Z17" s="2778">
        <f t="shared" si="0"/>
        <v>1.0451999999999999</v>
      </c>
      <c r="AA17" s="2778">
        <f>ROUND(SUMPRODUCT(PRODUCT(1+P17:P$20)),4)</f>
        <v>1.0387999999999999</v>
      </c>
      <c r="AB17" s="2778">
        <f>ROUND(SUMPRODUCT(PRODUCT(1+Q17:Q$20)),4)</f>
        <v>1.0411999999999999</v>
      </c>
      <c r="AD17" s="2698">
        <f>ROUND(AVERAGE(I17:I$21)/100,4)</f>
        <v>1.38E-2</v>
      </c>
      <c r="AE17" s="2698">
        <f>ROUND(AVERAGE(J17:J$21)/100,4)</f>
        <v>1.3599999999999999E-2</v>
      </c>
      <c r="AF17" s="2698">
        <f t="shared" si="1"/>
        <v>1.3599999999999999E-2</v>
      </c>
      <c r="AG17" s="2698">
        <f>ROUND(AVERAGE(K17:K$21)/100,4)</f>
        <v>1.4200000000000001E-2</v>
      </c>
      <c r="AH17" s="2698">
        <f>ROUND(AVERAGE(L17:L$21)/100,4)</f>
        <v>1.0800000000000001E-2</v>
      </c>
    </row>
    <row r="18" spans="1:34" ht="13.5" thickBot="1">
      <c r="A18" s="2679" t="s">
        <v>964</v>
      </c>
      <c r="B18" s="2707">
        <v>318</v>
      </c>
      <c r="C18" s="2707">
        <v>268</v>
      </c>
      <c r="D18" s="2707">
        <f t="shared" si="29"/>
        <v>268</v>
      </c>
      <c r="E18" s="2707">
        <v>437</v>
      </c>
      <c r="F18" s="2708">
        <v>237</v>
      </c>
      <c r="G18" s="3802">
        <v>2014</v>
      </c>
      <c r="H18" s="2699">
        <v>4</v>
      </c>
      <c r="I18" s="2699">
        <v>0.21</v>
      </c>
      <c r="J18" s="2699">
        <v>0.41</v>
      </c>
      <c r="K18" s="2699">
        <v>0.12</v>
      </c>
      <c r="L18" s="2700">
        <v>0.89</v>
      </c>
      <c r="N18" s="2688">
        <f t="shared" si="31"/>
        <v>2.0999999999999999E-3</v>
      </c>
      <c r="O18" s="2689">
        <f t="shared" si="27"/>
        <v>4.0999999999999995E-3</v>
      </c>
      <c r="P18" s="2689">
        <f t="shared" si="27"/>
        <v>1.1999999999999999E-3</v>
      </c>
      <c r="Q18" s="2689">
        <f t="shared" si="27"/>
        <v>8.8999999999999999E-3</v>
      </c>
      <c r="R18" s="2690"/>
      <c r="S18" s="2691"/>
      <c r="T18" s="2692"/>
      <c r="U18" s="2692"/>
      <c r="V18" s="2692"/>
      <c r="X18" s="2778">
        <f>ROUND(SUMPRODUCT(PRODUCT(1+N18:N$20)),4)</f>
        <v>1.0347</v>
      </c>
      <c r="Y18" s="2778">
        <f>ROUND(SUMPRODUCT(PRODUCT(1+O18:O$20)),4)</f>
        <v>1.0395000000000001</v>
      </c>
      <c r="Z18" s="2778">
        <f t="shared" si="0"/>
        <v>1.0395000000000001</v>
      </c>
      <c r="AA18" s="2778">
        <f>ROUND(SUMPRODUCT(PRODUCT(1+P18:P$20)),4)</f>
        <v>1.0338000000000001</v>
      </c>
      <c r="AB18" s="2778">
        <f>ROUND(SUMPRODUCT(PRODUCT(1+Q18:Q$20)),4)</f>
        <v>1.0316000000000001</v>
      </c>
      <c r="AD18" s="2698">
        <f>ROUND(AVERAGE(I18:I$21)/100,4)</f>
        <v>1.6E-2</v>
      </c>
      <c r="AE18" s="2698">
        <f>ROUND(AVERAGE(J18:J$21)/100,4)</f>
        <v>1.5599999999999999E-2</v>
      </c>
      <c r="AF18" s="2698">
        <f t="shared" si="1"/>
        <v>1.5599999999999999E-2</v>
      </c>
      <c r="AG18" s="2698">
        <f>ROUND(AVERAGE(K18:K$21)/100,4)</f>
        <v>1.66E-2</v>
      </c>
      <c r="AH18" s="2698">
        <f>ROUND(AVERAGE(L18:L$21)/100,4)</f>
        <v>1.12E-2</v>
      </c>
    </row>
    <row r="19" spans="1:34">
      <c r="A19" s="2679" t="s">
        <v>963</v>
      </c>
      <c r="B19" s="2693">
        <f t="shared" ref="B19:C21" si="34">B18/(1+N18)</f>
        <v>317.33359944117353</v>
      </c>
      <c r="C19" s="2693">
        <f t="shared" si="34"/>
        <v>266.90568668459315</v>
      </c>
      <c r="D19" s="2693">
        <f t="shared" si="29"/>
        <v>266.90568668459315</v>
      </c>
      <c r="E19" s="2693">
        <f t="shared" ref="E19:F21" si="35">E18/(1+P18)</f>
        <v>436.47622852576905</v>
      </c>
      <c r="F19" s="2693">
        <f t="shared" si="35"/>
        <v>234.90930716622066</v>
      </c>
      <c r="G19" s="3803"/>
      <c r="H19" s="2709">
        <v>3</v>
      </c>
      <c r="I19" s="2709">
        <v>0.83</v>
      </c>
      <c r="J19" s="2709">
        <v>1.47</v>
      </c>
      <c r="K19" s="2709">
        <v>0.65</v>
      </c>
      <c r="L19" s="2710">
        <v>0.72</v>
      </c>
      <c r="N19" s="2688">
        <f t="shared" si="31"/>
        <v>8.3000000000000001E-3</v>
      </c>
      <c r="O19" s="2689">
        <f t="shared" si="27"/>
        <v>1.47E-2</v>
      </c>
      <c r="P19" s="2689">
        <f t="shared" si="27"/>
        <v>6.5000000000000006E-3</v>
      </c>
      <c r="Q19" s="2689">
        <f t="shared" si="27"/>
        <v>7.1999999999999998E-3</v>
      </c>
      <c r="R19" s="2690"/>
      <c r="S19" s="2688"/>
      <c r="T19" s="2689"/>
      <c r="U19" s="2689"/>
      <c r="V19" s="2689"/>
      <c r="X19" s="2778">
        <f>ROUND(SUMPRODUCT(PRODUCT(1+N19:N$20)),4)</f>
        <v>1.0325</v>
      </c>
      <c r="Y19" s="2778">
        <f>ROUND(SUMPRODUCT(PRODUCT(1+O19:O$20)),4)</f>
        <v>1.0353000000000001</v>
      </c>
      <c r="Z19" s="2778">
        <f t="shared" ref="Z19:Z20" si="36">Y19</f>
        <v>1.0353000000000001</v>
      </c>
      <c r="AA19" s="2778">
        <f>ROUND(SUMPRODUCT(PRODUCT(1+P19:P$20)),4)</f>
        <v>1.0326</v>
      </c>
      <c r="AB19" s="2778">
        <f>ROUND(SUMPRODUCT(PRODUCT(1+Q19:Q$20)),4)</f>
        <v>1.0225</v>
      </c>
      <c r="AD19" s="2698">
        <f>ROUND(AVERAGE(I19:I$21)/100,4)</f>
        <v>2.07E-2</v>
      </c>
      <c r="AE19" s="2698">
        <f>ROUND(AVERAGE(J19:J$21)/100,4)</f>
        <v>1.95E-2</v>
      </c>
      <c r="AF19" s="2698">
        <f t="shared" si="1"/>
        <v>1.95E-2</v>
      </c>
      <c r="AG19" s="2698">
        <f>ROUND(AVERAGE(K19:K$21)/100,4)</f>
        <v>2.1700000000000001E-2</v>
      </c>
      <c r="AH19" s="2698">
        <f>ROUND(AVERAGE(L19:L$21)/100,4)</f>
        <v>1.2E-2</v>
      </c>
    </row>
    <row r="20" spans="1:34" ht="13.5" thickBot="1">
      <c r="A20" s="2679" t="s">
        <v>962</v>
      </c>
      <c r="B20" s="2693">
        <f t="shared" si="34"/>
        <v>314.72141172386546</v>
      </c>
      <c r="C20" s="2693">
        <f t="shared" si="34"/>
        <v>263.03901319069001</v>
      </c>
      <c r="D20" s="2693">
        <f t="shared" si="29"/>
        <v>263.03901319069001</v>
      </c>
      <c r="E20" s="2693">
        <f t="shared" si="35"/>
        <v>433.65745506782821</v>
      </c>
      <c r="F20" s="2693">
        <f t="shared" si="35"/>
        <v>233.23005080045735</v>
      </c>
      <c r="G20" s="3803"/>
      <c r="H20" s="2699">
        <v>2</v>
      </c>
      <c r="I20" s="2699">
        <v>2.4</v>
      </c>
      <c r="J20" s="2699">
        <v>2.0299999999999998</v>
      </c>
      <c r="K20" s="2699">
        <v>2.59</v>
      </c>
      <c r="L20" s="2700">
        <v>1.52</v>
      </c>
      <c r="N20" s="2688">
        <f t="shared" si="31"/>
        <v>2.4E-2</v>
      </c>
      <c r="O20" s="2689">
        <f t="shared" si="27"/>
        <v>2.0299999999999999E-2</v>
      </c>
      <c r="P20" s="2689">
        <f t="shared" si="27"/>
        <v>2.5899999999999999E-2</v>
      </c>
      <c r="Q20" s="2689">
        <f t="shared" si="27"/>
        <v>1.52E-2</v>
      </c>
      <c r="R20" s="2690"/>
      <c r="S20" s="2688"/>
      <c r="T20" s="2689"/>
      <c r="U20" s="2689"/>
      <c r="V20" s="2689"/>
      <c r="X20" s="2778">
        <f>1+N20</f>
        <v>1.024</v>
      </c>
      <c r="Y20" s="2778">
        <f>1+O20</f>
        <v>1.0203</v>
      </c>
      <c r="Z20" s="2778">
        <f t="shared" si="36"/>
        <v>1.0203</v>
      </c>
      <c r="AA20" s="2778">
        <f>1+P20</f>
        <v>1.0259</v>
      </c>
      <c r="AB20" s="2778">
        <f>1+Q20</f>
        <v>1.0152000000000001</v>
      </c>
      <c r="AD20" s="2698">
        <f>ROUND(AVERAGE(I20:I$21)/100,4)</f>
        <v>2.69E-2</v>
      </c>
      <c r="AE20" s="2698">
        <f>ROUND(AVERAGE(J20:J$21)/100,4)</f>
        <v>2.1899999999999999E-2</v>
      </c>
      <c r="AF20" s="2698">
        <f t="shared" ref="AF20" si="37">AE20</f>
        <v>2.1899999999999999E-2</v>
      </c>
      <c r="AG20" s="2698">
        <f>ROUND(AVERAGE(K20:K$21)/100,4)</f>
        <v>2.9399999999999999E-2</v>
      </c>
      <c r="AH20" s="2698">
        <f>ROUND(AVERAGE(L20:L$21)/100,4)</f>
        <v>1.44E-2</v>
      </c>
    </row>
    <row r="21" spans="1:34" s="2715" customFormat="1" ht="13.5" thickBot="1">
      <c r="A21" s="2711" t="s">
        <v>961</v>
      </c>
      <c r="B21" s="2712">
        <f t="shared" si="34"/>
        <v>307.34512863658733</v>
      </c>
      <c r="C21" s="2712">
        <f t="shared" si="34"/>
        <v>257.80556031626975</v>
      </c>
      <c r="D21" s="2712">
        <f t="shared" si="29"/>
        <v>257.80556031626975</v>
      </c>
      <c r="E21" s="2712">
        <f t="shared" si="35"/>
        <v>422.70928459677179</v>
      </c>
      <c r="F21" s="2712">
        <f t="shared" si="35"/>
        <v>229.73803270336617</v>
      </c>
      <c r="G21" s="3804"/>
      <c r="H21" s="2713">
        <v>1</v>
      </c>
      <c r="I21" s="2713">
        <v>2.97</v>
      </c>
      <c r="J21" s="2713">
        <v>2.34</v>
      </c>
      <c r="K21" s="2713">
        <v>3.28</v>
      </c>
      <c r="L21" s="2714">
        <v>1.36</v>
      </c>
      <c r="N21" s="2716">
        <f t="shared" si="31"/>
        <v>2.9700000000000001E-2</v>
      </c>
      <c r="O21" s="2717">
        <f t="shared" si="27"/>
        <v>2.3399999999999997E-2</v>
      </c>
      <c r="P21" s="2717">
        <f t="shared" si="27"/>
        <v>3.2799999999999996E-2</v>
      </c>
      <c r="Q21" s="2717">
        <f t="shared" si="27"/>
        <v>1.3600000000000001E-2</v>
      </c>
      <c r="R21" s="2718"/>
      <c r="S21" s="2719">
        <f>B21/B22-1</f>
        <v>2.7910129219355539E-2</v>
      </c>
      <c r="T21" s="2720">
        <f>C21/C22-1</f>
        <v>2.3037937762975247E-2</v>
      </c>
      <c r="U21" s="2720">
        <f>E21/E22-1</f>
        <v>3.3519033243940788E-2</v>
      </c>
      <c r="V21" s="2720">
        <f>F21/F22-1</f>
        <v>1.2061818076502862E-2</v>
      </c>
      <c r="W21" s="2787" t="s">
        <v>2640</v>
      </c>
      <c r="X21" s="2789">
        <v>1</v>
      </c>
      <c r="Y21" s="2789">
        <v>1</v>
      </c>
      <c r="Z21" s="2789">
        <v>1</v>
      </c>
      <c r="AA21" s="2789">
        <v>1</v>
      </c>
      <c r="AB21" s="2789">
        <v>1</v>
      </c>
      <c r="AD21" s="3033">
        <f>I21/100</f>
        <v>2.9700000000000001E-2</v>
      </c>
      <c r="AE21" s="3033">
        <f>J21/100</f>
        <v>2.3399999999999997E-2</v>
      </c>
      <c r="AF21" s="3033">
        <f>AE21</f>
        <v>2.3399999999999997E-2</v>
      </c>
      <c r="AG21" s="3033">
        <f>K21/100</f>
        <v>3.2799999999999996E-2</v>
      </c>
      <c r="AH21" s="3033">
        <f>L21/100</f>
        <v>1.3600000000000001E-2</v>
      </c>
    </row>
    <row r="22" spans="1:34" ht="13.5" thickBot="1">
      <c r="A22" s="2679" t="s">
        <v>2583</v>
      </c>
      <c r="B22" s="2685">
        <v>299</v>
      </c>
      <c r="C22" s="2685">
        <v>252</v>
      </c>
      <c r="D22" s="2685">
        <f t="shared" si="29"/>
        <v>252</v>
      </c>
      <c r="E22" s="2685">
        <v>409</v>
      </c>
      <c r="F22" s="2686">
        <v>227</v>
      </c>
      <c r="G22" s="3805">
        <v>2013</v>
      </c>
      <c r="H22" s="2721">
        <v>4</v>
      </c>
      <c r="I22" s="2721">
        <v>1.83</v>
      </c>
      <c r="J22" s="2721">
        <v>1.68</v>
      </c>
      <c r="K22" s="2721">
        <v>1.97</v>
      </c>
      <c r="L22" s="2722">
        <v>0.87</v>
      </c>
      <c r="N22" s="2701">
        <f t="shared" si="31"/>
        <v>1.83E-2</v>
      </c>
      <c r="O22" s="2702">
        <f t="shared" si="27"/>
        <v>1.6799999999999999E-2</v>
      </c>
      <c r="P22" s="2702">
        <f t="shared" si="27"/>
        <v>1.9699999999999999E-2</v>
      </c>
      <c r="Q22" s="2702">
        <f t="shared" si="27"/>
        <v>8.6999999999999994E-3</v>
      </c>
      <c r="R22" s="2690"/>
      <c r="S22" s="2691"/>
      <c r="T22" s="2692"/>
      <c r="U22" s="2692"/>
      <c r="V22" s="2692"/>
      <c r="X22" s="2692"/>
      <c r="Y22" s="2692"/>
      <c r="Z22" s="2692"/>
    </row>
    <row r="23" spans="1:34">
      <c r="A23" s="2679" t="s">
        <v>2584</v>
      </c>
      <c r="B23" s="2693">
        <f t="shared" ref="B23:C25" si="38">B22/(1+N22)</f>
        <v>293.62663262299913</v>
      </c>
      <c r="C23" s="2693">
        <f t="shared" si="38"/>
        <v>247.83634933123525</v>
      </c>
      <c r="D23" s="2693">
        <f t="shared" si="29"/>
        <v>247.83634933123525</v>
      </c>
      <c r="E23" s="2693">
        <f t="shared" ref="E23:F25" si="39">E22/(1+P22)</f>
        <v>401.09836226341076</v>
      </c>
      <c r="F23" s="2693">
        <f t="shared" si="39"/>
        <v>225.04213343908003</v>
      </c>
      <c r="G23" s="3806"/>
      <c r="H23" s="2704">
        <v>3</v>
      </c>
      <c r="I23" s="2704">
        <v>1.86</v>
      </c>
      <c r="J23" s="2704">
        <v>1.72</v>
      </c>
      <c r="K23" s="2704">
        <v>1.98</v>
      </c>
      <c r="L23" s="2705">
        <v>0.88</v>
      </c>
      <c r="N23" s="2688">
        <f t="shared" si="31"/>
        <v>1.8600000000000002E-2</v>
      </c>
      <c r="O23" s="2706">
        <f t="shared" si="27"/>
        <v>1.72E-2</v>
      </c>
      <c r="P23" s="2706">
        <f t="shared" si="27"/>
        <v>1.9799999999999998E-2</v>
      </c>
      <c r="Q23" s="2706">
        <f t="shared" si="27"/>
        <v>8.8000000000000005E-3</v>
      </c>
      <c r="R23" s="2690"/>
      <c r="S23" s="2688"/>
      <c r="T23" s="2689"/>
      <c r="U23" s="2689"/>
      <c r="V23" s="2689"/>
    </row>
    <row r="24" spans="1:34">
      <c r="A24" s="2679" t="s">
        <v>2585</v>
      </c>
      <c r="B24" s="2693">
        <f t="shared" si="38"/>
        <v>288.2649053828776</v>
      </c>
      <c r="C24" s="2693">
        <f t="shared" si="38"/>
        <v>243.64564425013293</v>
      </c>
      <c r="D24" s="2693">
        <f t="shared" si="29"/>
        <v>243.64564425013293</v>
      </c>
      <c r="E24" s="2693">
        <f t="shared" si="39"/>
        <v>393.31080825986544</v>
      </c>
      <c r="F24" s="2693">
        <f t="shared" si="39"/>
        <v>223.07903790551154</v>
      </c>
      <c r="G24" s="3806"/>
      <c r="H24" s="2684">
        <v>2</v>
      </c>
      <c r="I24" s="2684">
        <v>2.04</v>
      </c>
      <c r="J24" s="2684">
        <v>2.33</v>
      </c>
      <c r="K24" s="2684">
        <v>2.0699999999999998</v>
      </c>
      <c r="L24" s="2695">
        <v>0.69</v>
      </c>
      <c r="N24" s="2688">
        <f t="shared" si="31"/>
        <v>2.0400000000000001E-2</v>
      </c>
      <c r="O24" s="2706">
        <f t="shared" si="27"/>
        <v>2.3300000000000001E-2</v>
      </c>
      <c r="P24" s="2706">
        <f t="shared" si="27"/>
        <v>2.07E-2</v>
      </c>
      <c r="Q24" s="2706">
        <f t="shared" si="27"/>
        <v>6.8999999999999999E-3</v>
      </c>
      <c r="R24" s="2690"/>
      <c r="S24" s="2688"/>
      <c r="T24" s="2689"/>
      <c r="U24" s="2689"/>
      <c r="V24" s="2689"/>
      <c r="X24" s="2790"/>
      <c r="Y24" s="2792"/>
    </row>
    <row r="25" spans="1:34">
      <c r="A25" s="2679" t="s">
        <v>2586</v>
      </c>
      <c r="B25" s="2693">
        <f t="shared" si="38"/>
        <v>282.50186729015837</v>
      </c>
      <c r="C25" s="2693">
        <f t="shared" si="38"/>
        <v>238.09796174155468</v>
      </c>
      <c r="D25" s="2693">
        <f t="shared" si="29"/>
        <v>238.09796174155468</v>
      </c>
      <c r="E25" s="2693">
        <f t="shared" si="39"/>
        <v>385.33438646014054</v>
      </c>
      <c r="F25" s="2693">
        <f t="shared" si="39"/>
        <v>221.55034055567739</v>
      </c>
      <c r="G25" s="3807"/>
      <c r="H25" s="2683">
        <v>1</v>
      </c>
      <c r="I25" s="2683">
        <v>1.67</v>
      </c>
      <c r="J25" s="2683">
        <v>1.31</v>
      </c>
      <c r="K25" s="2683">
        <v>1.85</v>
      </c>
      <c r="L25" s="2694">
        <v>0.96</v>
      </c>
      <c r="N25" s="2696">
        <f t="shared" si="31"/>
        <v>1.67E-2</v>
      </c>
      <c r="O25" s="2697">
        <f t="shared" si="27"/>
        <v>1.3100000000000001E-2</v>
      </c>
      <c r="P25" s="2697">
        <f t="shared" si="27"/>
        <v>1.8500000000000003E-2</v>
      </c>
      <c r="Q25" s="2697">
        <f t="shared" si="27"/>
        <v>9.5999999999999992E-3</v>
      </c>
      <c r="R25" s="2690"/>
      <c r="S25" s="2696">
        <f>B25/B26-1</f>
        <v>1.6193767230785472E-2</v>
      </c>
      <c r="T25" s="2697">
        <f>C25/C26-1</f>
        <v>1.7512657015190891E-2</v>
      </c>
      <c r="U25" s="2697">
        <f>E25/E26-1</f>
        <v>1.6713420739157048E-2</v>
      </c>
      <c r="V25" s="2697">
        <f>F25/F26-1</f>
        <v>7.0470025258062563E-3</v>
      </c>
      <c r="X25" s="2791"/>
      <c r="Y25" s="2698"/>
      <c r="Z25" s="2698"/>
    </row>
    <row r="26" spans="1:34" ht="13.5" thickBot="1">
      <c r="A26" s="2679" t="s">
        <v>2587</v>
      </c>
      <c r="B26" s="2723">
        <v>278</v>
      </c>
      <c r="C26" s="2723">
        <v>234</v>
      </c>
      <c r="D26" s="2723">
        <f t="shared" si="29"/>
        <v>234</v>
      </c>
      <c r="E26" s="2723">
        <v>379</v>
      </c>
      <c r="F26" s="2724">
        <v>220</v>
      </c>
      <c r="G26" s="3802">
        <v>2012</v>
      </c>
      <c r="H26" s="2699">
        <v>4</v>
      </c>
      <c r="I26" s="2699">
        <v>0.91</v>
      </c>
      <c r="J26" s="2699">
        <v>0.68</v>
      </c>
      <c r="K26" s="2699">
        <v>0.98</v>
      </c>
      <c r="L26" s="2700">
        <v>0.9</v>
      </c>
      <c r="N26" s="2688">
        <f t="shared" si="31"/>
        <v>9.1000000000000004E-3</v>
      </c>
      <c r="O26" s="2689">
        <f t="shared" si="31"/>
        <v>6.8000000000000005E-3</v>
      </c>
      <c r="P26" s="2689">
        <f t="shared" si="31"/>
        <v>9.7999999999999997E-3</v>
      </c>
      <c r="Q26" s="2689">
        <f t="shared" si="31"/>
        <v>9.0000000000000011E-3</v>
      </c>
      <c r="R26" s="2690"/>
      <c r="S26" s="2691"/>
      <c r="T26" s="2692"/>
      <c r="U26" s="2692"/>
      <c r="V26" s="2692"/>
      <c r="X26" s="2692"/>
      <c r="Y26" s="2692"/>
      <c r="Z26" s="2692"/>
    </row>
    <row r="27" spans="1:34">
      <c r="A27" s="2679" t="s">
        <v>2588</v>
      </c>
      <c r="B27" s="2693">
        <f>B26/(1+N26)</f>
        <v>275.49301357645425</v>
      </c>
      <c r="C27" s="2693">
        <f>C26/(1+O26)</f>
        <v>232.41954707985698</v>
      </c>
      <c r="D27" s="2693">
        <f t="shared" si="29"/>
        <v>232.41954707985698</v>
      </c>
      <c r="E27" s="2693">
        <f t="shared" ref="E27:F29" si="40">E26/(1+P26)</f>
        <v>375.32184591008121</v>
      </c>
      <c r="F27" s="2693">
        <f t="shared" si="40"/>
        <v>218.03766105054513</v>
      </c>
      <c r="G27" s="3803"/>
      <c r="H27" s="2704">
        <v>3</v>
      </c>
      <c r="I27" s="2704">
        <v>0.09</v>
      </c>
      <c r="J27" s="2704">
        <v>0.28999999999999998</v>
      </c>
      <c r="K27" s="2704">
        <v>-0.01</v>
      </c>
      <c r="L27" s="2705">
        <v>0.57999999999999996</v>
      </c>
      <c r="N27" s="2688">
        <f t="shared" si="31"/>
        <v>8.9999999999999998E-4</v>
      </c>
      <c r="O27" s="2689">
        <f t="shared" si="31"/>
        <v>2.8999999999999998E-3</v>
      </c>
      <c r="P27" s="2689">
        <f t="shared" si="31"/>
        <v>-1E-4</v>
      </c>
      <c r="Q27" s="2689">
        <f t="shared" si="31"/>
        <v>5.7999999999999996E-3</v>
      </c>
      <c r="R27" s="2690"/>
      <c r="S27" s="2688"/>
      <c r="T27" s="2689"/>
      <c r="U27" s="2689"/>
      <c r="V27" s="2689"/>
    </row>
    <row r="28" spans="1:34">
      <c r="A28" s="2679" t="s">
        <v>2589</v>
      </c>
      <c r="B28" s="2693">
        <f>B27/(1+N27)</f>
        <v>275.24529281292263</v>
      </c>
      <c r="C28" s="2693">
        <f>C27/(1+O27)</f>
        <v>231.74747938962707</v>
      </c>
      <c r="D28" s="2693">
        <f t="shared" si="29"/>
        <v>231.74747938962707</v>
      </c>
      <c r="E28" s="2693">
        <f t="shared" si="40"/>
        <v>375.35938184826603</v>
      </c>
      <c r="F28" s="2693">
        <f t="shared" si="40"/>
        <v>216.78033510692495</v>
      </c>
      <c r="G28" s="3803"/>
      <c r="H28" s="2684">
        <v>2</v>
      </c>
      <c r="I28" s="2684">
        <v>0.02</v>
      </c>
      <c r="J28" s="2684">
        <v>0.12</v>
      </c>
      <c r="K28" s="2684">
        <v>-0.08</v>
      </c>
      <c r="L28" s="2695">
        <v>1.24</v>
      </c>
      <c r="N28" s="2688">
        <f t="shared" si="31"/>
        <v>2.0000000000000001E-4</v>
      </c>
      <c r="O28" s="2689">
        <f t="shared" si="31"/>
        <v>1.1999999999999999E-3</v>
      </c>
      <c r="P28" s="2689">
        <f t="shared" si="31"/>
        <v>-8.0000000000000004E-4</v>
      </c>
      <c r="Q28" s="2689">
        <f t="shared" si="31"/>
        <v>1.24E-2</v>
      </c>
      <c r="R28" s="2690"/>
      <c r="S28" s="2688"/>
      <c r="T28" s="2689"/>
      <c r="U28" s="2689"/>
      <c r="V28" s="2689"/>
    </row>
    <row r="29" spans="1:34" ht="13.5" thickBot="1">
      <c r="A29" s="2679" t="s">
        <v>2590</v>
      </c>
      <c r="B29" s="2693">
        <f>B28/(1+N28)</f>
        <v>275.19025476197027</v>
      </c>
      <c r="C29" s="2725">
        <v>232</v>
      </c>
      <c r="D29" s="2725">
        <f t="shared" si="29"/>
        <v>232</v>
      </c>
      <c r="E29" s="2693">
        <f t="shared" si="40"/>
        <v>375.65990977608692</v>
      </c>
      <c r="F29" s="2693">
        <f t="shared" si="40"/>
        <v>214.12518283971252</v>
      </c>
      <c r="G29" s="3804"/>
      <c r="H29" s="2683">
        <v>1</v>
      </c>
      <c r="I29" s="2683">
        <v>0.02</v>
      </c>
      <c r="J29" s="2683">
        <v>0.13</v>
      </c>
      <c r="K29" s="2683">
        <v>-0.04</v>
      </c>
      <c r="L29" s="2694">
        <v>0.46</v>
      </c>
      <c r="N29" s="2688">
        <f t="shared" si="31"/>
        <v>2.0000000000000001E-4</v>
      </c>
      <c r="O29" s="2689">
        <f t="shared" si="31"/>
        <v>1.2999999999999999E-3</v>
      </c>
      <c r="P29" s="2689">
        <f t="shared" si="31"/>
        <v>-4.0000000000000002E-4</v>
      </c>
      <c r="Q29" s="2689">
        <f t="shared" si="31"/>
        <v>4.5999999999999999E-3</v>
      </c>
      <c r="R29" s="2690"/>
      <c r="S29" s="2696">
        <f>B29/B30-1</f>
        <v>6.9183549807361189E-4</v>
      </c>
      <c r="T29" s="2697">
        <f>C29/C30-1</f>
        <v>0</v>
      </c>
      <c r="U29" s="2697">
        <f>E29/E30-1</f>
        <v>-9.0449527636460303E-4</v>
      </c>
      <c r="V29" s="2697">
        <f>F29/F30-1</f>
        <v>5.2825485432512753E-3</v>
      </c>
      <c r="X29" s="2698"/>
      <c r="Y29" s="2698"/>
      <c r="Z29" s="2698"/>
    </row>
    <row r="30" spans="1:34" ht="13.5" thickBot="1">
      <c r="A30" s="2679" t="s">
        <v>2591</v>
      </c>
      <c r="B30" s="2685">
        <v>275</v>
      </c>
      <c r="C30" s="2685">
        <v>232</v>
      </c>
      <c r="D30" s="2685">
        <f t="shared" si="29"/>
        <v>232</v>
      </c>
      <c r="E30" s="2685">
        <v>376</v>
      </c>
      <c r="F30" s="2686">
        <v>213</v>
      </c>
      <c r="G30" s="3802">
        <v>2011</v>
      </c>
      <c r="H30" s="2699">
        <v>4</v>
      </c>
      <c r="I30" s="2699">
        <v>-0.2</v>
      </c>
      <c r="J30" s="2699">
        <v>0.04</v>
      </c>
      <c r="K30" s="2699">
        <v>-0.34</v>
      </c>
      <c r="L30" s="2700">
        <v>0.46</v>
      </c>
      <c r="N30" s="2701">
        <f t="shared" si="31"/>
        <v>-2E-3</v>
      </c>
      <c r="O30" s="2702">
        <f t="shared" si="31"/>
        <v>4.0000000000000002E-4</v>
      </c>
      <c r="P30" s="2702">
        <f t="shared" si="31"/>
        <v>-3.4000000000000002E-3</v>
      </c>
      <c r="Q30" s="2702">
        <f t="shared" si="31"/>
        <v>4.5999999999999999E-3</v>
      </c>
      <c r="R30" s="2690"/>
      <c r="S30" s="2691"/>
      <c r="T30" s="2692"/>
      <c r="U30" s="2692"/>
      <c r="V30" s="2692"/>
      <c r="X30" s="2692"/>
      <c r="Y30" s="2692"/>
      <c r="Z30" s="2692"/>
    </row>
    <row r="31" spans="1:34">
      <c r="A31" s="2679" t="s">
        <v>2592</v>
      </c>
      <c r="B31" s="2693">
        <f t="shared" ref="B31:C33" si="41">B30/(1+N30)</f>
        <v>275.55110220440883</v>
      </c>
      <c r="C31" s="2693">
        <f t="shared" si="41"/>
        <v>231.90723710515795</v>
      </c>
      <c r="D31" s="2693">
        <f t="shared" si="29"/>
        <v>231.90723710515795</v>
      </c>
      <c r="E31" s="2693">
        <f t="shared" ref="E31:F33" si="42">E30/(1+P30)</f>
        <v>377.28276138872161</v>
      </c>
      <c r="F31" s="2693">
        <f t="shared" si="42"/>
        <v>212.02468644236512</v>
      </c>
      <c r="G31" s="3803">
        <v>2011</v>
      </c>
      <c r="H31" s="2704">
        <v>3</v>
      </c>
      <c r="I31" s="2704">
        <v>0.13</v>
      </c>
      <c r="J31" s="2704">
        <v>0.75</v>
      </c>
      <c r="K31" s="2704">
        <v>-0.08</v>
      </c>
      <c r="L31" s="2705">
        <v>0.53</v>
      </c>
      <c r="N31" s="2688">
        <f t="shared" si="31"/>
        <v>1.2999999999999999E-3</v>
      </c>
      <c r="O31" s="2706">
        <f t="shared" si="31"/>
        <v>7.4999999999999997E-3</v>
      </c>
      <c r="P31" s="2706">
        <f t="shared" si="31"/>
        <v>-8.0000000000000004E-4</v>
      </c>
      <c r="Q31" s="2706">
        <f t="shared" si="31"/>
        <v>5.3E-3</v>
      </c>
      <c r="R31" s="2690"/>
      <c r="S31" s="2688"/>
      <c r="T31" s="2689"/>
      <c r="U31" s="2689"/>
      <c r="V31" s="2689"/>
    </row>
    <row r="32" spans="1:34">
      <c r="A32" s="2679" t="s">
        <v>2593</v>
      </c>
      <c r="B32" s="2693">
        <f t="shared" si="41"/>
        <v>275.19335084830601</v>
      </c>
      <c r="C32" s="2693">
        <f t="shared" si="41"/>
        <v>230.18088050139744</v>
      </c>
      <c r="D32" s="2693">
        <f t="shared" si="29"/>
        <v>230.18088050139744</v>
      </c>
      <c r="E32" s="2693">
        <f t="shared" si="42"/>
        <v>377.58482925212331</v>
      </c>
      <c r="F32" s="2693">
        <f t="shared" si="42"/>
        <v>210.90687997847917</v>
      </c>
      <c r="G32" s="3803">
        <v>2011</v>
      </c>
      <c r="H32" s="2684">
        <v>2</v>
      </c>
      <c r="I32" s="2684">
        <v>-0.4</v>
      </c>
      <c r="J32" s="2684">
        <v>0.17</v>
      </c>
      <c r="K32" s="2684">
        <v>-0.57999999999999996</v>
      </c>
      <c r="L32" s="2695">
        <v>-0.2</v>
      </c>
      <c r="N32" s="2688">
        <f t="shared" si="31"/>
        <v>-4.0000000000000001E-3</v>
      </c>
      <c r="O32" s="2706">
        <f t="shared" si="31"/>
        <v>1.7000000000000001E-3</v>
      </c>
      <c r="P32" s="2706">
        <f t="shared" si="31"/>
        <v>-5.7999999999999996E-3</v>
      </c>
      <c r="Q32" s="2706">
        <f t="shared" si="31"/>
        <v>-2E-3</v>
      </c>
      <c r="R32" s="2690"/>
      <c r="S32" s="2688"/>
      <c r="T32" s="2689"/>
      <c r="U32" s="2689"/>
      <c r="V32" s="2689"/>
    </row>
    <row r="33" spans="1:26" ht="13.5" thickBot="1">
      <c r="A33" s="2679" t="s">
        <v>2594</v>
      </c>
      <c r="B33" s="2693">
        <f t="shared" si="41"/>
        <v>276.29854502841971</v>
      </c>
      <c r="C33" s="2693">
        <f t="shared" si="41"/>
        <v>229.79023709833027</v>
      </c>
      <c r="D33" s="2693">
        <f t="shared" si="29"/>
        <v>229.79023709833027</v>
      </c>
      <c r="E33" s="2693">
        <f t="shared" si="42"/>
        <v>379.78759731655936</v>
      </c>
      <c r="F33" s="2693">
        <f t="shared" si="42"/>
        <v>211.32953905659235</v>
      </c>
      <c r="G33" s="3804">
        <v>2011</v>
      </c>
      <c r="H33" s="2683">
        <v>1</v>
      </c>
      <c r="I33" s="2683">
        <v>2.65</v>
      </c>
      <c r="J33" s="2683">
        <v>3.76</v>
      </c>
      <c r="K33" s="2683">
        <v>1.89</v>
      </c>
      <c r="L33" s="2694">
        <v>7.95</v>
      </c>
      <c r="N33" s="2696">
        <f t="shared" si="31"/>
        <v>2.6499999999999999E-2</v>
      </c>
      <c r="O33" s="2697">
        <f t="shared" si="31"/>
        <v>3.7599999999999995E-2</v>
      </c>
      <c r="P33" s="2697">
        <f t="shared" si="31"/>
        <v>1.89E-2</v>
      </c>
      <c r="Q33" s="2697">
        <f t="shared" si="31"/>
        <v>7.9500000000000001E-2</v>
      </c>
      <c r="R33" s="2690"/>
      <c r="S33" s="2696">
        <f>B33/B34-1</f>
        <v>2.713213765211786E-2</v>
      </c>
      <c r="T33" s="2697">
        <f>C33/C34-1</f>
        <v>3.9774828499231862E-2</v>
      </c>
      <c r="U33" s="2697">
        <f>E33/E34-1</f>
        <v>1.8197311840641772E-2</v>
      </c>
      <c r="V33" s="2697">
        <f>F33/F34-1</f>
        <v>7.8211933962205826E-2</v>
      </c>
      <c r="X33" s="2698"/>
      <c r="Y33" s="2698"/>
      <c r="Z33" s="2698"/>
    </row>
    <row r="34" spans="1:26" ht="13.5" thickBot="1">
      <c r="A34" s="2679" t="s">
        <v>2595</v>
      </c>
      <c r="B34" s="2685">
        <v>269</v>
      </c>
      <c r="C34" s="2685">
        <v>221</v>
      </c>
      <c r="D34" s="2685">
        <f t="shared" si="29"/>
        <v>221</v>
      </c>
      <c r="E34" s="2685">
        <v>373</v>
      </c>
      <c r="F34" s="2686">
        <v>196</v>
      </c>
      <c r="G34" s="3802">
        <v>2010</v>
      </c>
      <c r="H34" s="2699">
        <v>4</v>
      </c>
      <c r="I34" s="2699">
        <v>5.72</v>
      </c>
      <c r="J34" s="2699">
        <v>6.57</v>
      </c>
      <c r="K34" s="2699">
        <v>5.72</v>
      </c>
      <c r="L34" s="2700">
        <v>2.72</v>
      </c>
      <c r="N34" s="2688">
        <f t="shared" si="31"/>
        <v>5.7200000000000001E-2</v>
      </c>
      <c r="O34" s="2689">
        <f t="shared" si="31"/>
        <v>6.5700000000000008E-2</v>
      </c>
      <c r="P34" s="2689">
        <f t="shared" si="31"/>
        <v>5.7200000000000001E-2</v>
      </c>
      <c r="Q34" s="2689">
        <f t="shared" si="31"/>
        <v>2.7200000000000002E-2</v>
      </c>
      <c r="R34" s="2690"/>
      <c r="S34" s="2691"/>
      <c r="T34" s="2692"/>
      <c r="U34" s="2692"/>
      <c r="V34" s="2692"/>
      <c r="X34" s="2692"/>
      <c r="Y34" s="2692"/>
      <c r="Z34" s="2692"/>
    </row>
    <row r="35" spans="1:26">
      <c r="A35" s="2679" t="s">
        <v>2596</v>
      </c>
      <c r="B35" s="2693">
        <f t="shared" ref="B35:C37" si="43">B34/(1+N34)</f>
        <v>254.44570563753314</v>
      </c>
      <c r="C35" s="2693">
        <f t="shared" si="43"/>
        <v>207.37543398705074</v>
      </c>
      <c r="D35" s="2693">
        <f t="shared" si="29"/>
        <v>207.37543398705074</v>
      </c>
      <c r="E35" s="2693">
        <f t="shared" ref="E35:F37" si="44">E34/(1+P34)</f>
        <v>352.81876655315932</v>
      </c>
      <c r="F35" s="2693">
        <f t="shared" si="44"/>
        <v>190.809968847352</v>
      </c>
      <c r="G35" s="3803">
        <v>2010</v>
      </c>
      <c r="H35" s="2704">
        <v>3</v>
      </c>
      <c r="I35" s="2704">
        <v>4.7300000000000004</v>
      </c>
      <c r="J35" s="2704">
        <v>3.9</v>
      </c>
      <c r="K35" s="2704">
        <v>5.03</v>
      </c>
      <c r="L35" s="2705">
        <v>4.21</v>
      </c>
      <c r="N35" s="2688">
        <f t="shared" si="31"/>
        <v>4.7300000000000002E-2</v>
      </c>
      <c r="O35" s="2689">
        <f t="shared" si="31"/>
        <v>3.9E-2</v>
      </c>
      <c r="P35" s="2689">
        <f t="shared" si="31"/>
        <v>5.0300000000000004E-2</v>
      </c>
      <c r="Q35" s="2689">
        <f t="shared" si="31"/>
        <v>4.2099999999999999E-2</v>
      </c>
      <c r="R35" s="2690"/>
      <c r="S35" s="2688"/>
      <c r="T35" s="2689"/>
      <c r="U35" s="2689"/>
      <c r="V35" s="2689"/>
    </row>
    <row r="36" spans="1:26">
      <c r="A36" s="2679" t="s">
        <v>2597</v>
      </c>
      <c r="B36" s="2693">
        <f t="shared" si="43"/>
        <v>242.95398227588385</v>
      </c>
      <c r="C36" s="2693">
        <f t="shared" si="43"/>
        <v>199.59137053614126</v>
      </c>
      <c r="D36" s="2693">
        <f t="shared" si="29"/>
        <v>199.59137053614126</v>
      </c>
      <c r="E36" s="2693">
        <f t="shared" si="44"/>
        <v>335.92189522342125</v>
      </c>
      <c r="F36" s="2693">
        <f t="shared" si="44"/>
        <v>183.10139991109489</v>
      </c>
      <c r="G36" s="3803">
        <v>2010</v>
      </c>
      <c r="H36" s="2684">
        <v>2</v>
      </c>
      <c r="I36" s="2684">
        <v>4.6900000000000004</v>
      </c>
      <c r="J36" s="2684">
        <v>3.55</v>
      </c>
      <c r="K36" s="2684">
        <v>5.07</v>
      </c>
      <c r="L36" s="2695">
        <v>4.2300000000000004</v>
      </c>
      <c r="N36" s="2688">
        <f t="shared" si="31"/>
        <v>4.6900000000000004E-2</v>
      </c>
      <c r="O36" s="2689">
        <f t="shared" si="31"/>
        <v>3.5499999999999997E-2</v>
      </c>
      <c r="P36" s="2689">
        <f t="shared" si="31"/>
        <v>5.0700000000000002E-2</v>
      </c>
      <c r="Q36" s="2689">
        <f t="shared" si="31"/>
        <v>4.2300000000000004E-2</v>
      </c>
      <c r="R36" s="2690"/>
      <c r="S36" s="2688"/>
      <c r="T36" s="2689"/>
      <c r="U36" s="2689"/>
      <c r="V36" s="2689"/>
    </row>
    <row r="37" spans="1:26" ht="13.5" thickBot="1">
      <c r="A37" s="2679" t="s">
        <v>2598</v>
      </c>
      <c r="B37" s="2693">
        <f t="shared" si="43"/>
        <v>232.06990378821649</v>
      </c>
      <c r="C37" s="2693">
        <f t="shared" si="43"/>
        <v>192.74878854286936</v>
      </c>
      <c r="D37" s="2693">
        <f t="shared" si="29"/>
        <v>192.74878854286936</v>
      </c>
      <c r="E37" s="2693">
        <f t="shared" si="44"/>
        <v>319.71247284992984</v>
      </c>
      <c r="F37" s="2693">
        <f t="shared" si="44"/>
        <v>175.67053622862409</v>
      </c>
      <c r="G37" s="3804">
        <v>2010</v>
      </c>
      <c r="H37" s="2683">
        <v>1</v>
      </c>
      <c r="I37" s="2683">
        <v>5.4</v>
      </c>
      <c r="J37" s="2683">
        <v>3.2</v>
      </c>
      <c r="K37" s="2683">
        <v>6.16</v>
      </c>
      <c r="L37" s="2694">
        <v>4.51</v>
      </c>
      <c r="N37" s="2688">
        <f t="shared" si="31"/>
        <v>5.4000000000000006E-2</v>
      </c>
      <c r="O37" s="2689">
        <f t="shared" si="31"/>
        <v>3.2000000000000001E-2</v>
      </c>
      <c r="P37" s="2689">
        <f t="shared" si="31"/>
        <v>6.1600000000000002E-2</v>
      </c>
      <c r="Q37" s="2689">
        <f t="shared" si="31"/>
        <v>4.5100000000000001E-2</v>
      </c>
      <c r="R37" s="2690"/>
      <c r="S37" s="2696">
        <f>B37/B38-1</f>
        <v>5.4863199037347599E-2</v>
      </c>
      <c r="T37" s="2697">
        <f>C37/C38-1</f>
        <v>3.0742184721226584E-2</v>
      </c>
      <c r="U37" s="2697">
        <f>E37/E38-1</f>
        <v>6.2167683886810154E-2</v>
      </c>
      <c r="V37" s="2697">
        <f>F37/F38-1</f>
        <v>4.5657953741810031E-2</v>
      </c>
      <c r="X37" s="2698"/>
      <c r="Y37" s="2698"/>
      <c r="Z37" s="2698"/>
    </row>
    <row r="38" spans="1:26" ht="13.5" thickBot="1">
      <c r="A38" s="2679" t="s">
        <v>2599</v>
      </c>
      <c r="B38" s="2685">
        <v>220</v>
      </c>
      <c r="C38" s="2685">
        <v>187</v>
      </c>
      <c r="D38" s="2685">
        <f t="shared" si="29"/>
        <v>187</v>
      </c>
      <c r="E38" s="2685">
        <v>301</v>
      </c>
      <c r="F38" s="2686">
        <v>168</v>
      </c>
      <c r="G38" s="3802">
        <v>2009</v>
      </c>
      <c r="H38" s="2699">
        <v>4</v>
      </c>
      <c r="I38" s="2699">
        <v>2.2999999999999998</v>
      </c>
      <c r="J38" s="2699">
        <v>1.04</v>
      </c>
      <c r="K38" s="2699">
        <v>2.84</v>
      </c>
      <c r="L38" s="2700">
        <v>0.67</v>
      </c>
      <c r="N38" s="2701">
        <f t="shared" si="31"/>
        <v>2.3E-2</v>
      </c>
      <c r="O38" s="2702">
        <f t="shared" si="31"/>
        <v>1.04E-2</v>
      </c>
      <c r="P38" s="2702">
        <f t="shared" si="31"/>
        <v>2.8399999999999998E-2</v>
      </c>
      <c r="Q38" s="2702">
        <f t="shared" si="31"/>
        <v>6.7000000000000002E-3</v>
      </c>
      <c r="R38" s="2690"/>
      <c r="S38" s="2691"/>
      <c r="T38" s="2692"/>
      <c r="U38" s="2692"/>
      <c r="V38" s="2692"/>
      <c r="X38" s="2692"/>
      <c r="Y38" s="2692"/>
      <c r="Z38" s="2692"/>
    </row>
    <row r="39" spans="1:26">
      <c r="A39" s="2679" t="s">
        <v>2600</v>
      </c>
      <c r="B39" s="2693">
        <f t="shared" ref="B39:C41" si="45">B38/(1+N38)</f>
        <v>215.05376344086022</v>
      </c>
      <c r="C39" s="2693">
        <f t="shared" si="45"/>
        <v>185.0752177355503</v>
      </c>
      <c r="D39" s="2693">
        <f t="shared" si="29"/>
        <v>185.0752177355503</v>
      </c>
      <c r="E39" s="2693">
        <f t="shared" ref="E39:F41" si="46">E38/(1+P38)</f>
        <v>292.68767016725008</v>
      </c>
      <c r="F39" s="2693">
        <f t="shared" si="46"/>
        <v>166.88189132810174</v>
      </c>
      <c r="G39" s="3803">
        <v>2009</v>
      </c>
      <c r="H39" s="2704">
        <v>3</v>
      </c>
      <c r="I39" s="2704">
        <v>2.1</v>
      </c>
      <c r="J39" s="2704">
        <v>1.86</v>
      </c>
      <c r="K39" s="2704">
        <v>2.29</v>
      </c>
      <c r="L39" s="2705">
        <v>0.85</v>
      </c>
      <c r="N39" s="2688">
        <f t="shared" si="31"/>
        <v>2.1000000000000001E-2</v>
      </c>
      <c r="O39" s="2706">
        <f t="shared" si="31"/>
        <v>1.8600000000000002E-2</v>
      </c>
      <c r="P39" s="2706">
        <f t="shared" si="31"/>
        <v>2.29E-2</v>
      </c>
      <c r="Q39" s="2706">
        <f t="shared" si="31"/>
        <v>8.5000000000000006E-3</v>
      </c>
      <c r="R39" s="2690"/>
      <c r="S39" s="2688"/>
      <c r="T39" s="2689"/>
      <c r="U39" s="2689"/>
      <c r="V39" s="2689"/>
    </row>
    <row r="40" spans="1:26">
      <c r="A40" s="2679" t="s">
        <v>2601</v>
      </c>
      <c r="B40" s="2693">
        <f t="shared" si="45"/>
        <v>210.630522469011</v>
      </c>
      <c r="C40" s="2693">
        <f t="shared" si="45"/>
        <v>181.69567812247232</v>
      </c>
      <c r="D40" s="2693">
        <f t="shared" si="29"/>
        <v>181.69567812247232</v>
      </c>
      <c r="E40" s="2693">
        <f t="shared" si="46"/>
        <v>286.13517466736738</v>
      </c>
      <c r="F40" s="2693">
        <f t="shared" si="46"/>
        <v>165.47535084591149</v>
      </c>
      <c r="G40" s="3803">
        <v>2009</v>
      </c>
      <c r="H40" s="2684">
        <v>2</v>
      </c>
      <c r="I40" s="2684">
        <v>0.86</v>
      </c>
      <c r="J40" s="2684">
        <v>-1.1299999999999999</v>
      </c>
      <c r="K40" s="2684">
        <v>1.79</v>
      </c>
      <c r="L40" s="2695">
        <v>-2.0699999999999998</v>
      </c>
      <c r="N40" s="2688">
        <f t="shared" si="31"/>
        <v>8.6E-3</v>
      </c>
      <c r="O40" s="2706">
        <f t="shared" si="31"/>
        <v>-1.1299999999999999E-2</v>
      </c>
      <c r="P40" s="2706">
        <f t="shared" si="31"/>
        <v>1.7899999999999999E-2</v>
      </c>
      <c r="Q40" s="2706">
        <f t="shared" si="31"/>
        <v>-2.07E-2</v>
      </c>
      <c r="R40" s="2690"/>
      <c r="S40" s="2688"/>
      <c r="T40" s="2689"/>
      <c r="U40" s="2689"/>
      <c r="V40" s="2689"/>
    </row>
    <row r="41" spans="1:26">
      <c r="A41" s="2679" t="s">
        <v>2602</v>
      </c>
      <c r="B41" s="2693">
        <f t="shared" si="45"/>
        <v>208.83454537875372</v>
      </c>
      <c r="C41" s="2693">
        <f t="shared" si="45"/>
        <v>183.77230517090351</v>
      </c>
      <c r="D41" s="2693">
        <f t="shared" si="29"/>
        <v>183.77230517090351</v>
      </c>
      <c r="E41" s="2693">
        <f t="shared" si="46"/>
        <v>281.10342338870947</v>
      </c>
      <c r="F41" s="2693">
        <f t="shared" si="46"/>
        <v>168.97309388942256</v>
      </c>
      <c r="G41" s="3804">
        <v>2009</v>
      </c>
      <c r="H41" s="2683">
        <v>1</v>
      </c>
      <c r="I41" s="2683">
        <v>-2.64</v>
      </c>
      <c r="J41" s="2683">
        <v>-2.5299999999999998</v>
      </c>
      <c r="K41" s="2683">
        <v>-3.02</v>
      </c>
      <c r="L41" s="2694">
        <v>1.52</v>
      </c>
      <c r="N41" s="2696">
        <f t="shared" si="31"/>
        <v>-2.64E-2</v>
      </c>
      <c r="O41" s="2697">
        <f t="shared" si="31"/>
        <v>-2.53E-2</v>
      </c>
      <c r="P41" s="2697">
        <f t="shared" si="31"/>
        <v>-3.0200000000000001E-2</v>
      </c>
      <c r="Q41" s="2697">
        <f t="shared" si="31"/>
        <v>1.52E-2</v>
      </c>
      <c r="R41" s="2690"/>
      <c r="S41" s="2696">
        <f>B41/B42-1</f>
        <v>-2.4137638417038754E-2</v>
      </c>
      <c r="T41" s="2697">
        <f>C41/C42-1</f>
        <v>-2.248773845264096E-2</v>
      </c>
      <c r="U41" s="2697">
        <f>E41/E42-1</f>
        <v>-2.7323794502735366E-2</v>
      </c>
      <c r="V41" s="2697">
        <f>F41/F42-1</f>
        <v>1.7910204153148035E-2</v>
      </c>
      <c r="X41" s="2698"/>
      <c r="Y41" s="2698"/>
      <c r="Z41" s="2698"/>
    </row>
    <row r="42" spans="1:26" ht="13.5" thickBot="1">
      <c r="A42" s="2679" t="s">
        <v>2603</v>
      </c>
      <c r="B42" s="2723">
        <v>214</v>
      </c>
      <c r="C42" s="2723">
        <v>188</v>
      </c>
      <c r="D42" s="2723">
        <f t="shared" si="29"/>
        <v>188</v>
      </c>
      <c r="E42" s="2723">
        <v>289</v>
      </c>
      <c r="F42" s="2724">
        <v>166</v>
      </c>
      <c r="G42" s="3802">
        <v>2008</v>
      </c>
      <c r="H42" s="2699">
        <v>4</v>
      </c>
      <c r="I42" s="2699">
        <v>1.73</v>
      </c>
      <c r="J42" s="2699">
        <v>0.03</v>
      </c>
      <c r="K42" s="2699">
        <v>2.59</v>
      </c>
      <c r="L42" s="2700">
        <v>-1.66</v>
      </c>
      <c r="N42" s="2688">
        <f t="shared" si="31"/>
        <v>1.7299999999999999E-2</v>
      </c>
      <c r="O42" s="2689">
        <f t="shared" si="31"/>
        <v>2.9999999999999997E-4</v>
      </c>
      <c r="P42" s="2689">
        <f t="shared" si="31"/>
        <v>2.5899999999999999E-2</v>
      </c>
      <c r="Q42" s="2689">
        <f t="shared" si="31"/>
        <v>-1.66E-2</v>
      </c>
      <c r="R42" s="2690"/>
      <c r="S42" s="2691"/>
      <c r="T42" s="2692"/>
      <c r="U42" s="2692"/>
      <c r="V42" s="2692"/>
      <c r="X42" s="2692"/>
      <c r="Y42" s="2692"/>
      <c r="Z42" s="2692"/>
    </row>
    <row r="43" spans="1:26">
      <c r="A43" s="2679" t="s">
        <v>2604</v>
      </c>
      <c r="B43" s="2693">
        <f t="shared" ref="B43:C45" si="47">B42/(1+N42)</f>
        <v>210.36075887152265</v>
      </c>
      <c r="C43" s="2693">
        <f t="shared" si="47"/>
        <v>187.94361691492554</v>
      </c>
      <c r="D43" s="2693">
        <f t="shared" si="29"/>
        <v>187.94361691492554</v>
      </c>
      <c r="E43" s="2693">
        <f t="shared" ref="E43:F45" si="48">E42/(1+P42)</f>
        <v>281.70386977288234</v>
      </c>
      <c r="F43" s="2693">
        <f t="shared" si="48"/>
        <v>168.80211511083994</v>
      </c>
      <c r="G43" s="3803">
        <v>2008</v>
      </c>
      <c r="H43" s="2704">
        <v>3</v>
      </c>
      <c r="I43" s="2704">
        <v>1.96</v>
      </c>
      <c r="J43" s="2704">
        <v>2.36</v>
      </c>
      <c r="K43" s="2704">
        <v>1.82</v>
      </c>
      <c r="L43" s="2705">
        <v>2.2200000000000002</v>
      </c>
      <c r="N43" s="2688">
        <f t="shared" si="31"/>
        <v>1.9599999999999999E-2</v>
      </c>
      <c r="O43" s="2689">
        <f t="shared" si="31"/>
        <v>2.3599999999999999E-2</v>
      </c>
      <c r="P43" s="2689">
        <f t="shared" si="31"/>
        <v>1.8200000000000001E-2</v>
      </c>
      <c r="Q43" s="2689">
        <f t="shared" si="31"/>
        <v>2.2200000000000001E-2</v>
      </c>
      <c r="R43" s="2690"/>
      <c r="S43" s="2688"/>
      <c r="T43" s="2689"/>
      <c r="U43" s="2689"/>
      <c r="V43" s="2689"/>
    </row>
    <row r="44" spans="1:26">
      <c r="A44" s="2679" t="s">
        <v>2605</v>
      </c>
      <c r="B44" s="2693">
        <f t="shared" si="47"/>
        <v>206.31694671589116</v>
      </c>
      <c r="C44" s="2693">
        <f t="shared" si="47"/>
        <v>183.61041121036101</v>
      </c>
      <c r="D44" s="2693">
        <f t="shared" si="29"/>
        <v>183.61041121036101</v>
      </c>
      <c r="E44" s="2693">
        <f t="shared" si="48"/>
        <v>276.66850301795557</v>
      </c>
      <c r="F44" s="2693">
        <f t="shared" si="48"/>
        <v>165.1360938278614</v>
      </c>
      <c r="G44" s="3803">
        <v>2008</v>
      </c>
      <c r="H44" s="2684">
        <v>2</v>
      </c>
      <c r="I44" s="2684">
        <v>4.93</v>
      </c>
      <c r="J44" s="2684">
        <v>7.38</v>
      </c>
      <c r="K44" s="2684">
        <v>3.98</v>
      </c>
      <c r="L44" s="2695">
        <v>6.86</v>
      </c>
      <c r="N44" s="2688">
        <f t="shared" si="31"/>
        <v>4.9299999999999997E-2</v>
      </c>
      <c r="O44" s="2689">
        <f t="shared" si="31"/>
        <v>7.3800000000000004E-2</v>
      </c>
      <c r="P44" s="2689">
        <f t="shared" si="31"/>
        <v>3.9800000000000002E-2</v>
      </c>
      <c r="Q44" s="2689">
        <f t="shared" si="31"/>
        <v>6.8600000000000008E-2</v>
      </c>
      <c r="R44" s="2690"/>
      <c r="S44" s="2688"/>
      <c r="T44" s="2689"/>
      <c r="U44" s="2689"/>
      <c r="V44" s="2689"/>
    </row>
    <row r="45" spans="1:26" s="2729" customFormat="1" ht="13.5" thickBot="1">
      <c r="A45" s="2679" t="s">
        <v>2606</v>
      </c>
      <c r="B45" s="2726">
        <f t="shared" si="47"/>
        <v>196.62341248059772</v>
      </c>
      <c r="C45" s="2726">
        <f t="shared" si="47"/>
        <v>170.99125648199012</v>
      </c>
      <c r="D45" s="2726">
        <f t="shared" si="29"/>
        <v>170.99125648199012</v>
      </c>
      <c r="E45" s="2726">
        <f t="shared" si="48"/>
        <v>266.07857570490052</v>
      </c>
      <c r="F45" s="2726">
        <f t="shared" si="48"/>
        <v>154.53499328828505</v>
      </c>
      <c r="G45" s="3804">
        <v>2008</v>
      </c>
      <c r="H45" s="2727">
        <v>1</v>
      </c>
      <c r="I45" s="2727">
        <v>4.1399999999999997</v>
      </c>
      <c r="J45" s="2727">
        <v>3.45</v>
      </c>
      <c r="K45" s="2727">
        <v>4.95</v>
      </c>
      <c r="L45" s="2728">
        <v>4.82</v>
      </c>
      <c r="N45" s="2730">
        <f t="shared" si="31"/>
        <v>4.1399999999999999E-2</v>
      </c>
      <c r="O45" s="2731">
        <f t="shared" si="31"/>
        <v>3.4500000000000003E-2</v>
      </c>
      <c r="P45" s="2731">
        <f t="shared" si="31"/>
        <v>4.9500000000000002E-2</v>
      </c>
      <c r="Q45" s="2731">
        <f t="shared" si="31"/>
        <v>4.82E-2</v>
      </c>
      <c r="R45" s="2732"/>
      <c r="S45" s="2730">
        <f>B45/B46-1</f>
        <v>4.5869215322328349E-2</v>
      </c>
      <c r="T45" s="2731">
        <f>C45/C46-1</f>
        <v>3.6310645345394743E-2</v>
      </c>
      <c r="U45" s="2731">
        <f>E45/E46-1</f>
        <v>4.7553447657088688E-2</v>
      </c>
      <c r="V45" s="2731">
        <f>F45/F46-1</f>
        <v>4.4155360055980086E-2</v>
      </c>
      <c r="X45" s="2733"/>
      <c r="Y45" s="2733"/>
      <c r="Z45" s="2733"/>
    </row>
    <row r="46" spans="1:26" ht="13.5" thickBot="1">
      <c r="A46" s="2679" t="s">
        <v>2607</v>
      </c>
      <c r="B46" s="2685">
        <v>188</v>
      </c>
      <c r="C46" s="2685">
        <v>165</v>
      </c>
      <c r="D46" s="2685">
        <f t="shared" si="29"/>
        <v>165</v>
      </c>
      <c r="E46" s="2685">
        <v>254</v>
      </c>
      <c r="F46" s="2686">
        <v>148</v>
      </c>
      <c r="G46" s="3802">
        <v>2007</v>
      </c>
      <c r="H46" s="2734">
        <v>4</v>
      </c>
      <c r="I46" s="2734">
        <v>5.51</v>
      </c>
      <c r="J46" s="2734">
        <v>4.8899999999999997</v>
      </c>
      <c r="K46" s="2734">
        <v>6.43</v>
      </c>
      <c r="L46" s="2735">
        <v>5.36</v>
      </c>
      <c r="N46" s="2736">
        <f t="shared" ref="N46:O49" si="49">B46/B47-1</f>
        <v>4.1339718365245526E-2</v>
      </c>
      <c r="O46" s="2737">
        <f t="shared" si="49"/>
        <v>4.0324492593776018E-2</v>
      </c>
      <c r="P46" s="2737">
        <f t="shared" ref="P46:Q49" si="50">E46/E47-1</f>
        <v>6.1625555347990968E-2</v>
      </c>
      <c r="Q46" s="2737">
        <f t="shared" si="50"/>
        <v>4.6757569250590603E-2</v>
      </c>
      <c r="R46" s="2690"/>
      <c r="S46" s="2691"/>
      <c r="T46" s="2692"/>
      <c r="U46" s="2692"/>
      <c r="V46" s="2692"/>
      <c r="X46" s="2692"/>
      <c r="Y46" s="2692"/>
      <c r="Z46" s="2692"/>
    </row>
    <row r="47" spans="1:26">
      <c r="A47" s="2679" t="s">
        <v>2608</v>
      </c>
      <c r="B47" s="2693">
        <f t="shared" ref="B47:C49" si="51">B48+(B$46-B$50)*I47/SUM(I$46:I$49)</f>
        <v>180.5366651097618</v>
      </c>
      <c r="C47" s="2693">
        <f t="shared" si="51"/>
        <v>158.60435967302453</v>
      </c>
      <c r="D47" s="2693">
        <f t="shared" si="29"/>
        <v>158.60435967302453</v>
      </c>
      <c r="E47" s="2693">
        <f t="shared" ref="E47:F49" si="52">E48+(E$46-E$50)*K47/SUM(K$46:K$49)</f>
        <v>239.25573260785075</v>
      </c>
      <c r="F47" s="2693">
        <f t="shared" si="52"/>
        <v>141.38899430740037</v>
      </c>
      <c r="G47" s="3803">
        <v>2007</v>
      </c>
      <c r="H47" s="2704">
        <v>3</v>
      </c>
      <c r="I47" s="2704">
        <v>8.65</v>
      </c>
      <c r="J47" s="2704">
        <v>8.06</v>
      </c>
      <c r="K47" s="2704">
        <v>9.94</v>
      </c>
      <c r="L47" s="2705">
        <v>5.8</v>
      </c>
      <c r="N47" s="2736">
        <f t="shared" si="49"/>
        <v>6.940217571740015E-2</v>
      </c>
      <c r="O47" s="2737">
        <f t="shared" si="49"/>
        <v>7.1197482471153428E-2</v>
      </c>
      <c r="P47" s="2737">
        <f t="shared" si="50"/>
        <v>0.10529679922579582</v>
      </c>
      <c r="Q47" s="2737">
        <f t="shared" si="50"/>
        <v>5.3292245059512133E-2</v>
      </c>
      <c r="R47" s="2690"/>
      <c r="S47" s="2688"/>
      <c r="T47" s="2689"/>
      <c r="U47" s="2689"/>
      <c r="V47" s="2689"/>
      <c r="X47" s="2738"/>
      <c r="Y47" s="2738"/>
      <c r="Z47" s="2738"/>
    </row>
    <row r="48" spans="1:26">
      <c r="A48" s="2679" t="s">
        <v>2609</v>
      </c>
      <c r="B48" s="2693">
        <f t="shared" si="51"/>
        <v>168.82017748715555</v>
      </c>
      <c r="C48" s="2693">
        <f t="shared" si="51"/>
        <v>148.06267029972753</v>
      </c>
      <c r="D48" s="2693">
        <f t="shared" si="29"/>
        <v>148.06267029972753</v>
      </c>
      <c r="E48" s="2693">
        <f t="shared" si="52"/>
        <v>216.46288379323747</v>
      </c>
      <c r="F48" s="2693">
        <f t="shared" si="52"/>
        <v>134.23529411764704</v>
      </c>
      <c r="G48" s="3803">
        <v>2007</v>
      </c>
      <c r="H48" s="2684">
        <v>2</v>
      </c>
      <c r="I48" s="2684">
        <v>3.67</v>
      </c>
      <c r="J48" s="2684">
        <v>2.3199999999999998</v>
      </c>
      <c r="K48" s="2684">
        <v>5.0199999999999996</v>
      </c>
      <c r="L48" s="2695">
        <v>6.71</v>
      </c>
      <c r="N48" s="2736">
        <f t="shared" si="49"/>
        <v>3.0339138143848032E-2</v>
      </c>
      <c r="O48" s="2737">
        <f t="shared" si="49"/>
        <v>2.0922341588790472E-2</v>
      </c>
      <c r="P48" s="2737">
        <f t="shared" si="50"/>
        <v>5.6164796592717003E-2</v>
      </c>
      <c r="Q48" s="2737">
        <f t="shared" si="50"/>
        <v>6.5704536723887319E-2</v>
      </c>
      <c r="R48" s="2690"/>
      <c r="S48" s="2688"/>
      <c r="T48" s="2689"/>
      <c r="U48" s="2689"/>
      <c r="V48" s="2689"/>
      <c r="X48" s="2738"/>
      <c r="Y48" s="2738"/>
      <c r="Z48" s="2738"/>
    </row>
    <row r="49" spans="1:26">
      <c r="A49" s="2679" t="s">
        <v>2610</v>
      </c>
      <c r="B49" s="2693">
        <f t="shared" si="51"/>
        <v>163.84913591779542</v>
      </c>
      <c r="C49" s="2693">
        <f t="shared" si="51"/>
        <v>145.0283378746594</v>
      </c>
      <c r="D49" s="2693">
        <f t="shared" si="29"/>
        <v>145.0283378746594</v>
      </c>
      <c r="E49" s="2693">
        <f t="shared" si="52"/>
        <v>204.95180722891567</v>
      </c>
      <c r="F49" s="2693">
        <f t="shared" si="52"/>
        <v>125.95920303605313</v>
      </c>
      <c r="G49" s="3804">
        <v>2007</v>
      </c>
      <c r="H49" s="2683">
        <v>1</v>
      </c>
      <c r="I49" s="2683">
        <v>3.58</v>
      </c>
      <c r="J49" s="2683">
        <v>3.08</v>
      </c>
      <c r="K49" s="2683">
        <v>4.34</v>
      </c>
      <c r="L49" s="2694">
        <v>3.21</v>
      </c>
      <c r="N49" s="2739">
        <f t="shared" si="49"/>
        <v>3.0497710174814063E-2</v>
      </c>
      <c r="O49" s="2740">
        <f t="shared" si="49"/>
        <v>2.8569772160704998E-2</v>
      </c>
      <c r="P49" s="2740">
        <f t="shared" si="50"/>
        <v>5.1034908866234296E-2</v>
      </c>
      <c r="Q49" s="2740">
        <f t="shared" si="50"/>
        <v>3.245248390207478E-2</v>
      </c>
      <c r="R49" s="2690"/>
      <c r="S49" s="2696">
        <f>B49/B50-1</f>
        <v>3.0497710174814063E-2</v>
      </c>
      <c r="T49" s="2697">
        <f>C49/C50-1</f>
        <v>2.8569772160704998E-2</v>
      </c>
      <c r="U49" s="2697">
        <f>E49/E50-1</f>
        <v>5.1034908866234296E-2</v>
      </c>
      <c r="V49" s="2697">
        <f>F49/F50-1</f>
        <v>3.245248390207478E-2</v>
      </c>
      <c r="X49" s="2738"/>
      <c r="Y49" s="2738"/>
      <c r="Z49" s="2738"/>
    </row>
    <row r="50" spans="1:26" ht="13.5" thickBot="1">
      <c r="A50" s="2679" t="s">
        <v>2611</v>
      </c>
      <c r="B50" s="2707">
        <v>159</v>
      </c>
      <c r="C50" s="2707">
        <v>141</v>
      </c>
      <c r="D50" s="2707">
        <f t="shared" si="29"/>
        <v>141</v>
      </c>
      <c r="E50" s="2707">
        <v>195</v>
      </c>
      <c r="F50" s="2708">
        <v>122</v>
      </c>
      <c r="G50" s="3802">
        <v>2006</v>
      </c>
      <c r="H50" s="2699">
        <v>4</v>
      </c>
      <c r="I50" s="2699">
        <v>3.79</v>
      </c>
      <c r="J50" s="2699">
        <v>2.21</v>
      </c>
      <c r="K50" s="2699">
        <v>5.65</v>
      </c>
      <c r="L50" s="2700">
        <v>5.41</v>
      </c>
      <c r="N50" s="2736">
        <f t="shared" ref="N50:O53" si="53">I50/SUM(I$50:I$53)*(B$50/B$54-1)</f>
        <v>7.245466462748526E-2</v>
      </c>
      <c r="O50" s="2737">
        <f t="shared" si="53"/>
        <v>2.3237230038062766E-2</v>
      </c>
      <c r="P50" s="2737">
        <f t="shared" ref="P50:Q53" si="54">K50/SUM(K$50:K$53)*(E$50/E$54-1)</f>
        <v>0.16146893866323722</v>
      </c>
      <c r="Q50" s="2737">
        <f t="shared" si="54"/>
        <v>5.0755230321793784E-2</v>
      </c>
      <c r="R50" s="2690"/>
      <c r="S50" s="2691"/>
      <c r="T50" s="2692"/>
      <c r="U50" s="2692"/>
      <c r="V50" s="2692"/>
      <c r="X50" s="2738"/>
      <c r="Y50" s="2738"/>
      <c r="Z50" s="2738"/>
    </row>
    <row r="51" spans="1:26">
      <c r="A51" s="2679" t="s">
        <v>2612</v>
      </c>
      <c r="B51" s="2693">
        <f t="shared" ref="B51:C53" si="55">B52+(B$50-B$54)*I51/SUM(I$50:I$53)</f>
        <v>149.00125628140702</v>
      </c>
      <c r="C51" s="2693">
        <f t="shared" si="55"/>
        <v>137.95592286501378</v>
      </c>
      <c r="D51" s="2693">
        <f t="shared" si="29"/>
        <v>137.95592286501378</v>
      </c>
      <c r="E51" s="2693">
        <f t="shared" ref="E51:F53" si="56">E52+(E$50-E$54)*K51/SUM(K$50:K$53)</f>
        <v>169.97231450719823</v>
      </c>
      <c r="F51" s="2693">
        <f t="shared" si="56"/>
        <v>116.21390374331551</v>
      </c>
      <c r="G51" s="3803">
        <v>2006</v>
      </c>
      <c r="H51" s="2704">
        <v>3</v>
      </c>
      <c r="I51" s="2704">
        <v>0.92</v>
      </c>
      <c r="J51" s="2704">
        <v>1.08</v>
      </c>
      <c r="K51" s="2704">
        <v>0.73</v>
      </c>
      <c r="L51" s="2705">
        <v>1.08</v>
      </c>
      <c r="N51" s="2736">
        <f t="shared" si="53"/>
        <v>1.7587939698492462E-2</v>
      </c>
      <c r="O51" s="2737">
        <f t="shared" si="53"/>
        <v>1.1355750425840628E-2</v>
      </c>
      <c r="P51" s="2737">
        <f t="shared" si="54"/>
        <v>2.0862358446754544E-2</v>
      </c>
      <c r="Q51" s="2737">
        <f t="shared" si="54"/>
        <v>1.0132282578103011E-2</v>
      </c>
      <c r="R51" s="2690"/>
      <c r="S51" s="2688"/>
      <c r="T51" s="2689"/>
      <c r="U51" s="2689"/>
      <c r="V51" s="2689"/>
      <c r="X51" s="2738"/>
      <c r="Y51" s="2738"/>
      <c r="Z51" s="2738"/>
    </row>
    <row r="52" spans="1:26">
      <c r="A52" s="2679" t="s">
        <v>2613</v>
      </c>
      <c r="B52" s="2693">
        <f t="shared" si="55"/>
        <v>146.57412060301507</v>
      </c>
      <c r="C52" s="2693">
        <f t="shared" si="55"/>
        <v>136.46831955922866</v>
      </c>
      <c r="D52" s="2693">
        <f t="shared" si="29"/>
        <v>136.46831955922866</v>
      </c>
      <c r="E52" s="2693">
        <f t="shared" si="56"/>
        <v>166.73864894795128</v>
      </c>
      <c r="F52" s="2693">
        <f t="shared" si="56"/>
        <v>115.05882352941177</v>
      </c>
      <c r="G52" s="3803">
        <v>2006</v>
      </c>
      <c r="H52" s="2684">
        <v>2</v>
      </c>
      <c r="I52" s="2684">
        <v>0.96</v>
      </c>
      <c r="J52" s="2684">
        <v>0.25</v>
      </c>
      <c r="K52" s="2684">
        <v>1.9</v>
      </c>
      <c r="L52" s="2695">
        <v>0.95</v>
      </c>
      <c r="N52" s="2736">
        <f t="shared" si="53"/>
        <v>1.8352632728861701E-2</v>
      </c>
      <c r="O52" s="2737">
        <f t="shared" si="53"/>
        <v>2.6286459319075526E-3</v>
      </c>
      <c r="P52" s="2737">
        <f t="shared" si="54"/>
        <v>5.4299289107991269E-2</v>
      </c>
      <c r="Q52" s="2737">
        <f t="shared" si="54"/>
        <v>8.9126559714794995E-3</v>
      </c>
      <c r="R52" s="2690"/>
      <c r="S52" s="2688"/>
      <c r="T52" s="2689"/>
      <c r="U52" s="2689"/>
      <c r="V52" s="2689"/>
      <c r="X52" s="2738"/>
      <c r="Y52" s="2738"/>
      <c r="Z52" s="2738"/>
    </row>
    <row r="53" spans="1:26">
      <c r="A53" s="2679" t="s">
        <v>2614</v>
      </c>
      <c r="B53" s="2693">
        <f t="shared" si="55"/>
        <v>144.04145728643215</v>
      </c>
      <c r="C53" s="2693">
        <f t="shared" si="55"/>
        <v>136.12396694214877</v>
      </c>
      <c r="D53" s="2693">
        <f t="shared" si="29"/>
        <v>136.12396694214877</v>
      </c>
      <c r="E53" s="2693">
        <f t="shared" si="56"/>
        <v>158.32225913621264</v>
      </c>
      <c r="F53" s="2693">
        <f t="shared" si="56"/>
        <v>114.04278074866311</v>
      </c>
      <c r="G53" s="3804">
        <v>2006</v>
      </c>
      <c r="H53" s="2683">
        <v>1</v>
      </c>
      <c r="I53" s="2683">
        <v>2.29</v>
      </c>
      <c r="J53" s="2683">
        <v>3.72</v>
      </c>
      <c r="K53" s="2683">
        <v>0.75</v>
      </c>
      <c r="L53" s="2694">
        <v>0.04</v>
      </c>
      <c r="N53" s="2739">
        <f t="shared" si="53"/>
        <v>4.3778675988638847E-2</v>
      </c>
      <c r="O53" s="2740">
        <f t="shared" si="53"/>
        <v>3.9114251466784385E-2</v>
      </c>
      <c r="P53" s="2740">
        <f t="shared" si="54"/>
        <v>2.1433929911049188E-2</v>
      </c>
      <c r="Q53" s="2740">
        <f t="shared" si="54"/>
        <v>3.7526972511492629E-4</v>
      </c>
      <c r="R53" s="2690"/>
      <c r="S53" s="2696">
        <f>B53/B54-1</f>
        <v>4.3778675988638716E-2</v>
      </c>
      <c r="T53" s="2697">
        <f>C53/C54-1</f>
        <v>3.91142514667846E-2</v>
      </c>
      <c r="U53" s="2697">
        <f>E53/E54-1</f>
        <v>2.143392991104931E-2</v>
      </c>
      <c r="V53" s="2697">
        <f>F53/F54-1</f>
        <v>3.7526972511492396E-4</v>
      </c>
      <c r="X53" s="2738"/>
      <c r="Y53" s="2738"/>
      <c r="Z53" s="2738"/>
    </row>
    <row r="54" spans="1:26" ht="13.5" thickBot="1">
      <c r="A54" s="2679" t="s">
        <v>2615</v>
      </c>
      <c r="B54" s="2707">
        <v>138</v>
      </c>
      <c r="C54" s="2707">
        <v>131</v>
      </c>
      <c r="D54" s="2707">
        <f t="shared" si="29"/>
        <v>131</v>
      </c>
      <c r="E54" s="2707">
        <v>155</v>
      </c>
      <c r="F54" s="2708">
        <v>114</v>
      </c>
      <c r="G54" s="3802">
        <v>2005</v>
      </c>
      <c r="H54" s="2699">
        <v>4</v>
      </c>
      <c r="I54" s="2699">
        <v>3.29</v>
      </c>
      <c r="J54" s="2699">
        <v>1.44</v>
      </c>
      <c r="K54" s="2699">
        <v>0.66</v>
      </c>
      <c r="L54" s="2700">
        <v>7.78</v>
      </c>
      <c r="N54" s="2736">
        <f t="shared" ref="N54:O57" si="57">I54/SUM(I$54:I$57)*(B$54/B$58-1)</f>
        <v>9.9404603216919935E-2</v>
      </c>
      <c r="O54" s="2737">
        <f t="shared" si="57"/>
        <v>4.7636550760861554E-2</v>
      </c>
      <c r="P54" s="2737">
        <f t="shared" ref="P54:Q57" si="58">K54/SUM(K$54:K$57)*(E$54/E$58-1)</f>
        <v>8.3756345177664976E-2</v>
      </c>
      <c r="Q54" s="2737">
        <f t="shared" si="58"/>
        <v>5.2148766661559584E-2</v>
      </c>
      <c r="R54" s="2690"/>
      <c r="S54" s="2691"/>
      <c r="T54" s="2692"/>
      <c r="U54" s="2692"/>
      <c r="V54" s="2692"/>
      <c r="X54" s="2738"/>
      <c r="Y54" s="2738"/>
      <c r="Z54" s="2738"/>
    </row>
    <row r="55" spans="1:26">
      <c r="A55" s="2679" t="s">
        <v>2616</v>
      </c>
      <c r="B55" s="2693">
        <f t="shared" ref="B55:C57" si="59">B56+(B$54-B$58)*I55/SUM(I$54:I$57)</f>
        <v>125.9720430107527</v>
      </c>
      <c r="C55" s="2693">
        <f t="shared" si="59"/>
        <v>125.1883408071749</v>
      </c>
      <c r="D55" s="2693">
        <f t="shared" si="29"/>
        <v>125.1883408071749</v>
      </c>
      <c r="E55" s="2693">
        <f t="shared" ref="E55:F57" si="60">E56+(E$54-E$58)*K55/SUM(K$54:K$57)</f>
        <v>144.61421319796952</v>
      </c>
      <c r="F55" s="2693">
        <f t="shared" si="60"/>
        <v>108.42008196721311</v>
      </c>
      <c r="G55" s="3803">
        <v>2005</v>
      </c>
      <c r="H55" s="2704">
        <v>3</v>
      </c>
      <c r="I55" s="2704">
        <v>0.46</v>
      </c>
      <c r="J55" s="2704">
        <v>0.32</v>
      </c>
      <c r="K55" s="2704">
        <v>0.42</v>
      </c>
      <c r="L55" s="2705">
        <v>0.64</v>
      </c>
      <c r="N55" s="2736">
        <f t="shared" si="57"/>
        <v>1.3898515951301874E-2</v>
      </c>
      <c r="O55" s="2737">
        <f t="shared" si="57"/>
        <v>1.0585900169080346E-2</v>
      </c>
      <c r="P55" s="2737">
        <f t="shared" si="58"/>
        <v>5.3299492385786795E-2</v>
      </c>
      <c r="Q55" s="2737">
        <f t="shared" si="58"/>
        <v>4.2898728359123568E-3</v>
      </c>
      <c r="R55" s="2690"/>
      <c r="S55" s="2688"/>
      <c r="T55" s="2689"/>
      <c r="U55" s="2689"/>
      <c r="V55" s="2689"/>
      <c r="X55" s="2738"/>
      <c r="Y55" s="2738"/>
      <c r="Z55" s="2738"/>
    </row>
    <row r="56" spans="1:26">
      <c r="A56" s="2679" t="s">
        <v>2617</v>
      </c>
      <c r="B56" s="2693">
        <f t="shared" si="59"/>
        <v>124.29032258064517</v>
      </c>
      <c r="C56" s="2693">
        <f t="shared" si="59"/>
        <v>123.8968609865471</v>
      </c>
      <c r="D56" s="2693">
        <f t="shared" si="29"/>
        <v>123.8968609865471</v>
      </c>
      <c r="E56" s="2693">
        <f t="shared" si="60"/>
        <v>138.00507614213197</v>
      </c>
      <c r="F56" s="2693">
        <f t="shared" si="60"/>
        <v>107.96106557377048</v>
      </c>
      <c r="G56" s="3803">
        <v>2005</v>
      </c>
      <c r="H56" s="2684">
        <v>2</v>
      </c>
      <c r="I56" s="2684">
        <v>0.47</v>
      </c>
      <c r="J56" s="2684">
        <v>0.1</v>
      </c>
      <c r="K56" s="2684">
        <v>0.52</v>
      </c>
      <c r="L56" s="2695">
        <v>0.79</v>
      </c>
      <c r="N56" s="2736">
        <f t="shared" si="57"/>
        <v>1.420065760241713E-2</v>
      </c>
      <c r="O56" s="2737">
        <f t="shared" si="57"/>
        <v>3.3080938028376083E-3</v>
      </c>
      <c r="P56" s="2737">
        <f t="shared" si="58"/>
        <v>6.598984771573603E-2</v>
      </c>
      <c r="Q56" s="2737">
        <f t="shared" si="58"/>
        <v>5.2953117818293153E-3</v>
      </c>
      <c r="R56" s="2690"/>
      <c r="S56" s="2688"/>
      <c r="T56" s="2689"/>
      <c r="U56" s="2689"/>
      <c r="V56" s="2689"/>
      <c r="X56" s="2738"/>
      <c r="Y56" s="2738"/>
      <c r="Z56" s="2738"/>
    </row>
    <row r="57" spans="1:26">
      <c r="A57" s="2679" t="s">
        <v>2618</v>
      </c>
      <c r="B57" s="2693">
        <f t="shared" si="59"/>
        <v>122.57204301075269</v>
      </c>
      <c r="C57" s="2693">
        <f t="shared" si="59"/>
        <v>123.4932735426009</v>
      </c>
      <c r="D57" s="2693">
        <f t="shared" si="29"/>
        <v>123.4932735426009</v>
      </c>
      <c r="E57" s="2693">
        <f t="shared" si="60"/>
        <v>129.82233502538071</v>
      </c>
      <c r="F57" s="2693">
        <f t="shared" si="60"/>
        <v>107.39446721311475</v>
      </c>
      <c r="G57" s="3804">
        <v>2005</v>
      </c>
      <c r="H57" s="2683">
        <v>1</v>
      </c>
      <c r="I57" s="2683">
        <v>0.43</v>
      </c>
      <c r="J57" s="2683">
        <v>0.37</v>
      </c>
      <c r="K57" s="2683">
        <v>0.37</v>
      </c>
      <c r="L57" s="2694">
        <v>0.55000000000000004</v>
      </c>
      <c r="N57" s="2739">
        <f t="shared" si="57"/>
        <v>1.2992090997956099E-2</v>
      </c>
      <c r="O57" s="2740">
        <f t="shared" si="57"/>
        <v>1.2239947070499151E-2</v>
      </c>
      <c r="P57" s="2740">
        <f t="shared" si="58"/>
        <v>4.6954314720812178E-2</v>
      </c>
      <c r="Q57" s="2740">
        <f t="shared" si="58"/>
        <v>3.6866094683621815E-3</v>
      </c>
      <c r="R57" s="2690"/>
      <c r="S57" s="2696">
        <f>B57/B58-1</f>
        <v>1.2992090997956174E-2</v>
      </c>
      <c r="T57" s="2697">
        <f>C57/C58-1</f>
        <v>1.2239947070499246E-2</v>
      </c>
      <c r="U57" s="2697">
        <f>E57/E58-1</f>
        <v>4.695431472081224E-2</v>
      </c>
      <c r="V57" s="2697">
        <f>F57/F58-1</f>
        <v>3.6866094683620787E-3</v>
      </c>
      <c r="X57" s="2738"/>
      <c r="Y57" s="2738"/>
      <c r="Z57" s="2738"/>
    </row>
    <row r="58" spans="1:26" ht="13.5" thickBot="1">
      <c r="A58" s="2679" t="s">
        <v>2619</v>
      </c>
      <c r="B58" s="2723">
        <v>121</v>
      </c>
      <c r="C58" s="2723">
        <v>122</v>
      </c>
      <c r="D58" s="2723">
        <f t="shared" si="29"/>
        <v>122</v>
      </c>
      <c r="E58" s="2723">
        <v>124</v>
      </c>
      <c r="F58" s="2724">
        <v>107</v>
      </c>
      <c r="G58" s="3802">
        <v>2004</v>
      </c>
      <c r="H58" s="2699">
        <v>4</v>
      </c>
      <c r="I58" s="2699">
        <v>0.33</v>
      </c>
      <c r="J58" s="2699">
        <v>0.5</v>
      </c>
      <c r="K58" s="2699">
        <v>0.5</v>
      </c>
      <c r="L58" s="2700">
        <v>0</v>
      </c>
      <c r="N58" s="2736">
        <f t="shared" ref="N58:O61" si="61">I58/SUM(I$58:I$61)*(B$58/B$62-1)</f>
        <v>1.3391770148526898E-2</v>
      </c>
      <c r="O58" s="2737">
        <f t="shared" si="61"/>
        <v>1.063264221158958E-2</v>
      </c>
      <c r="P58" s="2737">
        <f t="shared" ref="P58:Q61" si="62">K58/SUM(K$58:K$61)*(E$58/E$62-1)</f>
        <v>2.2244466688911134E-2</v>
      </c>
      <c r="Q58" s="2737">
        <f t="shared" si="62"/>
        <v>0</v>
      </c>
      <c r="R58" s="2690"/>
      <c r="S58" s="2691"/>
      <c r="T58" s="2692"/>
      <c r="U58" s="2692"/>
      <c r="V58" s="2692"/>
      <c r="X58" s="2738"/>
      <c r="Y58" s="2738"/>
      <c r="Z58" s="2738"/>
    </row>
    <row r="59" spans="1:26">
      <c r="A59" s="2679" t="s">
        <v>2620</v>
      </c>
      <c r="B59" s="2693">
        <f t="shared" ref="B59:C61" si="63">B60+(B$58-B$62)*I59/SUM(I$58:I$61)</f>
        <v>119.51351351351352</v>
      </c>
      <c r="C59" s="2693">
        <f t="shared" si="63"/>
        <v>120.7878787878788</v>
      </c>
      <c r="D59" s="2693">
        <f t="shared" si="29"/>
        <v>120.7878787878788</v>
      </c>
      <c r="E59" s="2693">
        <f t="shared" ref="E59:F61" si="64">E60+(E$58-E$62)*K59/SUM(K$58:K$61)</f>
        <v>121.5975975975976</v>
      </c>
      <c r="F59" s="2693">
        <f t="shared" si="64"/>
        <v>107</v>
      </c>
      <c r="G59" s="3803">
        <v>2004</v>
      </c>
      <c r="H59" s="2704">
        <v>3</v>
      </c>
      <c r="I59" s="2704">
        <v>0.56000000000000005</v>
      </c>
      <c r="J59" s="2704">
        <v>0.8</v>
      </c>
      <c r="K59" s="2704">
        <v>0.83</v>
      </c>
      <c r="L59" s="2705">
        <v>0.06</v>
      </c>
      <c r="N59" s="2736">
        <f t="shared" si="61"/>
        <v>2.2725428130833527E-2</v>
      </c>
      <c r="O59" s="2737">
        <f t="shared" si="61"/>
        <v>1.7012227538543329E-2</v>
      </c>
      <c r="P59" s="2737">
        <f t="shared" si="62"/>
        <v>3.6925814703592477E-2</v>
      </c>
      <c r="Q59" s="2737">
        <f t="shared" si="62"/>
        <v>2.8846153846153744E-2</v>
      </c>
      <c r="R59" s="2690"/>
      <c r="S59" s="2688"/>
      <c r="T59" s="2689"/>
      <c r="U59" s="2689"/>
      <c r="V59" s="2689"/>
      <c r="X59" s="2738"/>
      <c r="Y59" s="2738"/>
      <c r="Z59" s="2738"/>
    </row>
    <row r="60" spans="1:26">
      <c r="A60" s="2679" t="s">
        <v>2621</v>
      </c>
      <c r="B60" s="2693">
        <f t="shared" si="63"/>
        <v>116.99099099099099</v>
      </c>
      <c r="C60" s="2693">
        <f t="shared" si="63"/>
        <v>118.84848484848486</v>
      </c>
      <c r="D60" s="2693">
        <f t="shared" si="29"/>
        <v>118.84848484848486</v>
      </c>
      <c r="E60" s="2693">
        <f t="shared" si="64"/>
        <v>117.60960960960961</v>
      </c>
      <c r="F60" s="2693">
        <f t="shared" si="64"/>
        <v>104</v>
      </c>
      <c r="G60" s="3803">
        <v>2004</v>
      </c>
      <c r="H60" s="2684">
        <v>2</v>
      </c>
      <c r="I60" s="2684">
        <v>1</v>
      </c>
      <c r="J60" s="2684">
        <v>1.5</v>
      </c>
      <c r="K60" s="2684">
        <v>1.5</v>
      </c>
      <c r="L60" s="2695">
        <v>0</v>
      </c>
      <c r="N60" s="2736">
        <f t="shared" si="61"/>
        <v>4.0581121662202721E-2</v>
      </c>
      <c r="O60" s="2737">
        <f t="shared" si="61"/>
        <v>3.1897926634768738E-2</v>
      </c>
      <c r="P60" s="2737">
        <f t="shared" si="62"/>
        <v>6.6733400066733395E-2</v>
      </c>
      <c r="Q60" s="2737">
        <f t="shared" si="62"/>
        <v>0</v>
      </c>
      <c r="R60" s="2690"/>
      <c r="S60" s="2688"/>
      <c r="T60" s="2689"/>
      <c r="U60" s="2689"/>
      <c r="V60" s="2689"/>
      <c r="X60" s="2738"/>
      <c r="Y60" s="2738"/>
      <c r="Z60" s="2738"/>
    </row>
    <row r="61" spans="1:26" s="2729" customFormat="1" ht="13.5" thickBot="1">
      <c r="A61" s="2679" t="s">
        <v>2622</v>
      </c>
      <c r="B61" s="2726">
        <f t="shared" si="63"/>
        <v>112.48648648648648</v>
      </c>
      <c r="C61" s="2726">
        <f t="shared" si="63"/>
        <v>115.21212121212122</v>
      </c>
      <c r="D61" s="2726">
        <f t="shared" si="29"/>
        <v>115.21212121212122</v>
      </c>
      <c r="E61" s="2726">
        <f t="shared" si="64"/>
        <v>110.4024024024024</v>
      </c>
      <c r="F61" s="2726">
        <f t="shared" si="64"/>
        <v>104</v>
      </c>
      <c r="G61" s="3804">
        <v>2004</v>
      </c>
      <c r="H61" s="2727">
        <v>1</v>
      </c>
      <c r="I61" s="2727">
        <v>0.33</v>
      </c>
      <c r="J61" s="2727">
        <v>0.5</v>
      </c>
      <c r="K61" s="2727">
        <v>0.5</v>
      </c>
      <c r="L61" s="2728">
        <v>0</v>
      </c>
      <c r="N61" s="2741">
        <f t="shared" si="61"/>
        <v>1.3391770148526898E-2</v>
      </c>
      <c r="O61" s="2742">
        <f t="shared" si="61"/>
        <v>1.063264221158958E-2</v>
      </c>
      <c r="P61" s="2742">
        <f t="shared" si="62"/>
        <v>2.2244466688911134E-2</v>
      </c>
      <c r="Q61" s="2742">
        <f t="shared" si="62"/>
        <v>0</v>
      </c>
      <c r="R61" s="2732"/>
      <c r="S61" s="2730">
        <f>B61/B62-1</f>
        <v>1.3391770148526883E-2</v>
      </c>
      <c r="T61" s="2731">
        <f>C61/C62-1</f>
        <v>1.063264221158966E-2</v>
      </c>
      <c r="U61" s="2731">
        <f>E61/E62-1</f>
        <v>2.2244466688911224E-2</v>
      </c>
      <c r="V61" s="2731">
        <f>F61/F62-1</f>
        <v>0</v>
      </c>
      <c r="X61" s="2743"/>
      <c r="Y61" s="2743"/>
      <c r="Z61" s="2743"/>
    </row>
    <row r="62" spans="1:26" ht="13.5" thickBot="1">
      <c r="A62" s="2679" t="s">
        <v>2623</v>
      </c>
      <c r="B62" s="2744">
        <v>111</v>
      </c>
      <c r="C62" s="2744">
        <v>114</v>
      </c>
      <c r="D62" s="2744">
        <f t="shared" si="29"/>
        <v>114</v>
      </c>
      <c r="E62" s="2744">
        <v>108</v>
      </c>
      <c r="F62" s="2745">
        <v>104</v>
      </c>
      <c r="G62" s="3802">
        <v>2003</v>
      </c>
      <c r="H62" s="2734">
        <v>4</v>
      </c>
      <c r="I62" s="2746"/>
      <c r="J62" s="2746"/>
      <c r="K62" s="2746"/>
      <c r="L62" s="2746"/>
      <c r="N62" s="2747"/>
      <c r="O62" s="2746"/>
      <c r="P62" s="2746"/>
      <c r="Q62" s="2746"/>
      <c r="S62" s="2747"/>
      <c r="T62" s="2746"/>
      <c r="U62" s="2746"/>
      <c r="V62" s="2746"/>
      <c r="X62" s="2738"/>
      <c r="Y62" s="2738"/>
      <c r="Z62" s="2738"/>
    </row>
    <row r="63" spans="1:26">
      <c r="A63" s="2679" t="s">
        <v>2624</v>
      </c>
      <c r="B63" s="2748">
        <f t="shared" ref="B63:C65" si="65">B64+(B$62-B$66)/4</f>
        <v>109.75</v>
      </c>
      <c r="C63" s="2748">
        <f t="shared" si="65"/>
        <v>112.25</v>
      </c>
      <c r="D63" s="2748">
        <f t="shared" si="29"/>
        <v>112.25</v>
      </c>
      <c r="E63" s="2748">
        <f t="shared" ref="E63:F65" si="66">E64+(E$62-E$66)/4</f>
        <v>107.25</v>
      </c>
      <c r="F63" s="2748">
        <f t="shared" si="66"/>
        <v>103.5</v>
      </c>
      <c r="G63" s="3803">
        <v>2003</v>
      </c>
      <c r="H63" s="2704">
        <v>3</v>
      </c>
      <c r="I63" s="2746"/>
      <c r="J63" s="2746"/>
      <c r="K63" s="2746"/>
      <c r="L63" s="2746"/>
      <c r="X63" s="2738"/>
      <c r="Y63" s="2738"/>
      <c r="Z63" s="2738"/>
    </row>
    <row r="64" spans="1:26">
      <c r="A64" s="2679" t="s">
        <v>2625</v>
      </c>
      <c r="B64" s="2748">
        <f t="shared" si="65"/>
        <v>108.5</v>
      </c>
      <c r="C64" s="2748">
        <f t="shared" si="65"/>
        <v>110.5</v>
      </c>
      <c r="D64" s="2748">
        <f t="shared" si="29"/>
        <v>110.5</v>
      </c>
      <c r="E64" s="2748">
        <f t="shared" si="66"/>
        <v>106.5</v>
      </c>
      <c r="F64" s="2748">
        <f t="shared" si="66"/>
        <v>103</v>
      </c>
      <c r="G64" s="3803">
        <v>2003</v>
      </c>
      <c r="H64" s="2684">
        <v>2</v>
      </c>
      <c r="I64" s="2746"/>
      <c r="J64" s="2746"/>
      <c r="K64" s="2746"/>
      <c r="L64" s="2746"/>
      <c r="X64" s="2738"/>
      <c r="Y64" s="2738"/>
      <c r="Z64" s="2738"/>
    </row>
    <row r="65" spans="1:26" ht="13.5" thickBot="1">
      <c r="A65" s="2679" t="s">
        <v>2626</v>
      </c>
      <c r="B65" s="2748">
        <f t="shared" si="65"/>
        <v>107.25</v>
      </c>
      <c r="C65" s="2748">
        <f t="shared" si="65"/>
        <v>108.75</v>
      </c>
      <c r="D65" s="2748">
        <f t="shared" si="29"/>
        <v>108.75</v>
      </c>
      <c r="E65" s="2748">
        <f t="shared" si="66"/>
        <v>105.75</v>
      </c>
      <c r="F65" s="2748">
        <f t="shared" si="66"/>
        <v>102.5</v>
      </c>
      <c r="G65" s="3804">
        <v>2003</v>
      </c>
      <c r="H65" s="2749">
        <v>1</v>
      </c>
      <c r="I65" s="2746"/>
      <c r="J65" s="2746"/>
      <c r="K65" s="2746"/>
      <c r="L65" s="2746"/>
      <c r="S65" s="2688"/>
      <c r="T65" s="2689"/>
      <c r="U65" s="2689"/>
      <c r="X65" s="2738"/>
      <c r="Y65" s="2738"/>
      <c r="Z65" s="2738"/>
    </row>
    <row r="66" spans="1:26" ht="13.5" thickBot="1">
      <c r="A66" s="2679" t="s">
        <v>2627</v>
      </c>
      <c r="B66" s="2750">
        <v>106</v>
      </c>
      <c r="C66" s="2750">
        <v>107</v>
      </c>
      <c r="D66" s="2750">
        <f t="shared" si="29"/>
        <v>107</v>
      </c>
      <c r="E66" s="2750">
        <v>105</v>
      </c>
      <c r="F66" s="2751">
        <v>102</v>
      </c>
      <c r="G66" s="3802">
        <v>2002</v>
      </c>
      <c r="H66" s="2699">
        <v>4</v>
      </c>
      <c r="I66" s="2746"/>
      <c r="J66" s="2746"/>
      <c r="K66" s="2746"/>
      <c r="L66" s="2746"/>
      <c r="N66" s="2747"/>
      <c r="O66" s="2746"/>
      <c r="P66" s="2746"/>
      <c r="Q66" s="2746"/>
      <c r="S66" s="2747"/>
      <c r="T66" s="2746"/>
      <c r="U66" s="2746"/>
      <c r="V66" s="2746"/>
      <c r="X66" s="2738"/>
      <c r="Y66" s="2738"/>
      <c r="Z66" s="2738"/>
    </row>
    <row r="67" spans="1:26">
      <c r="A67" s="2679" t="s">
        <v>2628</v>
      </c>
      <c r="B67" s="2748">
        <f t="shared" ref="B67:C69" si="67">B68+(B$66-B$70)/4</f>
        <v>105</v>
      </c>
      <c r="C67" s="2748">
        <f t="shared" si="67"/>
        <v>106</v>
      </c>
      <c r="D67" s="2748">
        <f t="shared" si="29"/>
        <v>106</v>
      </c>
      <c r="E67" s="2748">
        <f t="shared" ref="E67:F69" si="68">E68+(E$66-E$70)/4</f>
        <v>104.5</v>
      </c>
      <c r="F67" s="2748">
        <f t="shared" si="68"/>
        <v>101.5</v>
      </c>
      <c r="G67" s="3803">
        <v>2002</v>
      </c>
      <c r="H67" s="2704">
        <v>3</v>
      </c>
      <c r="I67" s="2746"/>
      <c r="J67" s="2746"/>
      <c r="K67" s="2746"/>
      <c r="L67" s="2746"/>
      <c r="X67" s="2738"/>
      <c r="Y67" s="2738"/>
      <c r="Z67" s="2738"/>
    </row>
    <row r="68" spans="1:26">
      <c r="A68" s="2679" t="s">
        <v>2629</v>
      </c>
      <c r="B68" s="2748">
        <f t="shared" si="67"/>
        <v>104</v>
      </c>
      <c r="C68" s="2748">
        <f t="shared" si="67"/>
        <v>105</v>
      </c>
      <c r="D68" s="2748">
        <f t="shared" si="29"/>
        <v>105</v>
      </c>
      <c r="E68" s="2748">
        <f t="shared" si="68"/>
        <v>104</v>
      </c>
      <c r="F68" s="2748">
        <f t="shared" si="68"/>
        <v>101</v>
      </c>
      <c r="G68" s="3803">
        <v>2002</v>
      </c>
      <c r="H68" s="2684">
        <v>2</v>
      </c>
      <c r="I68" s="2746"/>
      <c r="J68" s="2746"/>
      <c r="K68" s="2746"/>
      <c r="L68" s="2746"/>
      <c r="X68" s="2738"/>
      <c r="Y68" s="2738"/>
      <c r="Z68" s="2738"/>
    </row>
    <row r="69" spans="1:26" s="2715" customFormat="1" ht="13.5" thickBot="1">
      <c r="A69" s="2711" t="s">
        <v>2630</v>
      </c>
      <c r="B69" s="2752">
        <f t="shared" si="67"/>
        <v>103</v>
      </c>
      <c r="C69" s="2752">
        <f t="shared" si="67"/>
        <v>104</v>
      </c>
      <c r="D69" s="2752">
        <f t="shared" si="29"/>
        <v>104</v>
      </c>
      <c r="E69" s="2752">
        <f t="shared" si="68"/>
        <v>103.5</v>
      </c>
      <c r="F69" s="2752">
        <f t="shared" si="68"/>
        <v>100.5</v>
      </c>
      <c r="G69" s="3804">
        <v>2002</v>
      </c>
      <c r="H69" s="2753">
        <v>1</v>
      </c>
      <c r="I69" s="2754"/>
      <c r="J69" s="2754"/>
      <c r="K69" s="2754"/>
      <c r="L69" s="2754"/>
      <c r="N69" s="2755"/>
      <c r="S69" s="2755"/>
      <c r="X69" s="2756"/>
      <c r="Y69" s="2756"/>
      <c r="Z69" s="2756"/>
    </row>
    <row r="70" spans="1:26" ht="13.5" thickBot="1">
      <c r="B70" s="2757">
        <v>102</v>
      </c>
      <c r="C70" s="2758">
        <v>103</v>
      </c>
      <c r="D70" s="2758">
        <f t="shared" si="29"/>
        <v>103</v>
      </c>
      <c r="E70" s="2758">
        <v>103</v>
      </c>
      <c r="F70" s="2759">
        <v>100</v>
      </c>
      <c r="I70" s="2746"/>
      <c r="J70" s="2746"/>
      <c r="K70" s="2746"/>
      <c r="L70" s="2746"/>
      <c r="N70" s="2747"/>
      <c r="O70" s="2746"/>
      <c r="P70" s="2746"/>
      <c r="Q70" s="2746"/>
      <c r="S70" s="2747"/>
      <c r="T70" s="2746"/>
      <c r="U70" s="2746"/>
      <c r="V70" s="2746"/>
      <c r="X70" s="2692"/>
      <c r="Y70" s="2692"/>
      <c r="Z70" s="2692"/>
    </row>
    <row r="72" spans="1:26" s="2761" customFormat="1">
      <c r="A72" s="2760" t="s">
        <v>2631</v>
      </c>
      <c r="G72" s="2762"/>
      <c r="N72" s="2762"/>
      <c r="S72" s="2762"/>
    </row>
    <row r="73" spans="1:26" s="2761" customFormat="1">
      <c r="A73" s="2761" t="s">
        <v>2632</v>
      </c>
      <c r="G73" s="2762"/>
      <c r="N73" s="2762"/>
      <c r="S73" s="2762"/>
    </row>
    <row r="74" spans="1:26" s="2761" customFormat="1">
      <c r="A74" s="2761" t="s">
        <v>2633</v>
      </c>
      <c r="G74" s="2762"/>
      <c r="I74" s="2763"/>
      <c r="J74" s="2763"/>
      <c r="K74" s="2763"/>
      <c r="L74" s="2763"/>
      <c r="N74" s="2764"/>
      <c r="O74" s="2763"/>
      <c r="P74" s="2763"/>
      <c r="Q74" s="2763"/>
      <c r="S74" s="2764"/>
      <c r="T74" s="2763"/>
      <c r="U74" s="2763"/>
      <c r="V74" s="2763"/>
    </row>
    <row r="75" spans="1:26" s="2761" customFormat="1">
      <c r="A75" s="2761" t="s">
        <v>2634</v>
      </c>
      <c r="G75" s="2762"/>
      <c r="N75" s="2762"/>
      <c r="S75" s="2762"/>
    </row>
    <row r="82" spans="7:22" ht="13.5" thickBot="1"/>
    <row r="83" spans="7:22">
      <c r="G83" s="2687"/>
      <c r="S83" s="2765" t="s">
        <v>2635</v>
      </c>
      <c r="T83" s="2766" t="s">
        <v>2636</v>
      </c>
      <c r="U83" s="2766" t="s">
        <v>2637</v>
      </c>
      <c r="V83" s="2766" t="s">
        <v>2638</v>
      </c>
    </row>
    <row r="84" spans="7:22">
      <c r="G84" s="2687"/>
      <c r="N84" s="2691"/>
      <c r="O84" s="2692"/>
      <c r="P84" s="2692"/>
      <c r="Q84" s="2692"/>
      <c r="S84" s="2767">
        <v>2006</v>
      </c>
      <c r="T84" s="2768">
        <v>15.1</v>
      </c>
      <c r="U84" s="2768">
        <v>7.43</v>
      </c>
      <c r="V84" s="2768">
        <v>26.26</v>
      </c>
    </row>
    <row r="85" spans="7:22">
      <c r="G85" s="2687"/>
      <c r="N85" s="2691"/>
      <c r="O85" s="2692"/>
      <c r="P85" s="2692"/>
      <c r="Q85" s="2692"/>
      <c r="S85" s="2770">
        <v>2005</v>
      </c>
      <c r="T85" s="2769">
        <v>13.9</v>
      </c>
      <c r="U85" s="2769">
        <v>7.49</v>
      </c>
      <c r="V85" s="2769">
        <v>24.92</v>
      </c>
    </row>
    <row r="86" spans="7:22">
      <c r="G86" s="2687"/>
      <c r="N86" s="2691"/>
      <c r="O86" s="2692"/>
      <c r="P86" s="2692"/>
      <c r="Q86" s="2692"/>
      <c r="S86" s="2767">
        <v>2004</v>
      </c>
      <c r="T86" s="2768">
        <v>9.48</v>
      </c>
      <c r="U86" s="2768">
        <v>7.2</v>
      </c>
      <c r="V86" s="2768">
        <v>14.68</v>
      </c>
    </row>
    <row r="87" spans="7:22">
      <c r="G87" s="2687"/>
      <c r="N87" s="2691"/>
      <c r="O87" s="2692"/>
      <c r="P87" s="2692"/>
      <c r="Q87" s="2692"/>
      <c r="S87" s="2770">
        <v>2003</v>
      </c>
      <c r="T87" s="2769">
        <v>4.5</v>
      </c>
      <c r="U87" s="2769">
        <v>6.12</v>
      </c>
      <c r="V87" s="2769">
        <v>2.34</v>
      </c>
    </row>
    <row r="88" spans="7:22" ht="13.5" thickBot="1">
      <c r="G88" s="2687"/>
      <c r="N88" s="2691"/>
      <c r="O88" s="2692"/>
      <c r="P88" s="2692"/>
      <c r="Q88" s="2692"/>
      <c r="S88" s="2771">
        <v>2002</v>
      </c>
      <c r="T88" s="2772">
        <v>3.59</v>
      </c>
      <c r="U88" s="2772">
        <v>4.54</v>
      </c>
      <c r="V88" s="2772">
        <v>2.5499999999999998</v>
      </c>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D3" sqref="D3"/>
    </sheetView>
  </sheetViews>
  <sheetFormatPr defaultRowHeight="14.25"/>
  <cols>
    <col min="1" max="1" width="10.5" style="1336" customWidth="1"/>
    <col min="2" max="2" width="15.75" style="1336" customWidth="1"/>
    <col min="3" max="3" width="24.625" style="1336" customWidth="1"/>
    <col min="4" max="4" width="8.625" style="1336" customWidth="1"/>
    <col min="5" max="5" width="24.625" style="1336" customWidth="1"/>
    <col min="6" max="6" width="8.625" style="1336" customWidth="1"/>
    <col min="7" max="7" width="24.625" style="1336" customWidth="1"/>
    <col min="8" max="8" width="8.625" style="1336" customWidth="1"/>
    <col min="9" max="9" width="24.625" style="1336" customWidth="1"/>
    <col min="10" max="10" width="8.625" style="1336" customWidth="1"/>
    <col min="11" max="11" width="8.6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6" t="s">
        <v>720</v>
      </c>
      <c r="C1" s="2647" t="s">
        <v>721</v>
      </c>
      <c r="D1" s="2648" t="s">
        <v>923</v>
      </c>
      <c r="E1" s="2649"/>
      <c r="F1" s="2831" t="s">
        <v>3690</v>
      </c>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5">
        <f>ROUND(B3*D3/10000,0)</f>
        <v>141920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8" t="s">
        <v>520</v>
      </c>
      <c r="B3" s="850">
        <f>C49</f>
        <v>18659</v>
      </c>
      <c r="C3" s="851" t="s">
        <v>723</v>
      </c>
      <c r="D3" s="850">
        <f>SUMIF('数据-汇总表'!$C19:$C33,D1,'数据-汇总表'!$E19:$E33)</f>
        <v>76060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1" t="s">
        <v>522</v>
      </c>
      <c r="B4" s="512"/>
      <c r="C4" s="3739" t="s">
        <v>523</v>
      </c>
      <c r="D4" s="3740"/>
      <c r="E4" s="3763" t="s">
        <v>524</v>
      </c>
      <c r="F4" s="3764"/>
      <c r="G4" s="3739" t="s">
        <v>525</v>
      </c>
      <c r="H4" s="3740"/>
      <c r="I4" s="3739" t="s">
        <v>526</v>
      </c>
      <c r="J4" s="3740"/>
      <c r="K4" s="852" t="s">
        <v>527</v>
      </c>
      <c r="L4" s="2132"/>
      <c r="M4" s="2133"/>
      <c r="N4" s="2133"/>
      <c r="O4" s="2133"/>
      <c r="P4" s="3741" t="s">
        <v>528</v>
      </c>
      <c r="Q4" s="3742"/>
      <c r="R4" s="3727" t="s">
        <v>524</v>
      </c>
      <c r="S4" s="3728"/>
      <c r="T4" s="3727" t="s">
        <v>525</v>
      </c>
      <c r="U4" s="3728"/>
      <c r="V4" s="3747" t="s">
        <v>526</v>
      </c>
      <c r="W4" s="3747"/>
      <c r="X4" s="1566"/>
      <c r="Y4" s="3727" t="s">
        <v>528</v>
      </c>
      <c r="Z4" s="3728"/>
      <c r="AA4" s="3722" t="s">
        <v>524</v>
      </c>
      <c r="AB4" s="3722" t="s">
        <v>525</v>
      </c>
      <c r="AC4" s="3722" t="s">
        <v>526</v>
      </c>
    </row>
    <row r="5" spans="1:29" ht="15">
      <c r="A5" s="514"/>
      <c r="B5" s="515"/>
      <c r="C5" s="3750" t="s">
        <v>2917</v>
      </c>
      <c r="D5" s="3751"/>
      <c r="E5" s="3809" t="s">
        <v>3697</v>
      </c>
      <c r="F5" s="3766"/>
      <c r="G5" s="3750" t="str">
        <f>E5</f>
        <v>融创西安壹号院</v>
      </c>
      <c r="H5" s="3751"/>
      <c r="I5" s="3810" t="s">
        <v>3693</v>
      </c>
      <c r="J5" s="3751"/>
      <c r="K5" s="853"/>
      <c r="L5" s="2132"/>
      <c r="M5" s="2133"/>
      <c r="N5" s="2133"/>
      <c r="O5" s="2133"/>
      <c r="P5" s="3743"/>
      <c r="Q5" s="3744"/>
      <c r="R5" s="3729"/>
      <c r="S5" s="3730"/>
      <c r="T5" s="3729"/>
      <c r="U5" s="3730"/>
      <c r="V5" s="3747"/>
      <c r="W5" s="3747"/>
      <c r="X5" s="1566"/>
      <c r="Y5" s="3729"/>
      <c r="Z5" s="3730"/>
      <c r="AA5" s="3723"/>
      <c r="AB5" s="3723"/>
      <c r="AC5" s="3723"/>
    </row>
    <row r="6" spans="1:29" ht="30" customHeight="1" thickBot="1">
      <c r="A6" s="516"/>
      <c r="B6" s="517"/>
      <c r="C6" s="3748" t="s">
        <v>2921</v>
      </c>
      <c r="D6" s="3749"/>
      <c r="E6" s="3811" t="s">
        <v>3713</v>
      </c>
      <c r="F6" s="3768"/>
      <c r="G6" s="3748" t="str">
        <f>E6</f>
        <v>西安市新城区华清路与东二环交汇处西南角</v>
      </c>
      <c r="H6" s="3749"/>
      <c r="I6" s="3812" t="s">
        <v>3739</v>
      </c>
      <c r="J6" s="3749"/>
      <c r="K6" s="853" t="s">
        <v>529</v>
      </c>
      <c r="L6" s="2132"/>
      <c r="M6" s="2133"/>
      <c r="N6" s="2133"/>
      <c r="O6" s="2133"/>
      <c r="P6" s="3745"/>
      <c r="Q6" s="3746"/>
      <c r="R6" s="3729"/>
      <c r="S6" s="3730"/>
      <c r="T6" s="3731"/>
      <c r="U6" s="3732"/>
      <c r="V6" s="3747"/>
      <c r="W6" s="3747"/>
      <c r="X6" s="1566"/>
      <c r="Y6" s="3731"/>
      <c r="Z6" s="3732"/>
      <c r="AA6" s="3724"/>
      <c r="AB6" s="3724"/>
      <c r="AC6" s="3724"/>
    </row>
    <row r="7" spans="1:29" s="1219" customFormat="1" ht="15.75" thickBot="1">
      <c r="A7" s="2936"/>
      <c r="B7" s="2943" t="s">
        <v>530</v>
      </c>
      <c r="C7" s="518">
        <f>'数据-取费表'!B2</f>
        <v>43159</v>
      </c>
      <c r="D7" s="519">
        <v>100</v>
      </c>
      <c r="E7" s="520">
        <v>43132</v>
      </c>
      <c r="F7" s="521">
        <f>SUMIF(58:58,YEAR(E7)&amp;"-"&amp;MONTH(E7),59:59)</f>
        <v>100</v>
      </c>
      <c r="G7" s="522">
        <f>E7</f>
        <v>43132</v>
      </c>
      <c r="H7" s="519">
        <f>SUMIF(58:58,YEAR(G7)&amp;"-"&amp;MONTH(G7),59:59)</f>
        <v>100</v>
      </c>
      <c r="I7" s="522">
        <f>E7</f>
        <v>43132</v>
      </c>
      <c r="J7" s="519">
        <f>SUMIF(58:58,YEAR(I7)&amp;"-"&amp;MONTH(I7),59:59)</f>
        <v>100</v>
      </c>
      <c r="K7" s="854"/>
      <c r="L7" s="2134"/>
      <c r="M7" s="2135"/>
      <c r="N7" s="2135"/>
      <c r="O7" s="2135"/>
      <c r="P7" s="3725" t="s">
        <v>531</v>
      </c>
      <c r="Q7" s="3734"/>
      <c r="R7" s="1567" t="s">
        <v>13</v>
      </c>
      <c r="S7" s="1568">
        <f t="shared" ref="S7:S15" si="0">F7</f>
        <v>100</v>
      </c>
      <c r="T7" s="1567" t="s">
        <v>13</v>
      </c>
      <c r="U7" s="1568">
        <f t="shared" ref="U7:U15" si="1">H7</f>
        <v>100</v>
      </c>
      <c r="V7" s="1567" t="s">
        <v>13</v>
      </c>
      <c r="W7" s="1568">
        <f t="shared" ref="W7:W15" si="2">J7</f>
        <v>100</v>
      </c>
      <c r="X7" s="1569"/>
      <c r="Y7" s="3725" t="s">
        <v>531</v>
      </c>
      <c r="Z7" s="3726"/>
      <c r="AA7" s="1570">
        <f>D7/F7</f>
        <v>1</v>
      </c>
      <c r="AB7" s="1570">
        <f>D7/H7</f>
        <v>1</v>
      </c>
      <c r="AC7" s="1570">
        <f>D7/J7</f>
        <v>1</v>
      </c>
    </row>
    <row r="8" spans="1:29" s="1219" customFormat="1" ht="15.75" thickBot="1">
      <c r="A8" s="2937"/>
      <c r="B8" s="2944" t="s">
        <v>532</v>
      </c>
      <c r="C8" s="524" t="s">
        <v>577</v>
      </c>
      <c r="D8" s="519">
        <v>100</v>
      </c>
      <c r="E8" s="855" t="s">
        <v>3649</v>
      </c>
      <c r="F8" s="521">
        <f>SUMIF(61:61,E8,62:62)-SUMIF(61:61,C8,62:62)+100</f>
        <v>100</v>
      </c>
      <c r="G8" s="524" t="s">
        <v>3649</v>
      </c>
      <c r="H8" s="519">
        <f>SUMIF(61:61,G8,62:62)-SUMIF(61:61,C8,62:62)+100</f>
        <v>100</v>
      </c>
      <c r="I8" s="855" t="s">
        <v>3649</v>
      </c>
      <c r="J8" s="519">
        <f>SUMIF(61:61,I8,62:62)-SUMIF(61:61,C8,62:62)+100</f>
        <v>100</v>
      </c>
      <c r="K8" s="854"/>
      <c r="L8" s="2134"/>
      <c r="M8" s="2135"/>
      <c r="N8" s="2135"/>
      <c r="O8" s="2135"/>
      <c r="P8" s="3725" t="s">
        <v>534</v>
      </c>
      <c r="Q8" s="3726"/>
      <c r="R8" s="1567" t="s">
        <v>13</v>
      </c>
      <c r="S8" s="1568">
        <f t="shared" si="0"/>
        <v>100</v>
      </c>
      <c r="T8" s="1567" t="s">
        <v>13</v>
      </c>
      <c r="U8" s="1568">
        <f t="shared" si="1"/>
        <v>100</v>
      </c>
      <c r="V8" s="1567" t="s">
        <v>13</v>
      </c>
      <c r="W8" s="1568">
        <f t="shared" si="2"/>
        <v>100</v>
      </c>
      <c r="X8" s="1569"/>
      <c r="Y8" s="3725" t="s">
        <v>534</v>
      </c>
      <c r="Z8" s="3726"/>
      <c r="AA8" s="1570">
        <f t="shared" ref="AA8:AA46" si="3">D8/F8</f>
        <v>1</v>
      </c>
      <c r="AB8" s="1570">
        <f t="shared" ref="AB8:AB46" si="4">D8/H8</f>
        <v>1</v>
      </c>
      <c r="AC8" s="1570">
        <f t="shared" ref="AC8:AC46" si="5">D8/J8</f>
        <v>1</v>
      </c>
    </row>
    <row r="9" spans="1:29" s="1219" customFormat="1" ht="15">
      <c r="A9" s="2938"/>
      <c r="B9" s="2945" t="s">
        <v>2755</v>
      </c>
      <c r="C9" s="3509" t="s">
        <v>3691</v>
      </c>
      <c r="D9" s="253">
        <v>100</v>
      </c>
      <c r="E9" s="857" t="s">
        <v>923</v>
      </c>
      <c r="F9" s="858">
        <f>SUMIF(63:63,E9,64:64)-SUMIF(63:63,C9,64:64)+100</f>
        <v>100</v>
      </c>
      <c r="G9" s="859" t="s">
        <v>923</v>
      </c>
      <c r="H9" s="253">
        <f>SUMIF(63:63,G9,64:64)-SUMIF(63:63,C9,64:64)+100</f>
        <v>100</v>
      </c>
      <c r="I9" s="857" t="s">
        <v>923</v>
      </c>
      <c r="J9" s="253">
        <f>SUMIF(63:63,I9,64:64)-SUMIF(63:63,C9,64:64)+100</f>
        <v>100</v>
      </c>
      <c r="K9" s="854"/>
      <c r="L9" s="2134"/>
      <c r="M9" s="2135"/>
      <c r="N9" s="2135"/>
      <c r="O9" s="2136"/>
      <c r="P9" s="3733" t="s">
        <v>536</v>
      </c>
      <c r="Q9" s="1150" t="str">
        <f t="shared" ref="Q9:Q15" si="6">B9</f>
        <v>用途</v>
      </c>
      <c r="R9" s="1567" t="s">
        <v>8</v>
      </c>
      <c r="S9" s="1568">
        <f t="shared" si="0"/>
        <v>100</v>
      </c>
      <c r="T9" s="1567" t="s">
        <v>8</v>
      </c>
      <c r="U9" s="1568">
        <f t="shared" si="1"/>
        <v>100</v>
      </c>
      <c r="V9" s="1567" t="s">
        <v>8</v>
      </c>
      <c r="W9" s="1568">
        <f t="shared" si="2"/>
        <v>100</v>
      </c>
      <c r="X9" s="1569"/>
      <c r="Y9" s="3686" t="s">
        <v>537</v>
      </c>
      <c r="Z9" s="1149" t="str">
        <f t="shared" ref="Z9:Z15" si="7">Q9</f>
        <v>用途</v>
      </c>
      <c r="AA9" s="1570">
        <f t="shared" si="3"/>
        <v>1</v>
      </c>
      <c r="AB9" s="1570">
        <f t="shared" si="4"/>
        <v>1</v>
      </c>
      <c r="AC9" s="1570">
        <f t="shared" si="5"/>
        <v>1</v>
      </c>
    </row>
    <row r="10" spans="1:29" s="1337" customFormat="1" ht="27">
      <c r="A10" s="2939"/>
      <c r="B10" s="2944" t="s">
        <v>2756</v>
      </c>
      <c r="C10" s="860" t="s">
        <v>3692</v>
      </c>
      <c r="D10" s="254">
        <v>100</v>
      </c>
      <c r="E10" s="861" t="s">
        <v>3692</v>
      </c>
      <c r="F10" s="862">
        <f>SUMIF(65:65,E10,66:66)-SUMIF(65:65,C10,66:66)+100</f>
        <v>100</v>
      </c>
      <c r="G10" s="860" t="s">
        <v>3692</v>
      </c>
      <c r="H10" s="254">
        <f>SUMIF(65:65,G10,66:66)-SUMIF(65:65,C10,66:66)+100</f>
        <v>100</v>
      </c>
      <c r="I10" s="861" t="s">
        <v>3692</v>
      </c>
      <c r="J10" s="254">
        <f>SUMIF(65:65,I10,66:66)-SUMIF(65:65,C10,66:66)+100</f>
        <v>100</v>
      </c>
      <c r="K10" s="863"/>
      <c r="L10" s="2137"/>
      <c r="M10" s="2177"/>
      <c r="N10" s="2177"/>
      <c r="O10" s="2138"/>
      <c r="P10" s="3733"/>
      <c r="Q10" s="1150" t="str">
        <f t="shared" si="6"/>
        <v>土地使用年限（年）</v>
      </c>
      <c r="R10" s="1567" t="s">
        <v>8</v>
      </c>
      <c r="S10" s="1568">
        <f t="shared" si="0"/>
        <v>100</v>
      </c>
      <c r="T10" s="1567" t="s">
        <v>8</v>
      </c>
      <c r="U10" s="1568">
        <f t="shared" si="1"/>
        <v>100</v>
      </c>
      <c r="V10" s="1567" t="s">
        <v>8</v>
      </c>
      <c r="W10" s="1568">
        <f t="shared" si="2"/>
        <v>100</v>
      </c>
      <c r="X10" s="1569"/>
      <c r="Y10" s="3686"/>
      <c r="Z10" s="1149" t="str">
        <f t="shared" si="7"/>
        <v>土地使用年限（年）</v>
      </c>
      <c r="AA10" s="1570">
        <f t="shared" si="3"/>
        <v>1</v>
      </c>
      <c r="AB10" s="1570">
        <f t="shared" si="4"/>
        <v>1</v>
      </c>
      <c r="AC10" s="1570">
        <f t="shared" si="5"/>
        <v>1</v>
      </c>
    </row>
    <row r="11" spans="1:29" ht="15.75" thickBot="1">
      <c r="A11" s="2940"/>
      <c r="B11" s="2944" t="s">
        <v>2757</v>
      </c>
      <c r="C11" s="532">
        <f>'比较法-住宅、综合（4000+）'!C13</f>
        <v>2.99</v>
      </c>
      <c r="D11" s="254">
        <v>100</v>
      </c>
      <c r="E11" s="533">
        <v>2.39</v>
      </c>
      <c r="F11" s="862">
        <f>LOOKUP(E11,68:68,69:69)-LOOKUP(C11,68:68,69:69)+100</f>
        <v>102</v>
      </c>
      <c r="G11" s="3512">
        <f>E11</f>
        <v>2.39</v>
      </c>
      <c r="H11" s="255">
        <f>LOOKUP(G11,68:68,69:69)-LOOKUP(C11,68:68,69:69)+100</f>
        <v>102</v>
      </c>
      <c r="I11" s="532">
        <v>3.53</v>
      </c>
      <c r="J11" s="254">
        <f>LOOKUP(I11,68:68,69:69)-LOOKUP(C11,68:68,69:69)+100</f>
        <v>96</v>
      </c>
      <c r="K11" s="3540">
        <v>2</v>
      </c>
      <c r="L11" s="2139"/>
      <c r="M11" s="2133"/>
      <c r="N11" s="2133"/>
      <c r="O11" s="2140"/>
      <c r="P11" s="3733"/>
      <c r="Q11" s="1150" t="str">
        <f t="shared" si="6"/>
        <v>容积率</v>
      </c>
      <c r="R11" s="1567" t="s">
        <v>11</v>
      </c>
      <c r="S11" s="1568">
        <f t="shared" si="0"/>
        <v>102</v>
      </c>
      <c r="T11" s="1567" t="s">
        <v>11</v>
      </c>
      <c r="U11" s="1568">
        <f t="shared" si="1"/>
        <v>102</v>
      </c>
      <c r="V11" s="1567" t="s">
        <v>11</v>
      </c>
      <c r="W11" s="1568">
        <f t="shared" si="2"/>
        <v>96</v>
      </c>
      <c r="X11" s="1569"/>
      <c r="Y11" s="3686"/>
      <c r="Z11" s="1149" t="str">
        <f t="shared" si="7"/>
        <v>容积率</v>
      </c>
      <c r="AA11" s="1570">
        <f t="shared" si="3"/>
        <v>0.98039215686274506</v>
      </c>
      <c r="AB11" s="1570">
        <f t="shared" si="4"/>
        <v>0.98039215686274506</v>
      </c>
      <c r="AC11" s="1570">
        <f t="shared" si="5"/>
        <v>1.0416666666666667</v>
      </c>
    </row>
    <row r="12" spans="1:29" s="1219" customFormat="1" ht="15" hidden="1">
      <c r="A12" s="2941"/>
      <c r="B12" s="2947"/>
      <c r="C12" s="527"/>
      <c r="D12" s="537">
        <v>100</v>
      </c>
      <c r="E12" s="527"/>
      <c r="F12" s="862">
        <f>SUMIF(70:70,E12,71:71)-SUMIF(70:70,C12,71:71)+100</f>
        <v>100</v>
      </c>
      <c r="G12" s="527"/>
      <c r="H12" s="874">
        <f>SUMIF(70:70,G12,71:71)-SUMIF(70:70,C12,71:71)+100</f>
        <v>100</v>
      </c>
      <c r="I12" s="527"/>
      <c r="J12" s="254">
        <f>SUMIF(70:70,I12,71:71)-SUMIF(70:70,C12,71:71)+100</f>
        <v>100</v>
      </c>
      <c r="K12" s="864"/>
      <c r="L12" s="2134"/>
      <c r="M12" s="2135"/>
      <c r="N12" s="2135"/>
      <c r="O12" s="2136"/>
      <c r="P12" s="3733"/>
      <c r="Q12" s="1150">
        <f t="shared" si="6"/>
        <v>0</v>
      </c>
      <c r="R12" s="1567" t="s">
        <v>11</v>
      </c>
      <c r="S12" s="1568">
        <f t="shared" si="0"/>
        <v>100</v>
      </c>
      <c r="T12" s="1567" t="s">
        <v>11</v>
      </c>
      <c r="U12" s="1568">
        <f t="shared" si="1"/>
        <v>100</v>
      </c>
      <c r="V12" s="1567" t="s">
        <v>11</v>
      </c>
      <c r="W12" s="1568">
        <f t="shared" si="2"/>
        <v>100</v>
      </c>
      <c r="X12" s="1569"/>
      <c r="Y12" s="3686"/>
      <c r="Z12" s="1149">
        <f t="shared" si="7"/>
        <v>0</v>
      </c>
      <c r="AA12" s="1570">
        <f>D12/F12</f>
        <v>1</v>
      </c>
      <c r="AB12" s="1570">
        <f>D12/H12</f>
        <v>1</v>
      </c>
      <c r="AC12" s="1570">
        <f>D12/J12</f>
        <v>1</v>
      </c>
    </row>
    <row r="13" spans="1:29" ht="15" hidden="1">
      <c r="A13" s="2941"/>
      <c r="B13" s="2947"/>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733"/>
      <c r="Q13" s="1150">
        <f t="shared" si="6"/>
        <v>0</v>
      </c>
      <c r="R13" s="1567" t="s">
        <v>11</v>
      </c>
      <c r="S13" s="1568">
        <f t="shared" si="0"/>
        <v>100</v>
      </c>
      <c r="T13" s="1567" t="s">
        <v>11</v>
      </c>
      <c r="U13" s="1568">
        <f t="shared" si="1"/>
        <v>100</v>
      </c>
      <c r="V13" s="1567" t="s">
        <v>11</v>
      </c>
      <c r="W13" s="1568">
        <f t="shared" si="2"/>
        <v>100</v>
      </c>
      <c r="X13" s="1569"/>
      <c r="Y13" s="3686"/>
      <c r="Z13" s="1149">
        <f t="shared" si="7"/>
        <v>0</v>
      </c>
      <c r="AA13" s="1570">
        <f t="shared" si="3"/>
        <v>1</v>
      </c>
      <c r="AB13" s="1570">
        <f t="shared" si="4"/>
        <v>1</v>
      </c>
      <c r="AC13" s="1570">
        <f t="shared" si="5"/>
        <v>1</v>
      </c>
    </row>
    <row r="14" spans="1:29" ht="15.75" hidden="1" thickBot="1">
      <c r="A14" s="2942"/>
      <c r="B14" s="2948"/>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733"/>
      <c r="Q14" s="1150">
        <f t="shared" si="6"/>
        <v>0</v>
      </c>
      <c r="R14" s="1567" t="s">
        <v>11</v>
      </c>
      <c r="S14" s="1568">
        <f t="shared" si="0"/>
        <v>100</v>
      </c>
      <c r="T14" s="1567" t="s">
        <v>11</v>
      </c>
      <c r="U14" s="1568">
        <f t="shared" si="1"/>
        <v>100</v>
      </c>
      <c r="V14" s="1567" t="s">
        <v>11</v>
      </c>
      <c r="W14" s="1568">
        <f t="shared" si="2"/>
        <v>100</v>
      </c>
      <c r="X14" s="1569"/>
      <c r="Y14" s="3686"/>
      <c r="Z14" s="1149">
        <f t="shared" si="7"/>
        <v>0</v>
      </c>
      <c r="AA14" s="1570">
        <f t="shared" si="3"/>
        <v>1</v>
      </c>
      <c r="AB14" s="1570">
        <f t="shared" si="4"/>
        <v>1</v>
      </c>
      <c r="AC14" s="1570">
        <f t="shared" si="5"/>
        <v>1</v>
      </c>
    </row>
    <row r="15" spans="1:29" ht="57">
      <c r="A15" s="2934" t="s">
        <v>2753</v>
      </c>
      <c r="B15" s="166" t="s">
        <v>295</v>
      </c>
      <c r="C15" s="866" t="str">
        <f>估价对象房地状况!C3</f>
        <v>周边居住用地比例、居住小区规模和社区发展完善程度（先锋花园 金科天籁城 华远锦悦）</v>
      </c>
      <c r="D15" s="548">
        <v>100</v>
      </c>
      <c r="E15" s="549"/>
      <c r="F15" s="550">
        <f>SUMIF(76:76,E16,77:77)-SUMIF(76:76,C16,77:77)+100</f>
        <v>100</v>
      </c>
      <c r="G15" s="551"/>
      <c r="H15" s="548">
        <f>SUMIF(76:76,G16,77:77)-SUMIF(76:76,C16,77:77)+100</f>
        <v>100</v>
      </c>
      <c r="I15" s="549"/>
      <c r="J15" s="548">
        <f>SUMIF(76:76,I16,77:77)-SUMIF(76:76,C16,77:77)+100</f>
        <v>100</v>
      </c>
      <c r="K15" s="867">
        <v>3</v>
      </c>
      <c r="L15" s="2141"/>
      <c r="M15" s="2133"/>
      <c r="N15" s="2133"/>
      <c r="O15" s="2140"/>
      <c r="P15" s="3735" t="s">
        <v>541</v>
      </c>
      <c r="Q15" s="1571" t="str">
        <f t="shared" si="6"/>
        <v>居住社区成熟度</v>
      </c>
      <c r="R15" s="1572" t="s">
        <v>11</v>
      </c>
      <c r="S15" s="1573">
        <f t="shared" si="0"/>
        <v>100</v>
      </c>
      <c r="T15" s="1572" t="s">
        <v>11</v>
      </c>
      <c r="U15" s="1573">
        <f t="shared" si="1"/>
        <v>100</v>
      </c>
      <c r="V15" s="1572" t="s">
        <v>11</v>
      </c>
      <c r="W15" s="1573">
        <f t="shared" si="2"/>
        <v>100</v>
      </c>
      <c r="X15" s="1566"/>
      <c r="Y15" s="3735" t="s">
        <v>541</v>
      </c>
      <c r="Z15" s="1574" t="str">
        <f t="shared" si="7"/>
        <v>居住社区成熟度</v>
      </c>
      <c r="AA15" s="1575">
        <f t="shared" si="3"/>
        <v>1</v>
      </c>
      <c r="AB15" s="1575">
        <f t="shared" si="4"/>
        <v>1</v>
      </c>
      <c r="AC15" s="1575">
        <f t="shared" si="5"/>
        <v>1</v>
      </c>
    </row>
    <row r="16" spans="1:29" ht="15">
      <c r="A16" s="531"/>
      <c r="B16" s="868"/>
      <c r="C16" s="575" t="s">
        <v>3650</v>
      </c>
      <c r="D16" s="554"/>
      <c r="E16" s="555" t="s">
        <v>3650</v>
      </c>
      <c r="F16" s="556"/>
      <c r="G16" s="557" t="s">
        <v>3650</v>
      </c>
      <c r="H16" s="558"/>
      <c r="I16" s="555" t="s">
        <v>3650</v>
      </c>
      <c r="J16" s="554"/>
      <c r="K16" s="869"/>
      <c r="L16" s="2141"/>
      <c r="M16" s="2133"/>
      <c r="N16" s="2133"/>
      <c r="O16" s="2140"/>
      <c r="P16" s="3736"/>
      <c r="Q16" s="1571"/>
      <c r="R16" s="1572"/>
      <c r="S16" s="1573"/>
      <c r="T16" s="1572"/>
      <c r="U16" s="1573"/>
      <c r="V16" s="1572"/>
      <c r="W16" s="1573"/>
      <c r="X16" s="1566"/>
      <c r="Y16" s="3736"/>
      <c r="Z16" s="1574"/>
      <c r="AA16" s="1575">
        <v>1</v>
      </c>
      <c r="AB16" s="1575">
        <v>1</v>
      </c>
      <c r="AC16" s="1575">
        <v>1</v>
      </c>
    </row>
    <row r="17" spans="1:29" ht="57">
      <c r="A17" s="531"/>
      <c r="B17" s="870" t="s">
        <v>296</v>
      </c>
      <c r="C17" s="871" t="str">
        <f>估价对象房地状况!C6</f>
        <v>周边道路状况、公共交通通达情况、停车便捷程度（二环北路 17路 209路 245路 地铁3号线辛家庙站2公里</v>
      </c>
      <c r="D17" s="558">
        <v>100</v>
      </c>
      <c r="E17" s="561"/>
      <c r="F17" s="562">
        <f>SUMIF(78:78,E18,79:79)-SUMIF(78:78,C18,79:79)+100</f>
        <v>102</v>
      </c>
      <c r="G17" s="563"/>
      <c r="H17" s="564">
        <f>SUMIF(78:78,G18,79:79)-SUMIF(78:78,C18,79:79)+100</f>
        <v>102</v>
      </c>
      <c r="I17" s="561"/>
      <c r="J17" s="564">
        <f>SUMIF(78:78,I18,79:79)-SUMIF(78:78,C18,79:79)+100</f>
        <v>102</v>
      </c>
      <c r="K17" s="867">
        <v>2</v>
      </c>
      <c r="L17" s="2141"/>
      <c r="M17" s="2133"/>
      <c r="N17" s="2133"/>
      <c r="O17" s="2140"/>
      <c r="P17" s="3736"/>
      <c r="Q17" s="1571" t="str">
        <f>B17</f>
        <v>交通便捷度</v>
      </c>
      <c r="R17" s="1572" t="s">
        <v>11</v>
      </c>
      <c r="S17" s="1573">
        <f>F17</f>
        <v>102</v>
      </c>
      <c r="T17" s="1572" t="s">
        <v>11</v>
      </c>
      <c r="U17" s="1573">
        <f>H17</f>
        <v>102</v>
      </c>
      <c r="V17" s="1572" t="s">
        <v>11</v>
      </c>
      <c r="W17" s="1573">
        <f>J17</f>
        <v>102</v>
      </c>
      <c r="X17" s="1566"/>
      <c r="Y17" s="3736"/>
      <c r="Z17" s="1574" t="str">
        <f>Q17</f>
        <v>交通便捷度</v>
      </c>
      <c r="AA17" s="1575">
        <f t="shared" si="3"/>
        <v>0.98039215686274506</v>
      </c>
      <c r="AB17" s="1575">
        <f t="shared" si="4"/>
        <v>0.98039215686274506</v>
      </c>
      <c r="AC17" s="1575">
        <f t="shared" si="5"/>
        <v>0.98039215686274506</v>
      </c>
    </row>
    <row r="18" spans="1:29" ht="15">
      <c r="A18" s="531"/>
      <c r="B18" s="594"/>
      <c r="C18" s="872" t="s">
        <v>3650</v>
      </c>
      <c r="D18" s="558"/>
      <c r="E18" s="567" t="s">
        <v>3791</v>
      </c>
      <c r="F18" s="562"/>
      <c r="G18" s="568" t="s">
        <v>3791</v>
      </c>
      <c r="H18" s="554"/>
      <c r="I18" s="567" t="s">
        <v>3791</v>
      </c>
      <c r="J18" s="554"/>
      <c r="K18" s="869"/>
      <c r="L18" s="2141"/>
      <c r="M18" s="2133"/>
      <c r="N18" s="2133"/>
      <c r="O18" s="2140"/>
      <c r="P18" s="3736"/>
      <c r="Q18" s="1571"/>
      <c r="R18" s="1572"/>
      <c r="S18" s="1573"/>
      <c r="T18" s="1572"/>
      <c r="U18" s="1573"/>
      <c r="V18" s="1572"/>
      <c r="W18" s="1573"/>
      <c r="X18" s="1566"/>
      <c r="Y18" s="3736"/>
      <c r="Z18" s="1574"/>
      <c r="AA18" s="1575">
        <v>1</v>
      </c>
      <c r="AB18" s="1575">
        <v>1</v>
      </c>
      <c r="AC18" s="1575">
        <v>1</v>
      </c>
    </row>
    <row r="19" spans="1:29" ht="90" customHeight="1">
      <c r="A19" s="531"/>
      <c r="B19" s="2623" t="s">
        <v>2546</v>
      </c>
      <c r="C19" s="871" t="str">
        <f>估价对象房地状况!C7</f>
        <v>1.5公里 西安市第三医院 中国工商银行(西安北二环东段支行) 中国农业银行(太华北路支行) 西安市未央区幼儿园 大明宫小学 陕西师范大学锦园国际中学 永辉超市</v>
      </c>
      <c r="D19" s="564">
        <v>100</v>
      </c>
      <c r="E19" s="569"/>
      <c r="F19" s="570">
        <f>SUMIF(80:80,E20,81:81)-SUMIF(80:80,C20,81:81)+100</f>
        <v>100</v>
      </c>
      <c r="G19" s="571"/>
      <c r="H19" s="558">
        <f>SUMIF(80:80,G20,81:81)-SUMIF(80:80,C20,81:81)+100</f>
        <v>100</v>
      </c>
      <c r="I19" s="569"/>
      <c r="J19" s="558">
        <f>SUMIF(80:80,I20,81:81)-SUMIF(80:80,C20,81:81)+100</f>
        <v>100</v>
      </c>
      <c r="K19" s="867">
        <v>2</v>
      </c>
      <c r="L19" s="2141"/>
      <c r="M19" s="2133"/>
      <c r="N19" s="2133"/>
      <c r="O19" s="2140"/>
      <c r="P19" s="3736"/>
      <c r="Q19" s="1571" t="str">
        <f>B19</f>
        <v>公共配套设施</v>
      </c>
      <c r="R19" s="1572" t="s">
        <v>11</v>
      </c>
      <c r="S19" s="1573">
        <f>F19</f>
        <v>100</v>
      </c>
      <c r="T19" s="1572" t="s">
        <v>11</v>
      </c>
      <c r="U19" s="1573">
        <f>H19</f>
        <v>100</v>
      </c>
      <c r="V19" s="1572" t="s">
        <v>11</v>
      </c>
      <c r="W19" s="1573">
        <f>J19</f>
        <v>100</v>
      </c>
      <c r="X19" s="1566"/>
      <c r="Y19" s="3736"/>
      <c r="Z19" s="1574" t="str">
        <f>Q19</f>
        <v>公共配套设施</v>
      </c>
      <c r="AA19" s="1575">
        <f t="shared" si="3"/>
        <v>1</v>
      </c>
      <c r="AB19" s="1575">
        <f t="shared" si="4"/>
        <v>1</v>
      </c>
      <c r="AC19" s="1575">
        <f t="shared" si="5"/>
        <v>1</v>
      </c>
    </row>
    <row r="20" spans="1:29" ht="15">
      <c r="A20" s="531"/>
      <c r="B20" s="594"/>
      <c r="C20" s="575" t="s">
        <v>3650</v>
      </c>
      <c r="D20" s="554"/>
      <c r="E20" s="555" t="s">
        <v>3650</v>
      </c>
      <c r="F20" s="556"/>
      <c r="G20" s="557" t="s">
        <v>3650</v>
      </c>
      <c r="H20" s="554"/>
      <c r="I20" s="555" t="s">
        <v>3650</v>
      </c>
      <c r="J20" s="554"/>
      <c r="K20" s="869"/>
      <c r="L20" s="2141"/>
      <c r="M20" s="2133"/>
      <c r="N20" s="2133"/>
      <c r="O20" s="2140"/>
      <c r="P20" s="3736"/>
      <c r="Q20" s="1571"/>
      <c r="R20" s="1572"/>
      <c r="S20" s="1573"/>
      <c r="T20" s="1572"/>
      <c r="U20" s="1573"/>
      <c r="V20" s="1572"/>
      <c r="W20" s="1573"/>
      <c r="X20" s="1566"/>
      <c r="Y20" s="3736"/>
      <c r="Z20" s="1574"/>
      <c r="AA20" s="1575">
        <v>1</v>
      </c>
      <c r="AB20" s="1575">
        <v>1</v>
      </c>
      <c r="AC20" s="1575">
        <v>1</v>
      </c>
    </row>
    <row r="21" spans="1:29" ht="15">
      <c r="A21" s="531"/>
      <c r="B21" s="2616" t="s">
        <v>2558</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736"/>
      <c r="Q21" s="2602" t="str">
        <f>B21</f>
        <v>基础设施水平</v>
      </c>
      <c r="R21" s="1572" t="s">
        <v>11</v>
      </c>
      <c r="S21" s="1573">
        <f>F21</f>
        <v>100</v>
      </c>
      <c r="T21" s="1572" t="s">
        <v>11</v>
      </c>
      <c r="U21" s="1573">
        <f>H21</f>
        <v>100</v>
      </c>
      <c r="V21" s="1572" t="s">
        <v>11</v>
      </c>
      <c r="W21" s="1573">
        <f>J21</f>
        <v>100</v>
      </c>
      <c r="X21" s="2604"/>
      <c r="Y21" s="3736"/>
      <c r="Z21" s="2603" t="str">
        <f>Q21</f>
        <v>基础设施水平</v>
      </c>
      <c r="AA21" s="1575">
        <f t="shared" ref="AA21" si="8">D21/F21</f>
        <v>1</v>
      </c>
      <c r="AB21" s="1575">
        <f t="shared" ref="AB21" si="9">D21/H21</f>
        <v>1</v>
      </c>
      <c r="AC21" s="1575">
        <f t="shared" ref="AC21" si="10">D21/J21</f>
        <v>1</v>
      </c>
    </row>
    <row r="22" spans="1:29" ht="15">
      <c r="A22" s="531"/>
      <c r="B22" s="921"/>
      <c r="C22" s="872" t="s">
        <v>3662</v>
      </c>
      <c r="D22" s="554"/>
      <c r="E22" s="872" t="s">
        <v>3662</v>
      </c>
      <c r="F22" s="556"/>
      <c r="G22" s="872" t="s">
        <v>3662</v>
      </c>
      <c r="H22" s="554"/>
      <c r="I22" s="872" t="s">
        <v>3662</v>
      </c>
      <c r="J22" s="554"/>
      <c r="K22" s="2622"/>
      <c r="L22" s="2141"/>
      <c r="M22" s="2133"/>
      <c r="N22" s="2133"/>
      <c r="O22" s="2140"/>
      <c r="P22" s="3736"/>
      <c r="Q22" s="2602"/>
      <c r="R22" s="1572"/>
      <c r="S22" s="1573"/>
      <c r="T22" s="1572"/>
      <c r="U22" s="1573"/>
      <c r="V22" s="1572"/>
      <c r="W22" s="1573"/>
      <c r="X22" s="2604"/>
      <c r="Y22" s="3736"/>
      <c r="Z22" s="2603"/>
      <c r="AA22" s="1575">
        <v>1</v>
      </c>
      <c r="AB22" s="1575">
        <v>1</v>
      </c>
      <c r="AC22" s="1575">
        <v>1</v>
      </c>
    </row>
    <row r="23" spans="1:29" ht="15">
      <c r="A23" s="531"/>
      <c r="B23" s="870" t="s">
        <v>297</v>
      </c>
      <c r="C23" s="871" t="str">
        <f>估价对象房地状况!C9</f>
        <v>大明宫国家遗址公园</v>
      </c>
      <c r="D23" s="558">
        <v>100</v>
      </c>
      <c r="E23" s="561"/>
      <c r="F23" s="562">
        <f>SUMIF(84:84,E24,85:85)-SUMIF(84:84,C24,85:85)+100</f>
        <v>103</v>
      </c>
      <c r="G23" s="563"/>
      <c r="H23" s="558">
        <f>SUMIF(84:84,G24,85:85)-SUMIF(84:84,C24,85:85)+100</f>
        <v>103</v>
      </c>
      <c r="I23" s="561"/>
      <c r="J23" s="558">
        <f>SUMIF(84:84,I24,85:85)-SUMIF(84:84,C24,85:85)+100</f>
        <v>100</v>
      </c>
      <c r="K23" s="867">
        <v>3</v>
      </c>
      <c r="L23" s="2141"/>
      <c r="M23" s="2133"/>
      <c r="N23" s="2133"/>
      <c r="O23" s="2140"/>
      <c r="P23" s="3736"/>
      <c r="Q23" s="1571" t="str">
        <f>B23</f>
        <v>自然及人文环境</v>
      </c>
      <c r="R23" s="1572" t="s">
        <v>11</v>
      </c>
      <c r="S23" s="1573">
        <f>F23</f>
        <v>103</v>
      </c>
      <c r="T23" s="1572" t="s">
        <v>11</v>
      </c>
      <c r="U23" s="1573">
        <f>H23</f>
        <v>103</v>
      </c>
      <c r="V23" s="1572" t="s">
        <v>11</v>
      </c>
      <c r="W23" s="1573">
        <f>J23</f>
        <v>100</v>
      </c>
      <c r="X23" s="1566"/>
      <c r="Y23" s="3736"/>
      <c r="Z23" s="1574" t="str">
        <f>Q23</f>
        <v>自然及人文环境</v>
      </c>
      <c r="AA23" s="1575">
        <f t="shared" si="3"/>
        <v>0.970873786407767</v>
      </c>
      <c r="AB23" s="1575">
        <f t="shared" si="4"/>
        <v>0.970873786407767</v>
      </c>
      <c r="AC23" s="1575">
        <f t="shared" si="5"/>
        <v>1</v>
      </c>
    </row>
    <row r="24" spans="1:29" ht="15">
      <c r="A24" s="531"/>
      <c r="B24" s="594"/>
      <c r="C24" s="575" t="s">
        <v>3650</v>
      </c>
      <c r="D24" s="554"/>
      <c r="E24" s="555" t="s">
        <v>3791</v>
      </c>
      <c r="F24" s="556"/>
      <c r="G24" s="557" t="s">
        <v>3791</v>
      </c>
      <c r="H24" s="554"/>
      <c r="I24" s="555" t="s">
        <v>3650</v>
      </c>
      <c r="J24" s="554"/>
      <c r="K24" s="869"/>
      <c r="L24" s="2141"/>
      <c r="M24" s="2133"/>
      <c r="N24" s="2133"/>
      <c r="O24" s="2140"/>
      <c r="P24" s="3736"/>
      <c r="Q24" s="1571"/>
      <c r="R24" s="1572"/>
      <c r="S24" s="1573"/>
      <c r="T24" s="1572"/>
      <c r="U24" s="1573"/>
      <c r="V24" s="1572"/>
      <c r="W24" s="1573"/>
      <c r="X24" s="1566"/>
      <c r="Y24" s="3736"/>
      <c r="Z24" s="1574"/>
      <c r="AA24" s="1575">
        <v>1</v>
      </c>
      <c r="AB24" s="1575">
        <v>1</v>
      </c>
      <c r="AC24" s="1575">
        <v>1</v>
      </c>
    </row>
    <row r="25" spans="1:29" ht="15" hidden="1">
      <c r="A25" s="531"/>
      <c r="B25" s="1894" t="s">
        <v>2256</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736"/>
      <c r="Q25" s="1571" t="str">
        <f t="shared" ref="Q25:Q46" si="11">B25</f>
        <v>楼层-1</v>
      </c>
      <c r="R25" s="1572" t="s">
        <v>11</v>
      </c>
      <c r="S25" s="1573">
        <f>F25</f>
        <v>100</v>
      </c>
      <c r="T25" s="1572" t="s">
        <v>11</v>
      </c>
      <c r="U25" s="1573">
        <f>H25</f>
        <v>100</v>
      </c>
      <c r="V25" s="1572" t="s">
        <v>11</v>
      </c>
      <c r="W25" s="1573">
        <f>J25</f>
        <v>100</v>
      </c>
      <c r="X25" s="1566"/>
      <c r="Y25" s="3736"/>
      <c r="Z25" s="1574" t="str">
        <f>Q25</f>
        <v>楼层-1</v>
      </c>
      <c r="AA25" s="1575">
        <f t="shared" si="3"/>
        <v>1</v>
      </c>
      <c r="AB25" s="1575">
        <f t="shared" si="4"/>
        <v>1</v>
      </c>
      <c r="AC25" s="1575">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736"/>
      <c r="Q26" s="1571" t="str">
        <f t="shared" si="11"/>
        <v>朝向</v>
      </c>
      <c r="R26" s="1572" t="s">
        <v>11</v>
      </c>
      <c r="S26" s="1573">
        <f>F26</f>
        <v>100</v>
      </c>
      <c r="T26" s="1572" t="s">
        <v>11</v>
      </c>
      <c r="U26" s="1573">
        <f>H26</f>
        <v>100</v>
      </c>
      <c r="V26" s="1572" t="s">
        <v>11</v>
      </c>
      <c r="W26" s="1573">
        <f>J26</f>
        <v>100</v>
      </c>
      <c r="X26" s="1566"/>
      <c r="Y26" s="3736"/>
      <c r="Z26" s="1574" t="str">
        <f>Q26</f>
        <v>朝向</v>
      </c>
      <c r="AA26" s="1575">
        <f t="shared" si="3"/>
        <v>1</v>
      </c>
      <c r="AB26" s="1575">
        <f t="shared" si="4"/>
        <v>1</v>
      </c>
      <c r="AC26" s="1575">
        <f t="shared" si="5"/>
        <v>1</v>
      </c>
    </row>
    <row r="27" spans="1:29" s="1219" customFormat="1" ht="15.75" thickBot="1">
      <c r="A27" s="535"/>
      <c r="B27" s="3513" t="s">
        <v>3740</v>
      </c>
      <c r="C27" s="3514"/>
      <c r="D27" s="874">
        <v>100</v>
      </c>
      <c r="E27" s="3515"/>
      <c r="F27" s="875">
        <f>SUMIF(90:90,E27,91:91)-SUMIF(90:90,C27,91:91)+100</f>
        <v>100</v>
      </c>
      <c r="G27" s="3516"/>
      <c r="H27" s="874">
        <f>SUMIF(90:90,G27,91:91)-SUMIF(90:90,C27,91:91)+100</f>
        <v>100</v>
      </c>
      <c r="I27" s="3515"/>
      <c r="J27" s="874">
        <f>SUMIF(90:90,I27,91:91)-SUMIF(90:90,C27,91:91)+100</f>
        <v>100</v>
      </c>
      <c r="K27" s="864"/>
      <c r="L27" s="2134"/>
      <c r="M27" s="2135"/>
      <c r="N27" s="2135"/>
      <c r="O27" s="2136"/>
      <c r="P27" s="3736"/>
      <c r="Q27" s="1150" t="str">
        <f t="shared" si="11"/>
        <v>楼层</v>
      </c>
      <c r="R27" s="1567" t="s">
        <v>11</v>
      </c>
      <c r="S27" s="1568">
        <f>F27</f>
        <v>100</v>
      </c>
      <c r="T27" s="1567" t="s">
        <v>11</v>
      </c>
      <c r="U27" s="1568">
        <f>H27</f>
        <v>100</v>
      </c>
      <c r="V27" s="1567" t="s">
        <v>11</v>
      </c>
      <c r="W27" s="1568">
        <f>J27</f>
        <v>100</v>
      </c>
      <c r="X27" s="1569"/>
      <c r="Y27" s="3736"/>
      <c r="Z27" s="1149" t="str">
        <f>Q27</f>
        <v>楼层</v>
      </c>
      <c r="AA27" s="1575">
        <f>D27/F27</f>
        <v>1</v>
      </c>
      <c r="AB27" s="1575">
        <f>D27/H27</f>
        <v>1</v>
      </c>
      <c r="AC27" s="1575">
        <f>D27/J27</f>
        <v>1</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736"/>
      <c r="Q28" s="1571">
        <f t="shared" si="11"/>
        <v>0</v>
      </c>
      <c r="R28" s="1572" t="s">
        <v>11</v>
      </c>
      <c r="S28" s="1573">
        <f t="shared" ref="S28:S46" si="12">F28</f>
        <v>100</v>
      </c>
      <c r="T28" s="1572" t="s">
        <v>11</v>
      </c>
      <c r="U28" s="1573">
        <f t="shared" ref="U28:U46" si="13">H28</f>
        <v>100</v>
      </c>
      <c r="V28" s="1572" t="s">
        <v>11</v>
      </c>
      <c r="W28" s="1573">
        <f t="shared" ref="W28:W46" si="14">J28</f>
        <v>100</v>
      </c>
      <c r="X28" s="1566"/>
      <c r="Y28" s="3736"/>
      <c r="Z28" s="1574">
        <f t="shared" ref="Z28:Z46" si="15">Q28</f>
        <v>0</v>
      </c>
      <c r="AA28" s="1575">
        <f t="shared" si="3"/>
        <v>1</v>
      </c>
      <c r="AB28" s="1575">
        <f t="shared" si="4"/>
        <v>1</v>
      </c>
      <c r="AC28" s="1575">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736"/>
      <c r="Q29" s="1571">
        <f t="shared" si="11"/>
        <v>0</v>
      </c>
      <c r="R29" s="1572" t="s">
        <v>11</v>
      </c>
      <c r="S29" s="1573">
        <f t="shared" si="12"/>
        <v>100</v>
      </c>
      <c r="T29" s="1572" t="s">
        <v>11</v>
      </c>
      <c r="U29" s="1573">
        <f t="shared" si="13"/>
        <v>100</v>
      </c>
      <c r="V29" s="1572" t="s">
        <v>11</v>
      </c>
      <c r="W29" s="1573">
        <f t="shared" si="14"/>
        <v>100</v>
      </c>
      <c r="X29" s="1566"/>
      <c r="Y29" s="3736"/>
      <c r="Z29" s="1574">
        <f t="shared" si="15"/>
        <v>0</v>
      </c>
      <c r="AA29" s="1575">
        <f t="shared" si="3"/>
        <v>1</v>
      </c>
      <c r="AB29" s="1575">
        <f t="shared" si="4"/>
        <v>1</v>
      </c>
      <c r="AC29" s="1575">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736"/>
      <c r="Q30" s="1571">
        <f t="shared" si="11"/>
        <v>0</v>
      </c>
      <c r="R30" s="1572" t="s">
        <v>11</v>
      </c>
      <c r="S30" s="1573">
        <f t="shared" si="12"/>
        <v>100</v>
      </c>
      <c r="T30" s="1572" t="s">
        <v>11</v>
      </c>
      <c r="U30" s="1573">
        <f t="shared" si="13"/>
        <v>100</v>
      </c>
      <c r="V30" s="1572" t="s">
        <v>11</v>
      </c>
      <c r="W30" s="1573">
        <f t="shared" si="14"/>
        <v>100</v>
      </c>
      <c r="X30" s="1566"/>
      <c r="Y30" s="3736"/>
      <c r="Z30" s="1574">
        <f t="shared" si="15"/>
        <v>0</v>
      </c>
      <c r="AA30" s="1575">
        <f t="shared" si="3"/>
        <v>1</v>
      </c>
      <c r="AB30" s="1575">
        <f t="shared" si="4"/>
        <v>1</v>
      </c>
      <c r="AC30" s="1575">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736"/>
      <c r="Q31" s="1571">
        <f t="shared" si="11"/>
        <v>0</v>
      </c>
      <c r="R31" s="1572" t="s">
        <v>11</v>
      </c>
      <c r="S31" s="1573">
        <f t="shared" si="12"/>
        <v>100</v>
      </c>
      <c r="T31" s="1572" t="s">
        <v>11</v>
      </c>
      <c r="U31" s="1573">
        <f t="shared" si="13"/>
        <v>100</v>
      </c>
      <c r="V31" s="1572" t="s">
        <v>11</v>
      </c>
      <c r="W31" s="1573">
        <f t="shared" si="14"/>
        <v>100</v>
      </c>
      <c r="X31" s="1566"/>
      <c r="Y31" s="3736"/>
      <c r="Z31" s="1574">
        <f t="shared" si="15"/>
        <v>0</v>
      </c>
      <c r="AA31" s="1575">
        <f t="shared" si="3"/>
        <v>1</v>
      </c>
      <c r="AB31" s="1575">
        <f t="shared" si="4"/>
        <v>1</v>
      </c>
      <c r="AC31" s="1575">
        <f t="shared" si="5"/>
        <v>1</v>
      </c>
    </row>
    <row r="32" spans="1:29" ht="15">
      <c r="A32" s="2931" t="s">
        <v>2754</v>
      </c>
      <c r="B32" s="172" t="s">
        <v>725</v>
      </c>
      <c r="C32" s="877" t="s">
        <v>3700</v>
      </c>
      <c r="D32" s="596">
        <v>100</v>
      </c>
      <c r="E32" s="878" t="s">
        <v>3700</v>
      </c>
      <c r="F32" s="574">
        <f>SUMIF(100:100,E32,101:101)-SUMIF(100:100,C32,101:101)+100</f>
        <v>100</v>
      </c>
      <c r="G32" s="877" t="s">
        <v>3698</v>
      </c>
      <c r="H32" s="596">
        <f>SUMIF(100:100,G32,101:101)-SUMIF(100:100,C32,101:101)+100</f>
        <v>103</v>
      </c>
      <c r="I32" s="878" t="s">
        <v>3700</v>
      </c>
      <c r="J32" s="539">
        <f>SUMIF(100:100,I32,101:101)-SUMIF(100:100,C32,101:101)+100</f>
        <v>100</v>
      </c>
      <c r="K32" s="3540">
        <v>3</v>
      </c>
      <c r="L32" s="2141"/>
      <c r="M32" s="2133"/>
      <c r="N32" s="2133"/>
      <c r="O32" s="2140"/>
      <c r="P32" s="3737" t="s">
        <v>551</v>
      </c>
      <c r="Q32" s="1571" t="str">
        <f t="shared" si="11"/>
        <v>建筑类型</v>
      </c>
      <c r="R32" s="1572" t="s">
        <v>11</v>
      </c>
      <c r="S32" s="1573">
        <f t="shared" si="12"/>
        <v>100</v>
      </c>
      <c r="T32" s="1572" t="s">
        <v>11</v>
      </c>
      <c r="U32" s="1573">
        <f t="shared" si="13"/>
        <v>103</v>
      </c>
      <c r="V32" s="1572" t="s">
        <v>11</v>
      </c>
      <c r="W32" s="1573">
        <f t="shared" si="14"/>
        <v>100</v>
      </c>
      <c r="X32" s="1566"/>
      <c r="Y32" s="3738" t="s">
        <v>551</v>
      </c>
      <c r="Z32" s="1574" t="str">
        <f t="shared" si="15"/>
        <v>建筑类型</v>
      </c>
      <c r="AA32" s="1575">
        <f t="shared" si="3"/>
        <v>1</v>
      </c>
      <c r="AB32" s="1575">
        <f t="shared" si="4"/>
        <v>0.970873786407767</v>
      </c>
      <c r="AC32" s="1575">
        <f t="shared" si="5"/>
        <v>1</v>
      </c>
    </row>
    <row r="33" spans="1:29" s="1338" customFormat="1" ht="15" hidden="1">
      <c r="A33" s="602"/>
      <c r="B33" s="526" t="s">
        <v>726</v>
      </c>
      <c r="C33" s="879">
        <f>'数据-汇总表'!E3</f>
        <v>113800</v>
      </c>
      <c r="D33" s="254">
        <v>100</v>
      </c>
      <c r="E33" s="533">
        <v>250000</v>
      </c>
      <c r="F33" s="862">
        <f>LOOKUP(E33,103:103,104:104)-LOOKUP(C33,103:103,104:104)+100</f>
        <v>100</v>
      </c>
      <c r="G33" s="532">
        <f>E33</f>
        <v>250000</v>
      </c>
      <c r="H33" s="254">
        <f>LOOKUP(G33,103:103,104:104)-LOOKUP(C33,103:103,104:104)+100</f>
        <v>100</v>
      </c>
      <c r="I33" s="533">
        <v>530000</v>
      </c>
      <c r="J33" s="254">
        <f>LOOKUP(I33,103:103,104:104)-LOOKUP(C33,103:103,104:104)+100</f>
        <v>100</v>
      </c>
      <c r="K33" s="864"/>
      <c r="L33" s="2139"/>
      <c r="M33" s="2170"/>
      <c r="N33" s="2170"/>
      <c r="O33" s="2142"/>
      <c r="P33" s="3738"/>
      <c r="Q33" s="1604" t="str">
        <f t="shared" si="11"/>
        <v>项目建筑规模</v>
      </c>
      <c r="R33" s="1576" t="s">
        <v>11</v>
      </c>
      <c r="S33" s="1577">
        <f t="shared" si="12"/>
        <v>100</v>
      </c>
      <c r="T33" s="1576" t="s">
        <v>11</v>
      </c>
      <c r="U33" s="1577">
        <f t="shared" si="13"/>
        <v>100</v>
      </c>
      <c r="V33" s="1576" t="s">
        <v>11</v>
      </c>
      <c r="W33" s="1577">
        <f t="shared" si="14"/>
        <v>100</v>
      </c>
      <c r="X33" s="1578"/>
      <c r="Y33" s="3738"/>
      <c r="Z33" s="1579" t="str">
        <f t="shared" si="15"/>
        <v>项目建筑规模</v>
      </c>
      <c r="AA33" s="1575">
        <f t="shared" si="3"/>
        <v>1</v>
      </c>
      <c r="AB33" s="1575">
        <f t="shared" si="4"/>
        <v>1</v>
      </c>
      <c r="AC33" s="1575">
        <f t="shared" si="5"/>
        <v>1</v>
      </c>
    </row>
    <row r="34" spans="1:29" ht="15">
      <c r="A34" s="593"/>
      <c r="B34" s="526" t="s">
        <v>727</v>
      </c>
      <c r="C34" s="880" t="s">
        <v>3709</v>
      </c>
      <c r="D34" s="539">
        <v>100</v>
      </c>
      <c r="E34" s="880" t="s">
        <v>3709</v>
      </c>
      <c r="F34" s="574">
        <f>SUMIF(105:105,E34,106:106)-SUMIF(105:105,C34,106:106)+100</f>
        <v>100</v>
      </c>
      <c r="G34" s="880" t="s">
        <v>3709</v>
      </c>
      <c r="H34" s="539">
        <f>SUMIF(105:105,G34,106:106)-SUMIF(105:105,C34,106:106)+100</f>
        <v>100</v>
      </c>
      <c r="I34" s="880" t="s">
        <v>3709</v>
      </c>
      <c r="J34" s="539">
        <f>SUMIF(105:105,I34,106:106)-SUMIF(105:105,C34,106:106)+100</f>
        <v>100</v>
      </c>
      <c r="K34" s="863">
        <v>1</v>
      </c>
      <c r="L34" s="2141"/>
      <c r="M34" s="2133"/>
      <c r="N34" s="2133"/>
      <c r="O34" s="2140"/>
      <c r="P34" s="3738"/>
      <c r="Q34" s="1571" t="str">
        <f t="shared" si="11"/>
        <v>建筑结构</v>
      </c>
      <c r="R34" s="1572" t="s">
        <v>11</v>
      </c>
      <c r="S34" s="1573">
        <f t="shared" si="12"/>
        <v>100</v>
      </c>
      <c r="T34" s="1572" t="s">
        <v>11</v>
      </c>
      <c r="U34" s="1573">
        <f t="shared" si="13"/>
        <v>100</v>
      </c>
      <c r="V34" s="1572" t="s">
        <v>11</v>
      </c>
      <c r="W34" s="1573">
        <f t="shared" si="14"/>
        <v>100</v>
      </c>
      <c r="X34" s="1566"/>
      <c r="Y34" s="3738"/>
      <c r="Z34" s="1574" t="str">
        <f t="shared" si="15"/>
        <v>建筑结构</v>
      </c>
      <c r="AA34" s="1575">
        <f t="shared" si="3"/>
        <v>1</v>
      </c>
      <c r="AB34" s="1575">
        <f t="shared" si="4"/>
        <v>1</v>
      </c>
      <c r="AC34" s="1575">
        <f t="shared" si="5"/>
        <v>1</v>
      </c>
    </row>
    <row r="35" spans="1:29" ht="15">
      <c r="A35" s="593"/>
      <c r="B35" s="526" t="s">
        <v>728</v>
      </c>
      <c r="C35" s="598" t="s">
        <v>3707</v>
      </c>
      <c r="D35" s="539">
        <v>100</v>
      </c>
      <c r="E35" s="598" t="s">
        <v>3707</v>
      </c>
      <c r="F35" s="574">
        <f>SUMIF(107:107,E35,108:108)-SUMIF(107:107,C35,108:108)+100</f>
        <v>100</v>
      </c>
      <c r="G35" s="598" t="s">
        <v>3707</v>
      </c>
      <c r="H35" s="539">
        <f>SUMIF(107:107,G35,108:108)-SUMIF(107:107,C35,108:108)+100</f>
        <v>100</v>
      </c>
      <c r="I35" s="598" t="s">
        <v>3707</v>
      </c>
      <c r="J35" s="539">
        <f>SUMIF(107:107,I35,108:108)-SUMIF(107:107,C35,108:108)+100</f>
        <v>100</v>
      </c>
      <c r="K35" s="863">
        <v>1</v>
      </c>
      <c r="L35" s="2141"/>
      <c r="M35" s="2133"/>
      <c r="N35" s="2133"/>
      <c r="O35" s="2140"/>
      <c r="P35" s="3738"/>
      <c r="Q35" s="1571" t="str">
        <f t="shared" si="11"/>
        <v>建筑品质</v>
      </c>
      <c r="R35" s="1572" t="s">
        <v>11</v>
      </c>
      <c r="S35" s="1573">
        <f t="shared" si="12"/>
        <v>100</v>
      </c>
      <c r="T35" s="1572" t="s">
        <v>11</v>
      </c>
      <c r="U35" s="1573">
        <f t="shared" si="13"/>
        <v>100</v>
      </c>
      <c r="V35" s="1572" t="s">
        <v>11</v>
      </c>
      <c r="W35" s="1573">
        <f t="shared" si="14"/>
        <v>100</v>
      </c>
      <c r="X35" s="1566"/>
      <c r="Y35" s="3738"/>
      <c r="Z35" s="1574" t="str">
        <f t="shared" si="15"/>
        <v>建筑品质</v>
      </c>
      <c r="AA35" s="1575">
        <f t="shared" si="3"/>
        <v>1</v>
      </c>
      <c r="AB35" s="1575">
        <f t="shared" si="4"/>
        <v>1</v>
      </c>
      <c r="AC35" s="1575">
        <f t="shared" si="5"/>
        <v>1</v>
      </c>
    </row>
    <row r="36" spans="1:29" ht="15">
      <c r="A36" s="593"/>
      <c r="B36" s="526" t="s">
        <v>729</v>
      </c>
      <c r="C36" s="598" t="s">
        <v>3702</v>
      </c>
      <c r="D36" s="539">
        <v>100</v>
      </c>
      <c r="E36" s="598" t="s">
        <v>3702</v>
      </c>
      <c r="F36" s="574">
        <f>SUMIF(109:109,E36,110:110)-SUMIF(109:109,C36,110:110)+100</f>
        <v>100</v>
      </c>
      <c r="G36" s="598" t="s">
        <v>3702</v>
      </c>
      <c r="H36" s="539">
        <f>SUMIF(109:109,G36,110:110)-SUMIF(109:109,C36,110:110)+100</f>
        <v>100</v>
      </c>
      <c r="I36" s="598" t="s">
        <v>3702</v>
      </c>
      <c r="J36" s="539">
        <f>SUMIF(109:109,I36,110:110)-SUMIF(109:109,C36,110:110)+100</f>
        <v>100</v>
      </c>
      <c r="K36" s="863">
        <v>1</v>
      </c>
      <c r="L36" s="2141"/>
      <c r="M36" s="2133"/>
      <c r="N36" s="2133"/>
      <c r="O36" s="2140"/>
      <c r="P36" s="3738"/>
      <c r="Q36" s="1571" t="str">
        <f t="shared" si="11"/>
        <v>公共部分装修</v>
      </c>
      <c r="R36" s="1572" t="s">
        <v>11</v>
      </c>
      <c r="S36" s="1573">
        <f t="shared" si="12"/>
        <v>100</v>
      </c>
      <c r="T36" s="1572" t="s">
        <v>11</v>
      </c>
      <c r="U36" s="1573">
        <f t="shared" si="13"/>
        <v>100</v>
      </c>
      <c r="V36" s="1572" t="s">
        <v>11</v>
      </c>
      <c r="W36" s="1573">
        <f t="shared" si="14"/>
        <v>100</v>
      </c>
      <c r="X36" s="1566"/>
      <c r="Y36" s="3738"/>
      <c r="Z36" s="1574" t="str">
        <f t="shared" si="15"/>
        <v>公共部分装修</v>
      </c>
      <c r="AA36" s="1575">
        <f t="shared" si="3"/>
        <v>1</v>
      </c>
      <c r="AB36" s="1575">
        <f t="shared" si="4"/>
        <v>1</v>
      </c>
      <c r="AC36" s="1575">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34"/>
      <c r="M37" s="2135"/>
      <c r="N37" s="2135"/>
      <c r="O37" s="2136"/>
      <c r="P37" s="3738"/>
      <c r="Q37" s="1150" t="str">
        <f t="shared" si="11"/>
        <v>成新度</v>
      </c>
      <c r="R37" s="1567" t="s">
        <v>11</v>
      </c>
      <c r="S37" s="1568">
        <f t="shared" si="12"/>
        <v>100</v>
      </c>
      <c r="T37" s="1567" t="s">
        <v>11</v>
      </c>
      <c r="U37" s="1568">
        <f t="shared" si="13"/>
        <v>100</v>
      </c>
      <c r="V37" s="1567" t="s">
        <v>11</v>
      </c>
      <c r="W37" s="1568">
        <f t="shared" si="14"/>
        <v>100</v>
      </c>
      <c r="X37" s="1569"/>
      <c r="Y37" s="3738"/>
      <c r="Z37" s="1149" t="str">
        <f t="shared" si="15"/>
        <v>成新度</v>
      </c>
      <c r="AA37" s="1570">
        <f t="shared" si="3"/>
        <v>1</v>
      </c>
      <c r="AB37" s="1570">
        <f t="shared" si="4"/>
        <v>1</v>
      </c>
      <c r="AC37" s="1570">
        <f t="shared" si="5"/>
        <v>1</v>
      </c>
    </row>
    <row r="38" spans="1:29" ht="15">
      <c r="A38" s="593"/>
      <c r="B38" s="526" t="s">
        <v>731</v>
      </c>
      <c r="C38" s="598" t="s">
        <v>3704</v>
      </c>
      <c r="D38" s="539">
        <v>100</v>
      </c>
      <c r="E38" s="598" t="s">
        <v>3704</v>
      </c>
      <c r="F38" s="574">
        <f>SUMIF(114:114,E38,115:115)-SUMIF(114:114,C38,115:115)+100</f>
        <v>100</v>
      </c>
      <c r="G38" s="598" t="s">
        <v>3704</v>
      </c>
      <c r="H38" s="539">
        <f>SUMIF(114:114,G38,115:115)-SUMIF(114:114,C38,115:115)+100</f>
        <v>100</v>
      </c>
      <c r="I38" s="598" t="s">
        <v>3704</v>
      </c>
      <c r="J38" s="539">
        <f>SUMIF(114:114,I38,115:115)-SUMIF(114:114,C38,115:115)+100</f>
        <v>100</v>
      </c>
      <c r="K38" s="863">
        <v>1</v>
      </c>
      <c r="L38" s="2141"/>
      <c r="M38" s="2133"/>
      <c r="N38" s="2133"/>
      <c r="O38" s="2140"/>
      <c r="P38" s="3738" t="s">
        <v>551</v>
      </c>
      <c r="Q38" s="1571" t="str">
        <f t="shared" si="11"/>
        <v>物业管理</v>
      </c>
      <c r="R38" s="1572" t="s">
        <v>11</v>
      </c>
      <c r="S38" s="1573">
        <f t="shared" si="12"/>
        <v>100</v>
      </c>
      <c r="T38" s="1572" t="s">
        <v>11</v>
      </c>
      <c r="U38" s="1573">
        <f t="shared" si="13"/>
        <v>100</v>
      </c>
      <c r="V38" s="1572" t="s">
        <v>11</v>
      </c>
      <c r="W38" s="1573">
        <f t="shared" si="14"/>
        <v>100</v>
      </c>
      <c r="X38" s="1566"/>
      <c r="Y38" s="3738" t="s">
        <v>551</v>
      </c>
      <c r="Z38" s="1574" t="str">
        <f t="shared" si="15"/>
        <v>物业管理</v>
      </c>
      <c r="AA38" s="1575">
        <f t="shared" si="3"/>
        <v>1</v>
      </c>
      <c r="AB38" s="1575">
        <f t="shared" si="4"/>
        <v>1</v>
      </c>
      <c r="AC38" s="1575">
        <f t="shared" si="5"/>
        <v>1</v>
      </c>
    </row>
    <row r="39" spans="1:29" ht="15">
      <c r="A39" s="593"/>
      <c r="B39" s="1894" t="s">
        <v>2564</v>
      </c>
      <c r="C39" s="598" t="s">
        <v>3662</v>
      </c>
      <c r="D39" s="539">
        <v>100</v>
      </c>
      <c r="E39" s="598" t="s">
        <v>3662</v>
      </c>
      <c r="F39" s="574">
        <f>SUMIF(116:116,E39,117:117)-SUMIF(116:116,C39,117:117)+100</f>
        <v>100</v>
      </c>
      <c r="G39" s="598" t="s">
        <v>3662</v>
      </c>
      <c r="H39" s="539">
        <f>SUMIF(116:116,G39,117:117)-SUMIF(116:116,C39,117:117)+100</f>
        <v>100</v>
      </c>
      <c r="I39" s="598" t="s">
        <v>3662</v>
      </c>
      <c r="J39" s="539">
        <f>SUMIF(116:116,I39,117:117)-SUMIF(116:116,C39,117:117)+100</f>
        <v>100</v>
      </c>
      <c r="K39" s="863">
        <v>1</v>
      </c>
      <c r="L39" s="2141"/>
      <c r="M39" s="2133"/>
      <c r="N39" s="2133"/>
      <c r="O39" s="2140"/>
      <c r="P39" s="3738"/>
      <c r="Q39" s="1571" t="str">
        <f t="shared" si="11"/>
        <v>市政基础设施</v>
      </c>
      <c r="R39" s="1572" t="s">
        <v>11</v>
      </c>
      <c r="S39" s="1573">
        <f t="shared" si="12"/>
        <v>100</v>
      </c>
      <c r="T39" s="1572" t="s">
        <v>11</v>
      </c>
      <c r="U39" s="1573">
        <f t="shared" si="13"/>
        <v>100</v>
      </c>
      <c r="V39" s="1572" t="s">
        <v>11</v>
      </c>
      <c r="W39" s="1573">
        <f t="shared" si="14"/>
        <v>100</v>
      </c>
      <c r="X39" s="1566"/>
      <c r="Y39" s="3738"/>
      <c r="Z39" s="1574" t="str">
        <f t="shared" si="15"/>
        <v>市政基础设施</v>
      </c>
      <c r="AA39" s="1575">
        <f t="shared" si="3"/>
        <v>1</v>
      </c>
      <c r="AB39" s="1575">
        <f t="shared" si="4"/>
        <v>1</v>
      </c>
      <c r="AC39" s="1575">
        <f t="shared" si="5"/>
        <v>1</v>
      </c>
    </row>
    <row r="40" spans="1:29" ht="15">
      <c r="A40" s="593"/>
      <c r="B40" s="526" t="s">
        <v>732</v>
      </c>
      <c r="C40" s="598" t="s">
        <v>3711</v>
      </c>
      <c r="D40" s="539">
        <v>100</v>
      </c>
      <c r="E40" s="598" t="s">
        <v>3711</v>
      </c>
      <c r="F40" s="574">
        <f>SUMIF(118:118,E40,119:119)-SUMIF(118:118,C40,119:119)+100</f>
        <v>100</v>
      </c>
      <c r="G40" s="598" t="s">
        <v>3711</v>
      </c>
      <c r="H40" s="539">
        <f>SUMIF(118:118,G40,119:119)-SUMIF(118:118,C40,119:119)+100</f>
        <v>100</v>
      </c>
      <c r="I40" s="598" t="s">
        <v>3711</v>
      </c>
      <c r="J40" s="539">
        <f>SUMIF(118:118,I40,119:119)-SUMIF(118:118,C40,119:119)+100</f>
        <v>100</v>
      </c>
      <c r="K40" s="863">
        <v>1</v>
      </c>
      <c r="L40" s="2141"/>
      <c r="M40" s="2133"/>
      <c r="N40" s="2133"/>
      <c r="O40" s="2140"/>
      <c r="P40" s="3738"/>
      <c r="Q40" s="1571" t="str">
        <f t="shared" si="11"/>
        <v>房型</v>
      </c>
      <c r="R40" s="1572" t="s">
        <v>11</v>
      </c>
      <c r="S40" s="1573">
        <f t="shared" si="12"/>
        <v>100</v>
      </c>
      <c r="T40" s="1572" t="s">
        <v>11</v>
      </c>
      <c r="U40" s="1573">
        <f t="shared" si="13"/>
        <v>100</v>
      </c>
      <c r="V40" s="1572" t="s">
        <v>11</v>
      </c>
      <c r="W40" s="1573">
        <f t="shared" si="14"/>
        <v>100</v>
      </c>
      <c r="X40" s="1566"/>
      <c r="Y40" s="3738"/>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3517" t="s">
        <v>3741</v>
      </c>
      <c r="J41" s="539">
        <f>SUMIF(120:120,I41,121:121)-SUMIF(120:120,C41,121:121)+100</f>
        <v>100</v>
      </c>
      <c r="K41" s="864"/>
      <c r="L41" s="2139"/>
      <c r="M41" s="2170"/>
      <c r="N41" s="2170"/>
      <c r="O41" s="2142"/>
      <c r="P41" s="3738"/>
      <c r="Q41" s="1604" t="str">
        <f t="shared" si="11"/>
        <v>单套/主力户型建筑面积</v>
      </c>
      <c r="R41" s="1576" t="s">
        <v>11</v>
      </c>
      <c r="S41" s="1577">
        <f t="shared" si="12"/>
        <v>100</v>
      </c>
      <c r="T41" s="1576" t="s">
        <v>11</v>
      </c>
      <c r="U41" s="1577">
        <f t="shared" si="13"/>
        <v>100</v>
      </c>
      <c r="V41" s="1576" t="s">
        <v>11</v>
      </c>
      <c r="W41" s="1577">
        <f t="shared" si="14"/>
        <v>100</v>
      </c>
      <c r="X41" s="1578"/>
      <c r="Y41" s="3738"/>
      <c r="Z41" s="1579" t="str">
        <f t="shared" si="15"/>
        <v>单套/主力户型建筑面积</v>
      </c>
      <c r="AA41" s="1575">
        <f t="shared" si="3"/>
        <v>1</v>
      </c>
      <c r="AB41" s="1575">
        <f t="shared" si="4"/>
        <v>1</v>
      </c>
      <c r="AC41" s="1575">
        <f t="shared" si="5"/>
        <v>1</v>
      </c>
    </row>
    <row r="42" spans="1:29" ht="15">
      <c r="A42" s="593"/>
      <c r="B42" s="526" t="s">
        <v>734</v>
      </c>
      <c r="C42" s="598" t="s">
        <v>3702</v>
      </c>
      <c r="D42" s="539">
        <v>100</v>
      </c>
      <c r="E42" s="3542" t="s">
        <v>3789</v>
      </c>
      <c r="F42" s="574">
        <f>SUMIF(122:122,E42,123:123)-SUMIF(122:122,C42,123:123)+100</f>
        <v>90</v>
      </c>
      <c r="G42" s="3542" t="s">
        <v>3789</v>
      </c>
      <c r="H42" s="539">
        <f>SUMIF(122:122,G42,123:123)-SUMIF(122:122,C42,123:123)+100</f>
        <v>90</v>
      </c>
      <c r="I42" s="873" t="s">
        <v>3702</v>
      </c>
      <c r="J42" s="539">
        <f>SUMIF(122:122,I42,123:123)-SUMIF(122:122,C42,123:123)+100</f>
        <v>100</v>
      </c>
      <c r="K42" s="3540">
        <v>10</v>
      </c>
      <c r="L42" s="2141"/>
      <c r="M42" s="2133"/>
      <c r="N42" s="2133"/>
      <c r="O42" s="2140"/>
      <c r="P42" s="3738"/>
      <c r="Q42" s="1571" t="str">
        <f t="shared" si="11"/>
        <v>内部装修</v>
      </c>
      <c r="R42" s="1572" t="s">
        <v>11</v>
      </c>
      <c r="S42" s="1573">
        <f t="shared" si="12"/>
        <v>90</v>
      </c>
      <c r="T42" s="1572" t="s">
        <v>11</v>
      </c>
      <c r="U42" s="1573">
        <f t="shared" si="13"/>
        <v>90</v>
      </c>
      <c r="V42" s="1572" t="s">
        <v>11</v>
      </c>
      <c r="W42" s="1573">
        <f t="shared" si="14"/>
        <v>100</v>
      </c>
      <c r="X42" s="1566"/>
      <c r="Y42" s="3738"/>
      <c r="Z42" s="1574" t="str">
        <f t="shared" si="15"/>
        <v>内部装修</v>
      </c>
      <c r="AA42" s="1575">
        <f t="shared" si="3"/>
        <v>1.1111111111111112</v>
      </c>
      <c r="AB42" s="1575">
        <f t="shared" si="4"/>
        <v>1.1111111111111112</v>
      </c>
      <c r="AC42" s="1575">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738"/>
      <c r="Q43" s="1571" t="str">
        <f t="shared" si="11"/>
        <v>内部装修维护情况</v>
      </c>
      <c r="R43" s="1572" t="s">
        <v>11</v>
      </c>
      <c r="S43" s="1573">
        <f t="shared" si="12"/>
        <v>100</v>
      </c>
      <c r="T43" s="1572" t="s">
        <v>11</v>
      </c>
      <c r="U43" s="1573">
        <f t="shared" si="13"/>
        <v>100</v>
      </c>
      <c r="V43" s="1572" t="s">
        <v>11</v>
      </c>
      <c r="W43" s="1573">
        <f t="shared" si="14"/>
        <v>100</v>
      </c>
      <c r="X43" s="1566"/>
      <c r="Y43" s="3738"/>
      <c r="Z43" s="1574" t="str">
        <f t="shared" si="15"/>
        <v>内部装修维护情况</v>
      </c>
      <c r="AA43" s="1575">
        <f t="shared" si="3"/>
        <v>1</v>
      </c>
      <c r="AB43" s="1575">
        <f t="shared" si="4"/>
        <v>1</v>
      </c>
      <c r="AC43" s="1575">
        <f t="shared" si="5"/>
        <v>1</v>
      </c>
    </row>
    <row r="44" spans="1:29" s="1219" customFormat="1" ht="15">
      <c r="A44" s="599"/>
      <c r="B44" s="3525" t="s">
        <v>3743</v>
      </c>
      <c r="C44" s="3526" t="s">
        <v>3744</v>
      </c>
      <c r="D44" s="254">
        <v>100</v>
      </c>
      <c r="E44" s="3526" t="s">
        <v>3744</v>
      </c>
      <c r="F44" s="862">
        <f>SUMIF(126:126,E44,127:127)-SUMIF(126:126,C44,127:127)+100</f>
        <v>100</v>
      </c>
      <c r="G44" s="3526" t="s">
        <v>3744</v>
      </c>
      <c r="H44" s="254">
        <f>SUMIF(126:126,G44,127:127)-SUMIF(126:126,C44,127:127)+100</f>
        <v>100</v>
      </c>
      <c r="I44" s="3526" t="s">
        <v>3745</v>
      </c>
      <c r="J44" s="254">
        <f>SUMIF(126:126,I44,127:127)-SUMIF(126:126,C44,127:127)+100</f>
        <v>95</v>
      </c>
      <c r="K44" s="864"/>
      <c r="L44" s="2134"/>
      <c r="M44" s="2135"/>
      <c r="N44" s="2135"/>
      <c r="O44" s="2136"/>
      <c r="P44" s="3738"/>
      <c r="Q44" s="1150" t="str">
        <f t="shared" si="11"/>
        <v>楼层</v>
      </c>
      <c r="R44" s="1567" t="s">
        <v>11</v>
      </c>
      <c r="S44" s="1568">
        <f t="shared" si="12"/>
        <v>100</v>
      </c>
      <c r="T44" s="1567" t="s">
        <v>11</v>
      </c>
      <c r="U44" s="1568">
        <f t="shared" si="13"/>
        <v>100</v>
      </c>
      <c r="V44" s="1567" t="s">
        <v>11</v>
      </c>
      <c r="W44" s="1568">
        <f t="shared" si="14"/>
        <v>95</v>
      </c>
      <c r="X44" s="1569"/>
      <c r="Y44" s="3738"/>
      <c r="Z44" s="1149" t="str">
        <f t="shared" si="15"/>
        <v>楼层</v>
      </c>
      <c r="AA44" s="1570">
        <f t="shared" si="3"/>
        <v>1</v>
      </c>
      <c r="AB44" s="1570">
        <f t="shared" si="4"/>
        <v>1</v>
      </c>
      <c r="AC44" s="1570">
        <f t="shared" si="5"/>
        <v>1.0526315789473684</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738"/>
      <c r="Q45" s="1571">
        <f t="shared" si="11"/>
        <v>0</v>
      </c>
      <c r="R45" s="1572" t="s">
        <v>11</v>
      </c>
      <c r="S45" s="1573">
        <f t="shared" si="12"/>
        <v>100</v>
      </c>
      <c r="T45" s="1572" t="s">
        <v>11</v>
      </c>
      <c r="U45" s="1573">
        <f t="shared" si="13"/>
        <v>100</v>
      </c>
      <c r="V45" s="1572" t="s">
        <v>11</v>
      </c>
      <c r="W45" s="1573">
        <f t="shared" si="14"/>
        <v>100</v>
      </c>
      <c r="X45" s="1566"/>
      <c r="Y45" s="3738"/>
      <c r="Z45" s="1574">
        <f t="shared" si="15"/>
        <v>0</v>
      </c>
      <c r="AA45" s="1575">
        <f t="shared" si="3"/>
        <v>1</v>
      </c>
      <c r="AB45" s="1575">
        <f t="shared" si="4"/>
        <v>1</v>
      </c>
      <c r="AC45" s="1575">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815"/>
      <c r="Q46" s="1571">
        <f t="shared" si="11"/>
        <v>0</v>
      </c>
      <c r="R46" s="1572" t="s">
        <v>10</v>
      </c>
      <c r="S46" s="1573">
        <f t="shared" si="12"/>
        <v>100</v>
      </c>
      <c r="T46" s="1572" t="s">
        <v>10</v>
      </c>
      <c r="U46" s="1573">
        <f t="shared" si="13"/>
        <v>100</v>
      </c>
      <c r="V46" s="1572" t="s">
        <v>10</v>
      </c>
      <c r="W46" s="1573">
        <f t="shared" si="14"/>
        <v>100</v>
      </c>
      <c r="X46" s="1566"/>
      <c r="Y46" s="3815"/>
      <c r="Z46" s="1574">
        <f t="shared" si="15"/>
        <v>0</v>
      </c>
      <c r="AA46" s="1575">
        <f t="shared" si="3"/>
        <v>1</v>
      </c>
      <c r="AB46" s="1575">
        <f t="shared" si="4"/>
        <v>1</v>
      </c>
      <c r="AC46" s="1575">
        <f t="shared" si="5"/>
        <v>1</v>
      </c>
    </row>
    <row r="47" spans="1:29" ht="15">
      <c r="A47" s="606" t="s">
        <v>736</v>
      </c>
      <c r="B47" s="886"/>
      <c r="C47" s="2650" t="s">
        <v>9</v>
      </c>
      <c r="D47" s="2651"/>
      <c r="E47" s="2652">
        <f>ROUND(18500*0.98,0)</f>
        <v>18130</v>
      </c>
      <c r="F47" s="2653"/>
      <c r="G47" s="2654">
        <f>ROUND(19000*0.98,0)</f>
        <v>18620</v>
      </c>
      <c r="H47" s="2655"/>
      <c r="I47" s="2652">
        <f>ROUND(17500*0.98,0)</f>
        <v>17150</v>
      </c>
      <c r="J47" s="2655"/>
      <c r="K47" s="1605"/>
      <c r="L47" s="2143"/>
      <c r="M47" s="2144"/>
      <c r="N47" s="2133"/>
      <c r="O47" s="2144"/>
      <c r="P47" s="3733" t="str">
        <f>A47</f>
        <v>成交单价（元/平方米）</v>
      </c>
      <c r="Q47" s="3733"/>
      <c r="R47" s="3814">
        <f>E47</f>
        <v>18130</v>
      </c>
      <c r="S47" s="3814"/>
      <c r="T47" s="3814">
        <f>G47</f>
        <v>18620</v>
      </c>
      <c r="U47" s="3814"/>
      <c r="V47" s="3814">
        <f>I47</f>
        <v>17150</v>
      </c>
      <c r="W47" s="3814"/>
      <c r="X47" s="1558"/>
      <c r="Y47" s="1580"/>
      <c r="Z47" s="1558"/>
      <c r="AA47" s="1558"/>
      <c r="AB47" s="1558"/>
      <c r="AC47" s="1558"/>
    </row>
    <row r="48" spans="1:29" ht="15.75" thickBot="1">
      <c r="A48" s="614" t="s">
        <v>2759</v>
      </c>
      <c r="B48" s="887"/>
      <c r="C48" s="2656">
        <f>R49</f>
        <v>18659</v>
      </c>
      <c r="D48" s="2657"/>
      <c r="E48" s="2658">
        <f>R48</f>
        <v>18798</v>
      </c>
      <c r="F48" s="2658"/>
      <c r="G48" s="2656">
        <f>T48</f>
        <v>18744</v>
      </c>
      <c r="H48" s="2657"/>
      <c r="I48" s="2658">
        <f>V48</f>
        <v>18436</v>
      </c>
      <c r="J48" s="2657"/>
      <c r="K48" s="1606"/>
      <c r="L48" s="2143"/>
      <c r="M48" s="2144"/>
      <c r="N48" s="2144"/>
      <c r="O48" s="2144"/>
      <c r="P48" s="3733" t="str">
        <f>A48</f>
        <v>比较价格（元/平方米）</v>
      </c>
      <c r="Q48" s="3733"/>
      <c r="R48" s="3814">
        <f>IF(F1="售价",ROUND(PRODUCT(R47,AA7:AA46),0),ROUND(PRODUCT(R47,AA7:AA46),1))</f>
        <v>18798</v>
      </c>
      <c r="S48" s="3814"/>
      <c r="T48" s="3814">
        <f>IF(F1="售价",ROUND(PRODUCT(T47,AB7:AB46),0),ROUND(PRODUCT(T47,AB7:AB46),1))</f>
        <v>18744</v>
      </c>
      <c r="U48" s="3814"/>
      <c r="V48" s="3814">
        <f>IF(F1="售价",ROUND(PRODUCT(V47,AC7:AC46),0),ROUND(PRODUCT(V47,AC7:AC46),1))</f>
        <v>18436</v>
      </c>
      <c r="W48" s="3814"/>
      <c r="X48" s="1558"/>
      <c r="Y48" s="1558"/>
      <c r="Z48" s="1558"/>
      <c r="AA48" s="1558"/>
      <c r="AB48" s="1558"/>
      <c r="AC48" s="1558"/>
    </row>
    <row r="49" spans="1:29" ht="15.75" thickBot="1">
      <c r="A49" s="620" t="s">
        <v>2923</v>
      </c>
      <c r="B49" s="621"/>
      <c r="C49" s="2659">
        <f>R49</f>
        <v>18659</v>
      </c>
      <c r="D49" s="2659"/>
      <c r="E49" s="2659"/>
      <c r="F49" s="2659"/>
      <c r="G49" s="2659"/>
      <c r="H49" s="2659"/>
      <c r="I49" s="2659"/>
      <c r="J49" s="2659"/>
      <c r="K49" s="1607"/>
      <c r="L49" s="2143"/>
      <c r="M49" s="2144"/>
      <c r="N49" s="2144"/>
      <c r="O49" s="2144"/>
      <c r="P49" s="3754" t="str">
        <f>A49</f>
        <v>估价对象XX用房的比较价格（楼面单价，元/平方米）</v>
      </c>
      <c r="Q49" s="3755"/>
      <c r="R49" s="3813">
        <f>IF(F1="售价",ROUND(AVERAGE(R48:V48),0),ROUND(AVERAGE(R48:V48),1))</f>
        <v>18659</v>
      </c>
      <c r="S49" s="3813"/>
      <c r="T49" s="3813"/>
      <c r="U49" s="3813"/>
      <c r="V49" s="3813"/>
      <c r="W49" s="381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558</v>
      </c>
      <c r="D52" s="624"/>
      <c r="E52" s="625">
        <f>IF(E47&lt;E48,E48/E47-1,E47/E48-1)</f>
        <v>3.6845008273579616E-2</v>
      </c>
      <c r="F52" s="626" t="str">
        <f>IF(OR(E52&gt;=0.3,E52&lt;=-0.3),"超过30%","")</f>
        <v/>
      </c>
      <c r="G52" s="625">
        <f>IF(G47&lt;G48,G48/G47-1,G47/G48-1)</f>
        <v>6.6595059076262064E-3</v>
      </c>
      <c r="H52" s="626" t="str">
        <f>IF(OR(G52&gt;=0.3,G52&lt;=-0.3),"超过30%","")</f>
        <v/>
      </c>
      <c r="I52" s="625">
        <f>IF(I47&lt;I48,I48/I47-1,I47/I48-1)</f>
        <v>7.4985422740524887E-2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559</v>
      </c>
      <c r="D53" s="627"/>
      <c r="E53" s="625">
        <f>IF(E48&lt;G48,G48/E48-1,E48/G48-1)</f>
        <v>2.8809218950063276E-3</v>
      </c>
      <c r="F53" s="626" t="str">
        <f>IF(OR(E53&gt;=0.2,E53&lt;=-0.2),"超过20%","")</f>
        <v/>
      </c>
      <c r="G53" s="625">
        <f>IF(G48&lt;I48,I48/G48-1,G48/I48-1)</f>
        <v>1.6706443914081159E-2</v>
      </c>
      <c r="H53" s="626" t="str">
        <f>IF(OR(G53&gt;=0.2,G53&lt;=-0.2),"超过20%","")</f>
        <v/>
      </c>
      <c r="I53" s="625">
        <f>IF(I48&lt;E48,E48/I48-1,I48/E48-1)</f>
        <v>1.963549576914736E-2</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560</v>
      </c>
      <c r="D54" s="627"/>
      <c r="E54" s="625">
        <f>IF(E47&lt;G47,G47/E47-1,E47/G47-1)</f>
        <v>2.7027027027026973E-2</v>
      </c>
      <c r="F54" s="626" t="str">
        <f>IF(OR(E54&gt;=0.3,E54&lt;=-0.3),"超过30%","")</f>
        <v/>
      </c>
      <c r="G54" s="625">
        <f>IF(G47&lt;I47,I47/G47-1,G47/I47-1)</f>
        <v>8.5714285714285632E-2</v>
      </c>
      <c r="H54" s="626" t="str">
        <f>IF(OR(G54&gt;=0.3,G54&lt;=-0.3),"超过30%","")</f>
        <v/>
      </c>
      <c r="I54" s="625">
        <f>IF(I47&lt;E47,E47/I47-1,I47/E47-1)</f>
        <v>5.7142857142857162E-2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530</v>
      </c>
      <c r="B58" s="645"/>
      <c r="C58" s="2828" t="str">
        <f>YEAR(C7)&amp;"-"&amp;MONTH(C7)</f>
        <v>2018-2</v>
      </c>
      <c r="D58" s="2828">
        <f>EDATE(C58,-1)</f>
        <v>43101</v>
      </c>
      <c r="E58" s="2828">
        <f t="shared" ref="E58:O58" si="16">EDATE(D58,-1)</f>
        <v>43070</v>
      </c>
      <c r="F58" s="2828">
        <f t="shared" si="16"/>
        <v>43040</v>
      </c>
      <c r="G58" s="2828">
        <f t="shared" si="16"/>
        <v>43009</v>
      </c>
      <c r="H58" s="2828">
        <f t="shared" si="16"/>
        <v>42979</v>
      </c>
      <c r="I58" s="2828">
        <f t="shared" si="16"/>
        <v>42948</v>
      </c>
      <c r="J58" s="2828">
        <f t="shared" si="16"/>
        <v>42917</v>
      </c>
      <c r="K58" s="2828">
        <f t="shared" si="16"/>
        <v>42887</v>
      </c>
      <c r="L58" s="2828">
        <f t="shared" si="16"/>
        <v>42856</v>
      </c>
      <c r="M58" s="2828">
        <f t="shared" si="16"/>
        <v>42826</v>
      </c>
      <c r="N58" s="2828">
        <f t="shared" si="16"/>
        <v>42795</v>
      </c>
      <c r="O58" s="2828">
        <f t="shared" si="16"/>
        <v>42767</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9" customFormat="1" ht="15.75" thickBot="1">
      <c r="A60" s="652" t="s">
        <v>576</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532</v>
      </c>
      <c r="B61" s="647"/>
      <c r="C61" s="659" t="s">
        <v>577</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578</v>
      </c>
      <c r="B63" s="664" t="s">
        <v>535</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8.5" thickTop="1">
      <c r="A65" s="668"/>
      <c r="B65" s="672" t="s">
        <v>538</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9.25" thickTop="1">
      <c r="A67" s="668"/>
      <c r="B67" s="680" t="s">
        <v>539</v>
      </c>
      <c r="C67" s="681" t="str">
        <f>C68&amp;"（含）"&amp;"-"&amp;D68</f>
        <v>1（含）-1.5</v>
      </c>
      <c r="D67" s="681" t="str">
        <f t="shared" ref="D67:L67" si="18">D68&amp;"（含）"&amp;"-"&amp;E68</f>
        <v>1.5（含）-2</v>
      </c>
      <c r="E67" s="681" t="str">
        <f t="shared" si="18"/>
        <v>2（含）-2.5</v>
      </c>
      <c r="F67" s="681" t="str">
        <f t="shared" si="18"/>
        <v>2.5（含）-3</v>
      </c>
      <c r="G67" s="681" t="str">
        <f t="shared" si="18"/>
        <v>3（含）-3.5</v>
      </c>
      <c r="H67" s="681" t="str">
        <f t="shared" si="18"/>
        <v>3.5（含）-4</v>
      </c>
      <c r="I67" s="681" t="str">
        <f t="shared" si="18"/>
        <v>4（含）-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1</v>
      </c>
      <c r="D68" s="540">
        <v>1.5</v>
      </c>
      <c r="E68" s="540">
        <v>2</v>
      </c>
      <c r="F68" s="540">
        <v>2.5</v>
      </c>
      <c r="G68" s="540">
        <v>3</v>
      </c>
      <c r="H68" s="540">
        <v>3.5</v>
      </c>
      <c r="I68" s="540">
        <v>4</v>
      </c>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8" customFormat="1" ht="15.75" hidden="1" thickTop="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hidden="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hidden="1" thickTop="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hidden="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hidden="1" thickTop="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hidden="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5" thickTop="1">
      <c r="A76" s="663" t="s">
        <v>540</v>
      </c>
      <c r="B76" s="664" t="s">
        <v>579</v>
      </c>
      <c r="C76" s="702" t="s">
        <v>580</v>
      </c>
      <c r="D76" s="702" t="s">
        <v>581</v>
      </c>
      <c r="E76" s="702" t="s">
        <v>582</v>
      </c>
      <c r="F76" s="702" t="s">
        <v>583</v>
      </c>
      <c r="G76" s="702" t="s">
        <v>584</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587</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2557</v>
      </c>
      <c r="C80" s="707" t="s">
        <v>580</v>
      </c>
      <c r="D80" s="707" t="s">
        <v>581</v>
      </c>
      <c r="E80" s="707" t="s">
        <v>582</v>
      </c>
      <c r="F80" s="707" t="s">
        <v>583</v>
      </c>
      <c r="G80" s="707" t="s">
        <v>584</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2558</v>
      </c>
      <c r="C82" s="2621" t="s">
        <v>2559</v>
      </c>
      <c r="D82" s="2621" t="s">
        <v>2560</v>
      </c>
      <c r="E82" s="2621" t="s">
        <v>2561</v>
      </c>
      <c r="F82" s="2621" t="s">
        <v>2562</v>
      </c>
      <c r="G82" s="2621" t="s">
        <v>2563</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580</v>
      </c>
      <c r="D84" s="707" t="s">
        <v>581</v>
      </c>
      <c r="E84" s="707" t="s">
        <v>582</v>
      </c>
      <c r="F84" s="707" t="s">
        <v>583</v>
      </c>
      <c r="G84" s="707" t="s">
        <v>584</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97</v>
      </c>
      <c r="E85" s="678">
        <f>D85-$K23</f>
        <v>94</v>
      </c>
      <c r="F85" s="678">
        <f>E85-$K23</f>
        <v>91</v>
      </c>
      <c r="G85" s="678">
        <f>F85-$K23</f>
        <v>88</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hidden="1" thickTop="1">
      <c r="A86" s="708"/>
      <c r="B86" s="1895" t="s">
        <v>2257</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hidden="1" thickTop="1">
      <c r="A88" s="708"/>
      <c r="B88" s="672" t="s">
        <v>746</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楼层</v>
      </c>
      <c r="C90" s="3499" t="s">
        <v>3694</v>
      </c>
      <c r="D90" s="3499" t="s">
        <v>3695</v>
      </c>
      <c r="E90" s="3499" t="s">
        <v>3696</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691">
        <v>104</v>
      </c>
      <c r="D91" s="691">
        <v>102</v>
      </c>
      <c r="E91" s="691">
        <v>100</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hidden="1" thickTop="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hidden="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hidden="1" thickTop="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hidden="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hidden="1" thickTop="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hidden="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hidden="1" thickTop="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552</v>
      </c>
      <c r="B100" s="664" t="s">
        <v>747</v>
      </c>
      <c r="C100" s="3503" t="s">
        <v>3699</v>
      </c>
      <c r="D100" s="3503" t="s">
        <v>3701</v>
      </c>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5"/>
      <c r="O101" s="2165"/>
      <c r="P101" s="2164"/>
      <c r="Q101" s="2157"/>
      <c r="R101" s="2144"/>
      <c r="S101" s="2144"/>
      <c r="T101" s="2144"/>
      <c r="U101" s="2144"/>
      <c r="V101" s="2144"/>
      <c r="W101" s="2144"/>
      <c r="X101" s="2144"/>
      <c r="Y101" s="2144"/>
      <c r="Z101" s="2144"/>
      <c r="AA101" s="2144"/>
      <c r="AB101" s="2144"/>
      <c r="AC101" s="2144"/>
    </row>
    <row r="102" spans="1:29" ht="43.5" thickTop="1">
      <c r="A102" s="668"/>
      <c r="B102" s="672" t="s">
        <v>748</v>
      </c>
      <c r="C102" s="707" t="str">
        <f>C103&amp;"(含)"&amp;"-"&amp;D103</f>
        <v>0(含)-500000</v>
      </c>
      <c r="D102" s="707" t="str">
        <f t="shared" ref="D102:L102" si="23">D103&amp;"(含)"&amp;"-"&amp;E103</f>
        <v>500000(含)-1000000</v>
      </c>
      <c r="E102" s="707" t="str">
        <f t="shared" si="23"/>
        <v>1000000(含)-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v>0</v>
      </c>
      <c r="D103" s="729">
        <v>500000</v>
      </c>
      <c r="E103" s="729">
        <v>1000000</v>
      </c>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v>100</v>
      </c>
      <c r="D104" s="670">
        <v>100</v>
      </c>
      <c r="E104" s="670">
        <v>1000</v>
      </c>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3499" t="s">
        <v>3710</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3500" t="s">
        <v>3708</v>
      </c>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3499" t="s">
        <v>3703</v>
      </c>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5"/>
      <c r="O110" s="2165"/>
      <c r="P110" s="2164"/>
      <c r="Q110" s="2157"/>
      <c r="R110" s="2144"/>
      <c r="S110" s="2144"/>
      <c r="T110" s="2144"/>
      <c r="U110" s="2144"/>
      <c r="V110" s="2144"/>
      <c r="W110" s="2144"/>
      <c r="X110" s="2144"/>
      <c r="Y110" s="2144"/>
      <c r="Z110" s="2144"/>
      <c r="AA110" s="2144"/>
      <c r="AB110" s="2144"/>
      <c r="AC110" s="2144"/>
    </row>
    <row r="111" spans="1:29" s="1338" customFormat="1" ht="29.2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753</v>
      </c>
      <c r="C114" s="3499" t="s">
        <v>3705</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2556</v>
      </c>
      <c r="C116" s="3499" t="s">
        <v>3706</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754</v>
      </c>
      <c r="C118" s="3500" t="s">
        <v>3712</v>
      </c>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7"/>
      <c r="B120" s="672" t="s">
        <v>733</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3499" t="s">
        <v>3703</v>
      </c>
      <c r="D122" s="3499" t="s">
        <v>3790</v>
      </c>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90</v>
      </c>
      <c r="E123" s="678">
        <f t="shared" si="29"/>
        <v>80</v>
      </c>
      <c r="F123" s="678">
        <f t="shared" si="29"/>
        <v>70</v>
      </c>
      <c r="G123" s="678">
        <f t="shared" si="29"/>
        <v>60</v>
      </c>
      <c r="H123" s="678">
        <f t="shared" si="29"/>
        <v>50</v>
      </c>
      <c r="I123" s="678">
        <f t="shared" si="29"/>
        <v>40</v>
      </c>
      <c r="J123" s="678">
        <f t="shared" si="29"/>
        <v>30</v>
      </c>
      <c r="K123" s="678">
        <f t="shared" si="29"/>
        <v>20</v>
      </c>
      <c r="L123" s="678">
        <f t="shared" si="29"/>
        <v>10</v>
      </c>
      <c r="M123" s="678">
        <f t="shared" si="29"/>
        <v>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580</v>
      </c>
      <c r="D124" s="707" t="s">
        <v>581</v>
      </c>
      <c r="E124" s="707" t="s">
        <v>582</v>
      </c>
      <c r="F124" s="707" t="s">
        <v>583</v>
      </c>
      <c r="G124" s="707" t="s">
        <v>584</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t="str">
        <f>B44</f>
        <v>楼层</v>
      </c>
      <c r="C126" s="3499" t="s">
        <v>3744</v>
      </c>
      <c r="D126" s="687"/>
      <c r="E126" s="3499" t="s">
        <v>3745</v>
      </c>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v>100</v>
      </c>
      <c r="D127" s="670"/>
      <c r="E127" s="670">
        <v>95</v>
      </c>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0</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0</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D45" sqref="D4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1726</v>
      </c>
      <c r="B1" s="737"/>
      <c r="C1" s="772" t="s">
        <v>3187</v>
      </c>
      <c r="D1" s="3155" t="s">
        <v>3191</v>
      </c>
      <c r="E1" s="2410" t="s">
        <v>2372</v>
      </c>
      <c r="F1" s="2411">
        <f ca="1">J53</f>
        <v>32.44</v>
      </c>
      <c r="G1" s="773">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1727</v>
      </c>
      <c r="B2" s="774">
        <f ca="1">C40+J29+L46</f>
        <v>17452</v>
      </c>
      <c r="C2" s="2056"/>
      <c r="D2" s="2054"/>
      <c r="E2" s="2055"/>
      <c r="F2" s="2055"/>
      <c r="G2" s="1589"/>
      <c r="H2" s="2056"/>
      <c r="I2" s="2056"/>
      <c r="J2" s="2056"/>
      <c r="K2" s="2057"/>
      <c r="L2" s="2056"/>
      <c r="M2" s="2056"/>
    </row>
    <row r="3" spans="1:33" ht="18" customHeight="1" thickBot="1">
      <c r="A3" s="832" t="s">
        <v>1728</v>
      </c>
      <c r="B3" s="833">
        <f ca="1">IF(ISERROR(B2*10000/F43),0,ROUND(B2*10000/F43,0))</f>
        <v>25794</v>
      </c>
      <c r="C3" s="2056"/>
      <c r="D3" s="2054"/>
      <c r="E3" s="2055"/>
      <c r="F3" s="2055"/>
      <c r="G3" s="1589"/>
      <c r="H3" s="775" t="s">
        <v>696</v>
      </c>
      <c r="I3" s="1362"/>
      <c r="J3" s="1362"/>
      <c r="K3" s="1590"/>
      <c r="L3" s="1362"/>
      <c r="M3" s="1362"/>
    </row>
    <row r="4" spans="1:33" ht="18" customHeight="1">
      <c r="A4" s="776" t="s">
        <v>1729</v>
      </c>
      <c r="B4" s="777" t="s">
        <v>1730</v>
      </c>
      <c r="C4" s="777" t="s">
        <v>1731</v>
      </c>
      <c r="D4" s="777" t="s">
        <v>634</v>
      </c>
      <c r="E4" s="778" t="s">
        <v>1732</v>
      </c>
      <c r="F4" s="779"/>
      <c r="G4" s="1591"/>
      <c r="H4" s="776" t="s">
        <v>1733</v>
      </c>
      <c r="I4" s="777" t="s">
        <v>1734</v>
      </c>
      <c r="J4" s="777" t="s">
        <v>1735</v>
      </c>
      <c r="K4" s="777" t="s">
        <v>1736</v>
      </c>
      <c r="L4" s="778" t="s">
        <v>1737</v>
      </c>
      <c r="M4" s="779"/>
    </row>
    <row r="5" spans="1:33" ht="18" customHeight="1">
      <c r="A5" s="780">
        <v>1</v>
      </c>
      <c r="B5" s="781" t="s">
        <v>2457</v>
      </c>
      <c r="C5" s="55">
        <f ca="1">C6+C10+C12</f>
        <v>1001</v>
      </c>
      <c r="D5" s="2519" t="s">
        <v>2460</v>
      </c>
      <c r="E5" s="2513"/>
      <c r="F5" s="2514"/>
      <c r="G5" s="1591"/>
      <c r="H5" s="780">
        <v>1</v>
      </c>
      <c r="I5" s="781" t="s">
        <v>2457</v>
      </c>
      <c r="J5" s="55">
        <f ca="1">J6+J10+J12</f>
        <v>0</v>
      </c>
      <c r="K5" s="2519" t="s">
        <v>2460</v>
      </c>
      <c r="L5" s="2513"/>
      <c r="M5" s="2514"/>
    </row>
    <row r="6" spans="1:33" ht="18" customHeight="1">
      <c r="A6" s="1829" t="s">
        <v>1825</v>
      </c>
      <c r="B6" s="3793" t="s">
        <v>2462</v>
      </c>
      <c r="C6" s="782">
        <f ca="1">ROUND(F6*F8*F7*(1-F9)/10000,0)</f>
        <v>1000</v>
      </c>
      <c r="D6" s="2520" t="s">
        <v>2461</v>
      </c>
      <c r="E6" s="783" t="s">
        <v>1739</v>
      </c>
      <c r="F6" s="784">
        <f ca="1">INDIRECT("'数据-取费表'!u"&amp;$G$1)</f>
        <v>4.5</v>
      </c>
      <c r="G6" s="1591"/>
      <c r="H6" s="2527" t="s">
        <v>2468</v>
      </c>
      <c r="I6" s="3793" t="s">
        <v>2462</v>
      </c>
      <c r="J6" s="782">
        <f ca="1">ROUND(M6*M8*M7*(1-M9)/10000,0)</f>
        <v>0</v>
      </c>
      <c r="K6" s="340" t="s">
        <v>1738</v>
      </c>
      <c r="L6" s="783" t="s">
        <v>1739</v>
      </c>
      <c r="M6" s="784">
        <f ca="1">INDIRECT("'数据-取费表'!z"&amp;$G$1)</f>
        <v>0</v>
      </c>
    </row>
    <row r="7" spans="1:33" ht="18" customHeight="1">
      <c r="A7" s="2523"/>
      <c r="B7" s="3794"/>
      <c r="C7" s="787"/>
      <c r="D7" s="788"/>
      <c r="E7" s="783" t="s">
        <v>1740</v>
      </c>
      <c r="F7" s="784">
        <f ca="1">IF(INDIRECT("'数据-取费表'!ah"&amp;$G$1)="",INDIRECT("'数据-取费表'!k"&amp;$G$1),INDIRECT("'数据-取费表'!ah"&amp;$G$1))</f>
        <v>6766</v>
      </c>
      <c r="G7" s="1591"/>
      <c r="H7" s="2512"/>
      <c r="I7" s="3794"/>
      <c r="J7" s="787"/>
      <c r="K7" s="788"/>
      <c r="L7" s="783" t="s">
        <v>1740</v>
      </c>
      <c r="M7" s="784">
        <f ca="1">F7</f>
        <v>6766</v>
      </c>
    </row>
    <row r="8" spans="1:33" ht="18" customHeight="1">
      <c r="A8" s="2516"/>
      <c r="B8" s="3795"/>
      <c r="C8" s="787"/>
      <c r="D8" s="788"/>
      <c r="E8" s="783" t="s">
        <v>1741</v>
      </c>
      <c r="F8" s="784">
        <f ca="1">INDIRECT("'数据-取费表'!ai"&amp;$G$1)</f>
        <v>365</v>
      </c>
      <c r="G8" s="1591"/>
      <c r="H8" s="2512"/>
      <c r="I8" s="3795"/>
      <c r="J8" s="787"/>
      <c r="K8" s="788"/>
      <c r="L8" s="783" t="s">
        <v>1741</v>
      </c>
      <c r="M8" s="784">
        <f ca="1">INDIRECT("'数据-取费表'!ai"&amp;$G$1)</f>
        <v>365</v>
      </c>
    </row>
    <row r="9" spans="1:33" ht="18" customHeight="1">
      <c r="A9" s="785"/>
      <c r="B9" s="3796"/>
      <c r="C9" s="787"/>
      <c r="D9" s="788"/>
      <c r="E9" s="783" t="s">
        <v>1742</v>
      </c>
      <c r="F9" s="793">
        <f ca="1">INDIRECT("'数据-取费表'!w"&amp;$G$1)</f>
        <v>0.1</v>
      </c>
      <c r="G9" s="1591"/>
      <c r="H9" s="2528"/>
      <c r="I9" s="3795"/>
      <c r="J9" s="787"/>
      <c r="K9" s="788"/>
      <c r="L9" s="794" t="s">
        <v>1742</v>
      </c>
      <c r="M9" s="795">
        <f ca="1">INDIRECT("'数据-取费表'!ab"&amp;$G$1)</f>
        <v>0</v>
      </c>
    </row>
    <row r="10" spans="1:33" ht="18" customHeight="1">
      <c r="A10" s="1829" t="s">
        <v>2466</v>
      </c>
      <c r="B10" s="2517" t="s">
        <v>2458</v>
      </c>
      <c r="C10" s="798">
        <f ca="1">ROUND(IF(F10="押一",F6*F8*F7/12*F11,IF(F10="押二",F6*F8*F7/12*2*F11,IF(F10="押三",F6*F8*F7/12*3*F11,C11*F11)))/10000,0)</f>
        <v>1</v>
      </c>
      <c r="D10" s="2524" t="s">
        <v>2465</v>
      </c>
      <c r="E10" s="2521" t="s">
        <v>2463</v>
      </c>
      <c r="F10" s="2644" t="s">
        <v>3192</v>
      </c>
      <c r="G10" s="1591"/>
      <c r="H10" s="2584" t="s">
        <v>2469</v>
      </c>
      <c r="I10" s="2589" t="s">
        <v>2458</v>
      </c>
      <c r="J10" s="782">
        <f ca="1">ROUND(IF(M10="押一",M6*M8*M7/12*M11,IF(M10="押二",M6*M8*M7/12*2*M11,IF(M10="押三",M6*M8*M7/12*3*M11,J11*M11)))/10000,0)</f>
        <v>0</v>
      </c>
      <c r="K10" s="2524" t="s">
        <v>2465</v>
      </c>
      <c r="L10" s="2521" t="s">
        <v>2463</v>
      </c>
      <c r="M10" s="2644"/>
    </row>
    <row r="11" spans="1:33" ht="18" customHeight="1">
      <c r="A11" s="789"/>
      <c r="B11" s="2518" t="s">
        <v>2573</v>
      </c>
      <c r="C11" s="2522"/>
      <c r="D11" s="788"/>
      <c r="E11" s="2521" t="s">
        <v>2464</v>
      </c>
      <c r="F11" s="795">
        <f ca="1">'数据-取费表'!B39</f>
        <v>1.4999999999999999E-2</v>
      </c>
      <c r="G11" s="1591"/>
      <c r="H11" s="2585"/>
      <c r="I11" s="2518" t="s">
        <v>2573</v>
      </c>
      <c r="J11" s="2522"/>
      <c r="K11" s="2586"/>
      <c r="L11" s="2521" t="s">
        <v>2464</v>
      </c>
      <c r="M11" s="2515">
        <f ca="1">'数据-取费表'!B39</f>
        <v>1.4999999999999999E-2</v>
      </c>
    </row>
    <row r="12" spans="1:33" ht="18" customHeight="1" thickBot="1">
      <c r="A12" s="2560" t="s">
        <v>2467</v>
      </c>
      <c r="B12" s="2561" t="s">
        <v>2459</v>
      </c>
      <c r="C12" s="2562"/>
      <c r="D12" s="2563"/>
      <c r="E12" s="2564"/>
      <c r="F12" s="2565"/>
      <c r="G12" s="1591"/>
      <c r="H12" s="2574" t="s">
        <v>2470</v>
      </c>
      <c r="I12" s="2587" t="s">
        <v>2459</v>
      </c>
      <c r="J12" s="2588"/>
      <c r="K12" s="2563"/>
      <c r="L12" s="2564"/>
      <c r="M12" s="2577"/>
    </row>
    <row r="13" spans="1:33" ht="18" customHeight="1" thickTop="1">
      <c r="A13" s="1828">
        <v>2</v>
      </c>
      <c r="B13" s="1826" t="s">
        <v>1743</v>
      </c>
      <c r="C13" s="791">
        <f ca="1">ROUND(C29*F13,0)</f>
        <v>2798</v>
      </c>
      <c r="D13" s="1833" t="s">
        <v>2297</v>
      </c>
      <c r="E13" s="1833" t="s">
        <v>1745</v>
      </c>
      <c r="F13" s="2559">
        <f ca="1">INDIRECT("'数据-取费表'!y"&amp;$G$1)</f>
        <v>1</v>
      </c>
      <c r="G13" s="1591"/>
      <c r="H13" s="1828">
        <v>2</v>
      </c>
      <c r="I13" s="1826" t="s">
        <v>1743</v>
      </c>
      <c r="J13" s="1818">
        <f ca="1">ROUND(J14*J15,0)</f>
        <v>0</v>
      </c>
      <c r="K13" s="1820" t="s">
        <v>1744</v>
      </c>
      <c r="L13" s="2575"/>
      <c r="M13" s="2576"/>
    </row>
    <row r="14" spans="1:33" ht="18" customHeight="1">
      <c r="A14" s="1647" t="s">
        <v>1885</v>
      </c>
      <c r="B14" s="783" t="s">
        <v>646</v>
      </c>
      <c r="C14" s="803">
        <f ca="1">INDIRECT("'数据-取费表'!m"&amp;$G$1)+INDIRECT("'数据-取费表'!t"&amp;$G$1)</f>
        <v>1787</v>
      </c>
      <c r="D14" s="1978" t="s">
        <v>1746</v>
      </c>
      <c r="E14" s="1979"/>
      <c r="F14" s="804"/>
      <c r="G14" s="1591"/>
      <c r="H14" s="1648" t="s">
        <v>1831</v>
      </c>
      <c r="I14" s="2230" t="s">
        <v>2825</v>
      </c>
      <c r="J14" s="53">
        <f ca="1">C29</f>
        <v>2798</v>
      </c>
      <c r="K14" s="26"/>
      <c r="L14" s="800"/>
      <c r="M14" s="801"/>
    </row>
    <row r="15" spans="1:33" s="2063" customFormat="1" ht="18" customHeight="1" thickBot="1">
      <c r="A15" s="1647" t="s">
        <v>1886</v>
      </c>
      <c r="B15" s="783" t="s">
        <v>648</v>
      </c>
      <c r="C15" s="53">
        <f ca="1">ROUND(C14*F15,0)</f>
        <v>54</v>
      </c>
      <c r="D15" s="805" t="s">
        <v>1747</v>
      </c>
      <c r="E15" s="805" t="s">
        <v>1748</v>
      </c>
      <c r="F15" s="806">
        <f>'数据-取费表'!B33</f>
        <v>0.03</v>
      </c>
      <c r="G15" s="1592"/>
      <c r="H15" s="2574" t="s">
        <v>1890</v>
      </c>
      <c r="I15" s="2569" t="s">
        <v>1745</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3" t="s">
        <v>651</v>
      </c>
      <c r="C16" s="53">
        <f ca="1">ROUND(INDIRECT("'数据-取费表'!m"&amp;$G$1)*F16,0)</f>
        <v>0</v>
      </c>
      <c r="D16" s="783" t="s">
        <v>1747</v>
      </c>
      <c r="E16" s="783" t="s">
        <v>1748</v>
      </c>
      <c r="F16" s="808">
        <f ca="1">IF(INDIRECT("'数据-取费表'!c"&amp;$G$1)="住宅",'数据-取费表'!B34,0)</f>
        <v>0</v>
      </c>
      <c r="G16" s="1591"/>
      <c r="H16" s="1828" t="s">
        <v>1749</v>
      </c>
      <c r="I16" s="1826" t="s">
        <v>1750</v>
      </c>
      <c r="J16" s="791">
        <f ca="1">ROUND(J17+J22+J23+J24,0)</f>
        <v>70</v>
      </c>
      <c r="K16" s="1820" t="s">
        <v>1751</v>
      </c>
      <c r="L16" s="2509"/>
      <c r="M16" s="2514"/>
    </row>
    <row r="17" spans="1:33" s="2063" customFormat="1" ht="18" customHeight="1">
      <c r="A17" s="1647" t="s">
        <v>1888</v>
      </c>
      <c r="B17" s="783" t="s">
        <v>654</v>
      </c>
      <c r="C17" s="53">
        <f ca="1">ROUND(F17*(F43+INDIRECT("'数据-取费表'!S"&amp;$G$1))/10000,0)</f>
        <v>183</v>
      </c>
      <c r="D17" s="783" t="s">
        <v>1752</v>
      </c>
      <c r="E17" s="783" t="s">
        <v>1753</v>
      </c>
      <c r="F17" s="56">
        <f>'数据-取费表'!B35</f>
        <v>200</v>
      </c>
      <c r="G17" s="1592"/>
      <c r="H17" s="1648" t="s">
        <v>1831</v>
      </c>
      <c r="I17" s="783" t="s">
        <v>657</v>
      </c>
      <c r="J17" s="53">
        <f ca="1">ROUND(IF(项目基本情况!B11="自然人",J5*M17,J18+J19+J20),0)</f>
        <v>28</v>
      </c>
      <c r="K17" s="2508" t="s">
        <v>1754</v>
      </c>
      <c r="L17" s="2507" t="s">
        <v>1755</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3" t="s">
        <v>660</v>
      </c>
      <c r="C18" s="53">
        <f ca="1">ROUND(C14*F18,0)</f>
        <v>27</v>
      </c>
      <c r="D18" s="783" t="s">
        <v>1747</v>
      </c>
      <c r="E18" s="783" t="s">
        <v>1748</v>
      </c>
      <c r="F18" s="808">
        <f>'数据-取费表'!B36</f>
        <v>1.4999999999999999E-2</v>
      </c>
      <c r="G18" s="1592"/>
      <c r="H18" s="1647" t="s">
        <v>1885</v>
      </c>
      <c r="I18" s="783" t="s">
        <v>1756</v>
      </c>
      <c r="J18" s="53">
        <f ca="1">ROUND(J5*M18/1.05,1)</f>
        <v>0</v>
      </c>
      <c r="K18" s="2507" t="s">
        <v>1757</v>
      </c>
      <c r="L18" s="783" t="s">
        <v>1748</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3" t="s">
        <v>663</v>
      </c>
      <c r="C19" s="53">
        <f ca="1">SUM(C14:C18)</f>
        <v>2051</v>
      </c>
      <c r="D19" s="260" t="s">
        <v>1758</v>
      </c>
      <c r="E19" s="1981"/>
      <c r="F19" s="56"/>
      <c r="G19" s="1591"/>
      <c r="H19" s="1647" t="s">
        <v>1886</v>
      </c>
      <c r="I19" s="783" t="s">
        <v>1759</v>
      </c>
      <c r="J19" s="53">
        <f ca="1">IF(K19="按租金收入计税",ROUND(J5*M19,1),ROUND(C29*F33*0.7,1))</f>
        <v>23.5</v>
      </c>
      <c r="K19" s="810" t="s">
        <v>666</v>
      </c>
      <c r="L19" s="783" t="s">
        <v>1748</v>
      </c>
      <c r="M19" s="808">
        <f>IF(K19="按租金收入计税",'数据-取费表'!B51,'数据-取费表'!B50)</f>
        <v>1.2E-2</v>
      </c>
    </row>
    <row r="20" spans="1:33" s="2063" customFormat="1" ht="18" customHeight="1">
      <c r="A20" s="1648" t="s">
        <v>1890</v>
      </c>
      <c r="B20" s="783" t="s">
        <v>667</v>
      </c>
      <c r="C20" s="53">
        <f ca="1">ROUND(C19*F20,0)</f>
        <v>31</v>
      </c>
      <c r="D20" s="811" t="s">
        <v>1760</v>
      </c>
      <c r="E20" s="783" t="s">
        <v>1748</v>
      </c>
      <c r="F20" s="808">
        <f>'数据-取费表'!B37</f>
        <v>1.4999999999999999E-2</v>
      </c>
      <c r="G20" s="1592"/>
      <c r="H20" s="1650" t="s">
        <v>1881</v>
      </c>
      <c r="I20" s="340" t="s">
        <v>1761</v>
      </c>
      <c r="J20" s="54">
        <f ca="1">ROUND(M20*M21/10000,0)</f>
        <v>4</v>
      </c>
      <c r="K20" s="813" t="s">
        <v>1762</v>
      </c>
      <c r="L20" s="783" t="s">
        <v>1763</v>
      </c>
      <c r="M20" s="639">
        <f>'数据-取费表'!B52</f>
        <v>16</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3" t="s">
        <v>1764</v>
      </c>
      <c r="C21" s="53" t="s">
        <v>1765</v>
      </c>
      <c r="D21" s="811" t="s">
        <v>2298</v>
      </c>
      <c r="E21" s="783" t="s">
        <v>1766</v>
      </c>
      <c r="F21" s="808">
        <f>'数据-取费表'!B38</f>
        <v>1.4999999999999999E-2</v>
      </c>
      <c r="G21" s="1592"/>
      <c r="H21" s="2529"/>
      <c r="I21" s="792"/>
      <c r="J21" s="69"/>
      <c r="K21" s="815"/>
      <c r="L21" s="783" t="s">
        <v>1767</v>
      </c>
      <c r="M21" s="784">
        <f ca="1">INDIRECT("'数据-取费表'!r"&amp;$G$1)</f>
        <v>2271.23</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3" t="s">
        <v>1768</v>
      </c>
      <c r="C22" s="53"/>
      <c r="D22" s="2595" t="str">
        <f>IF(F23&lt;=1,"单利计息。","复利计息。")&amp;"建造成本、管理费用、销售费用产生的利息。"</f>
        <v>复利计息。建造成本、管理费用、销售费用产生的利息。</v>
      </c>
      <c r="E22" s="1981"/>
      <c r="F22" s="56"/>
      <c r="G22" s="1591"/>
      <c r="H22" s="1648" t="s">
        <v>1890</v>
      </c>
      <c r="I22" s="783" t="s">
        <v>1769</v>
      </c>
      <c r="J22" s="53">
        <f ca="1">ROUND(J14*M22,0)</f>
        <v>42</v>
      </c>
      <c r="K22" s="2507" t="s">
        <v>1770</v>
      </c>
      <c r="L22" s="783" t="s">
        <v>1748</v>
      </c>
      <c r="M22" s="816">
        <f ca="1">INDIRECT("'数据-取费表'!Ak"&amp;$G$1)</f>
        <v>1.4999999999999999E-2</v>
      </c>
    </row>
    <row r="23" spans="1:33" s="2063" customFormat="1" ht="18" customHeight="1">
      <c r="A23" s="1647" t="s">
        <v>1832</v>
      </c>
      <c r="B23" s="783" t="s">
        <v>2535</v>
      </c>
      <c r="C23" s="53">
        <f ca="1">ROUND(IF('数据-取费表'!B22&lt;=1,(C19+C20)*F24*F23/2,(C19+C20)*(POWER((1+F24),F23/2)-1)),0)</f>
        <v>99</v>
      </c>
      <c r="D23" s="2594" t="str">
        <f>IF(F23&lt;=1,"(建造成本+管理费用)×利率×(建设周期÷2)","(建造成本+管理费用)×((1+利率)^(建设周期÷2)-1)")</f>
        <v>(建造成本+管理费用)×((1+利率)^(建设周期÷2)-1)</v>
      </c>
      <c r="E23" s="783" t="s">
        <v>1771</v>
      </c>
      <c r="F23" s="639">
        <f>'数据-取费表'!B20</f>
        <v>2</v>
      </c>
      <c r="G23" s="1592"/>
      <c r="H23" s="1648" t="s">
        <v>1891</v>
      </c>
      <c r="I23" s="783" t="s">
        <v>680</v>
      </c>
      <c r="J23" s="53">
        <f ca="1">ROUND(J13*M23,0)</f>
        <v>0</v>
      </c>
      <c r="K23" s="2507" t="s">
        <v>1772</v>
      </c>
      <c r="L23" s="783" t="s">
        <v>1748</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3" t="s">
        <v>1773</v>
      </c>
      <c r="C24" s="53">
        <f ca="1">ROUND(IF('数据-取费表'!B22&lt;=1,F21*F24*F23/2,F21*(POWER((1+F24),F23/2)-1)),4)</f>
        <v>6.9999999999999999E-4</v>
      </c>
      <c r="D24" s="2594" t="str">
        <f>IF(F23&lt;=1,"销售费用×利率×(建设周期÷2)","销售费用×((1+利率)^(建设周期÷2)-1)")</f>
        <v>销售费用×((1+利率)^(建设周期÷2)-1)</v>
      </c>
      <c r="E24" s="783" t="s">
        <v>1774</v>
      </c>
      <c r="F24" s="818">
        <f ca="1">'数据-取费表'!B40</f>
        <v>4.7500000000000001E-2</v>
      </c>
      <c r="G24" s="1592"/>
      <c r="H24" s="2574" t="s">
        <v>1892</v>
      </c>
      <c r="I24" s="2569" t="s">
        <v>667</v>
      </c>
      <c r="J24" s="2567">
        <f ca="1">ROUND(J5*M24,0)</f>
        <v>0</v>
      </c>
      <c r="K24" s="2568" t="s">
        <v>1775</v>
      </c>
      <c r="L24" s="2569" t="s">
        <v>1748</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3" t="s">
        <v>685</v>
      </c>
      <c r="C25" s="53"/>
      <c r="D25" s="260" t="s">
        <v>1776</v>
      </c>
      <c r="E25" s="1981"/>
      <c r="F25" s="56"/>
      <c r="G25" s="1591"/>
      <c r="H25" s="1828" t="s">
        <v>1777</v>
      </c>
      <c r="I25" s="3034" t="s">
        <v>2821</v>
      </c>
      <c r="J25" s="791">
        <f ca="1">J5-J16</f>
        <v>-70</v>
      </c>
      <c r="K25" s="2571" t="s">
        <v>1778</v>
      </c>
      <c r="L25" s="2572"/>
      <c r="M25" s="2573"/>
    </row>
    <row r="26" spans="1:33" ht="18" customHeight="1">
      <c r="A26" s="1647" t="s">
        <v>1832</v>
      </c>
      <c r="B26" s="783" t="s">
        <v>2436</v>
      </c>
      <c r="C26" s="53">
        <f ca="1">ROUND((C19+C20)*F26,0)</f>
        <v>416</v>
      </c>
      <c r="D26" s="811" t="s">
        <v>1779</v>
      </c>
      <c r="E26" s="794" t="s">
        <v>1780</v>
      </c>
      <c r="F26" s="793">
        <f ca="1">INDIRECT("'数据-取费表'!q"&amp;$G$1)</f>
        <v>0.2</v>
      </c>
      <c r="G26" s="1591"/>
      <c r="H26" s="2525" t="s">
        <v>1781</v>
      </c>
      <c r="I26" s="2231" t="s">
        <v>2826</v>
      </c>
      <c r="J26" s="782">
        <f ca="1">IF(J5&lt;&gt;0,ROUND(J25*(1-((1+M28)/(1+M26))^M27)/(M26-M28),0),0)</f>
        <v>0</v>
      </c>
      <c r="K26" s="813" t="s">
        <v>1782</v>
      </c>
      <c r="L26" s="783" t="s">
        <v>2417</v>
      </c>
      <c r="M26" s="793">
        <f ca="1">INDIRECT("'数据-取费表'!I"&amp;$G$1)</f>
        <v>0.06</v>
      </c>
    </row>
    <row r="27" spans="1:33" ht="18" customHeight="1">
      <c r="A27" s="1647" t="s">
        <v>1833</v>
      </c>
      <c r="B27" s="783" t="s">
        <v>687</v>
      </c>
      <c r="C27" s="53">
        <f ca="1">ROUND(F21*F26,4)</f>
        <v>3.0000000000000001E-3</v>
      </c>
      <c r="D27" s="811" t="s">
        <v>1783</v>
      </c>
      <c r="E27" s="805"/>
      <c r="F27" s="806"/>
      <c r="G27" s="1591"/>
      <c r="H27" s="2526"/>
      <c r="I27" s="786"/>
      <c r="J27" s="787"/>
      <c r="K27" s="820" t="s">
        <v>1784</v>
      </c>
      <c r="L27" s="783" t="s">
        <v>1785</v>
      </c>
      <c r="M27" s="821">
        <f ca="1">INDIRECT("'数据-取费表'!ag"&amp;$G$1)</f>
        <v>0</v>
      </c>
    </row>
    <row r="28" spans="1:33" s="2063" customFormat="1" ht="18" customHeight="1">
      <c r="A28" s="1649" t="s">
        <v>1842</v>
      </c>
      <c r="B28" s="783" t="s">
        <v>688</v>
      </c>
      <c r="C28" s="53">
        <f>ROUND(F28/(1+'数据-取费表'!C42),4)</f>
        <v>5.33E-2</v>
      </c>
      <c r="D28" s="811" t="s">
        <v>2299</v>
      </c>
      <c r="E28" s="783" t="s">
        <v>1786</v>
      </c>
      <c r="F28" s="808">
        <f>'数据-取费表'!B41</f>
        <v>5.6000000000000001E-2</v>
      </c>
      <c r="G28" s="1592"/>
      <c r="H28" s="1828"/>
      <c r="I28" s="790"/>
      <c r="J28" s="791"/>
      <c r="K28" s="815"/>
      <c r="L28" s="783" t="s">
        <v>1787</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1893</v>
      </c>
      <c r="B29" s="2564" t="s">
        <v>2300</v>
      </c>
      <c r="C29" s="2567">
        <f ca="1">ROUND((C19+C20+C23+C26)/(1-F21-C24-C27-C28),0)</f>
        <v>2798</v>
      </c>
      <c r="D29" s="2568"/>
      <c r="E29" s="2569"/>
      <c r="F29" s="2570"/>
      <c r="G29" s="1592"/>
      <c r="H29" s="822" t="s">
        <v>1788</v>
      </c>
      <c r="I29" s="823" t="s">
        <v>1789</v>
      </c>
      <c r="J29" s="824">
        <f ca="1">ROUND(J26/(1+F40)^F41,0)</f>
        <v>0</v>
      </c>
      <c r="K29" s="825" t="s">
        <v>1790</v>
      </c>
      <c r="L29" s="826"/>
      <c r="M29" s="827">
        <f ca="1">INDIRECT("'数据-取费表'!k"&amp;$G$1)</f>
        <v>6766</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137</v>
      </c>
      <c r="D30" s="1820" t="s">
        <v>1792</v>
      </c>
      <c r="E30" s="2509"/>
      <c r="F30" s="2514"/>
      <c r="G30" s="2061"/>
      <c r="H30" s="2064"/>
      <c r="I30" s="2065"/>
      <c r="J30" s="2066"/>
      <c r="K30" s="2067"/>
      <c r="L30" s="2068"/>
      <c r="M30" s="2069"/>
    </row>
    <row r="31" spans="1:33" ht="18" customHeight="1">
      <c r="A31" s="1648" t="s">
        <v>1831</v>
      </c>
      <c r="B31" s="783" t="s">
        <v>657</v>
      </c>
      <c r="C31" s="53">
        <f ca="1">ROUND(IF(项目基本情况!B11="自然人",C5*F31,C32+C33+C34),1)</f>
        <v>80.5</v>
      </c>
      <c r="D31" s="1978" t="s">
        <v>1793</v>
      </c>
      <c r="E31" s="1976"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3" t="s">
        <v>1795</v>
      </c>
      <c r="C32" s="53">
        <f ca="1">ROUND(C5*F32/1.05,1)</f>
        <v>53.4</v>
      </c>
      <c r="D32" s="1976" t="s">
        <v>1796</v>
      </c>
      <c r="E32" s="783" t="s">
        <v>1797</v>
      </c>
      <c r="F32" s="808">
        <f>'数据-取费表'!B41</f>
        <v>5.6000000000000001E-2</v>
      </c>
      <c r="G32" s="2061"/>
      <c r="H32" s="2070"/>
      <c r="I32" s="2071"/>
      <c r="J32" s="2072"/>
      <c r="K32" s="2073"/>
      <c r="L32" s="2074"/>
      <c r="M32" s="2075"/>
    </row>
    <row r="33" spans="1:18" ht="18" customHeight="1">
      <c r="A33" s="1647" t="s">
        <v>1833</v>
      </c>
      <c r="B33" s="783" t="s">
        <v>1798</v>
      </c>
      <c r="C33" s="53">
        <f ca="1">IF(D33="按租金收入计税",ROUND(C5*F33,1),IF(D33="按房产原值计税",ROUND(C29*F33*0.7,1),INDIRECT("'数据-取费表'!Aj"&amp;$G$1)))</f>
        <v>23.5</v>
      </c>
      <c r="D33" s="810" t="s">
        <v>1681</v>
      </c>
      <c r="E33" s="783" t="s">
        <v>1797</v>
      </c>
      <c r="F33" s="808">
        <f>IF(D33="按租金收入计税",'数据-取费表'!B51,'数据-取费表'!B50)</f>
        <v>1.2E-2</v>
      </c>
      <c r="G33" s="2061"/>
      <c r="H33" s="2076"/>
      <c r="I33" s="2076"/>
      <c r="J33" s="2076"/>
      <c r="K33" s="2077"/>
      <c r="L33" s="2076"/>
      <c r="M33" s="2076"/>
    </row>
    <row r="34" spans="1:18" ht="18" customHeight="1">
      <c r="A34" s="1650" t="s">
        <v>1834</v>
      </c>
      <c r="B34" s="340" t="s">
        <v>1799</v>
      </c>
      <c r="C34" s="54">
        <f ca="1">ROUND(F34*F35/10000,1)</f>
        <v>3.6</v>
      </c>
      <c r="D34" s="813" t="s">
        <v>1800</v>
      </c>
      <c r="E34" s="783" t="s">
        <v>1801</v>
      </c>
      <c r="F34" s="639">
        <f>'数据-取费表'!B52</f>
        <v>16</v>
      </c>
      <c r="G34" s="2061"/>
      <c r="H34" s="2064"/>
      <c r="I34" s="834" t="s">
        <v>1814</v>
      </c>
      <c r="J34" s="835"/>
      <c r="K34" s="2079"/>
      <c r="L34" s="2078"/>
      <c r="M34" s="2078"/>
    </row>
    <row r="35" spans="1:18" ht="18" customHeight="1">
      <c r="A35" s="814"/>
      <c r="B35" s="792"/>
      <c r="C35" s="69"/>
      <c r="D35" s="815"/>
      <c r="E35" s="783" t="s">
        <v>1802</v>
      </c>
      <c r="F35" s="784">
        <f ca="1">INDIRECT("'数据-取费表'!r"&amp;$G$1)</f>
        <v>2271.23</v>
      </c>
      <c r="G35" s="2061"/>
      <c r="H35" s="2064"/>
      <c r="I35" s="836" t="s">
        <v>1815</v>
      </c>
      <c r="J35" s="837">
        <f ca="1">ROUND(C13*J36,0)</f>
        <v>238</v>
      </c>
      <c r="K35" s="2077"/>
      <c r="L35" s="2076"/>
      <c r="M35" s="2076"/>
    </row>
    <row r="36" spans="1:18" ht="18" customHeight="1">
      <c r="A36" s="1648" t="s">
        <v>1890</v>
      </c>
      <c r="B36" s="783" t="s">
        <v>1803</v>
      </c>
      <c r="C36" s="53">
        <f ca="1">ROUND(C29*F36,1)</f>
        <v>42</v>
      </c>
      <c r="D36" s="1976" t="s">
        <v>1804</v>
      </c>
      <c r="E36" s="783" t="s">
        <v>1797</v>
      </c>
      <c r="F36" s="816">
        <f ca="1">INDIRECT("'数据-取费表'!Ak"&amp;$G$1)</f>
        <v>1.4999999999999999E-2</v>
      </c>
      <c r="G36" s="2061"/>
      <c r="H36" s="2076"/>
      <c r="I36" s="838" t="s">
        <v>1816</v>
      </c>
      <c r="J36" s="839">
        <f ca="1">INDIRECT("'数据-取费表'!j"&amp;$G$1)</f>
        <v>8.5000000000000006E-2</v>
      </c>
      <c r="K36" s="2081"/>
      <c r="L36" s="2076"/>
      <c r="M36" s="2076"/>
    </row>
    <row r="37" spans="1:18" ht="18" customHeight="1">
      <c r="A37" s="1648" t="s">
        <v>1891</v>
      </c>
      <c r="B37" s="783" t="s">
        <v>680</v>
      </c>
      <c r="C37" s="53">
        <f ca="1">ROUND(C13*F37,1)</f>
        <v>4.2</v>
      </c>
      <c r="D37" s="1976" t="s">
        <v>1805</v>
      </c>
      <c r="E37" s="783" t="s">
        <v>1797</v>
      </c>
      <c r="F37" s="817">
        <f ca="1">INDIRECT("'数据-取费表'!Al"&amp;$G$1)</f>
        <v>1.5E-3</v>
      </c>
      <c r="G37" s="2061"/>
      <c r="H37" s="2076"/>
      <c r="I37" s="840" t="s">
        <v>1817</v>
      </c>
      <c r="J37" s="841"/>
      <c r="K37" s="2081"/>
      <c r="L37" s="2076"/>
      <c r="M37" s="2076"/>
    </row>
    <row r="38" spans="1:18" ht="18" customHeight="1" thickBot="1">
      <c r="A38" s="2574" t="s">
        <v>1892</v>
      </c>
      <c r="B38" s="2569" t="s">
        <v>667</v>
      </c>
      <c r="C38" s="2567">
        <f ca="1">ROUND(C5*F38,1)</f>
        <v>10</v>
      </c>
      <c r="D38" s="2568" t="s">
        <v>1806</v>
      </c>
      <c r="E38" s="2569" t="s">
        <v>1797</v>
      </c>
      <c r="F38" s="2565">
        <f ca="1">INDIRECT("'数据-取费表'!Am"&amp;$G$1)</f>
        <v>0.01</v>
      </c>
      <c r="G38" s="2061"/>
      <c r="H38" s="2076"/>
      <c r="I38" s="842" t="s">
        <v>1818</v>
      </c>
      <c r="J38" s="843"/>
      <c r="K38" s="2082"/>
      <c r="L38" s="2076"/>
      <c r="M38" s="2076"/>
    </row>
    <row r="39" spans="1:18" ht="24.6" customHeight="1" thickTop="1">
      <c r="A39" s="1828" t="s">
        <v>1895</v>
      </c>
      <c r="B39" s="3034" t="s">
        <v>2821</v>
      </c>
      <c r="C39" s="791">
        <f ca="1">C5-C30</f>
        <v>864</v>
      </c>
      <c r="D39" s="2571" t="s">
        <v>1807</v>
      </c>
      <c r="E39" s="2572"/>
      <c r="F39" s="2573"/>
      <c r="G39" s="2061"/>
      <c r="H39" s="2076"/>
      <c r="I39" s="836" t="s">
        <v>1819</v>
      </c>
      <c r="J39" s="844">
        <f ca="1">ROUND(J35/C39,3)</f>
        <v>0.27500000000000002</v>
      </c>
      <c r="K39" s="2082"/>
      <c r="L39" s="2076"/>
      <c r="M39" s="2076"/>
    </row>
    <row r="40" spans="1:18" ht="18" customHeight="1">
      <c r="A40" s="780" t="s">
        <v>1896</v>
      </c>
      <c r="B40" s="2231" t="s">
        <v>2301</v>
      </c>
      <c r="C40" s="782">
        <f ca="1">ROUND(C39*(1-((1+F42)/(1+F40))^F41)/(F40-F42),0)</f>
        <v>17452</v>
      </c>
      <c r="D40" s="813" t="s">
        <v>1808</v>
      </c>
      <c r="E40" s="783" t="s">
        <v>2417</v>
      </c>
      <c r="F40" s="793">
        <f ca="1">INDIRECT("'数据-取费表'!I"&amp;$G$1)</f>
        <v>0.06</v>
      </c>
      <c r="G40" s="2061"/>
      <c r="H40" s="2061"/>
      <c r="I40" s="836" t="s">
        <v>1820</v>
      </c>
      <c r="J40" s="844">
        <f ca="1">1-J39</f>
        <v>0.72499999999999998</v>
      </c>
      <c r="K40" s="2082"/>
      <c r="L40" s="2061"/>
      <c r="M40" s="2061"/>
    </row>
    <row r="41" spans="1:18" ht="18" customHeight="1">
      <c r="A41" s="785"/>
      <c r="B41" s="786"/>
      <c r="C41" s="787"/>
      <c r="D41" s="820" t="s">
        <v>1809</v>
      </c>
      <c r="E41" s="783" t="s">
        <v>2955</v>
      </c>
      <c r="F41" s="821">
        <f ca="1">IF(INDIRECT("'数据-取费表'!af"&amp;$G$1)=0,INDIRECT("'数据-取费表'!ae"&amp;$G$1),INDIRECT("'数据-取费表'!af"&amp;$G$1))</f>
        <v>32.44</v>
      </c>
      <c r="G41" s="2061"/>
      <c r="H41" s="1987"/>
      <c r="I41" s="842" t="s">
        <v>1821</v>
      </c>
      <c r="J41" s="845"/>
      <c r="K41" s="2081"/>
      <c r="L41" s="1987"/>
      <c r="M41" s="1987"/>
    </row>
    <row r="42" spans="1:18" ht="18" customHeight="1">
      <c r="A42" s="789"/>
      <c r="B42" s="790"/>
      <c r="C42" s="791"/>
      <c r="D42" s="815"/>
      <c r="E42" s="783" t="s">
        <v>1810</v>
      </c>
      <c r="F42" s="793">
        <f ca="1">INDIRECT("'数据-取费表'!v"&amp;$G$1)</f>
        <v>0.03</v>
      </c>
      <c r="G42" s="2061"/>
      <c r="H42" s="1987"/>
      <c r="I42" s="846" t="s">
        <v>1822</v>
      </c>
      <c r="J42" s="844">
        <f ca="1">ROUND(C13/C40,3)</f>
        <v>0.16</v>
      </c>
      <c r="K42" s="2081"/>
      <c r="L42" s="1987"/>
      <c r="M42" s="1987"/>
    </row>
    <row r="43" spans="1:18" ht="18" customHeight="1" thickBot="1">
      <c r="A43" s="822" t="s">
        <v>1788</v>
      </c>
      <c r="B43" s="823" t="s">
        <v>1811</v>
      </c>
      <c r="C43" s="824">
        <f ca="1">ROUND(C40*10000/F43,0)</f>
        <v>25794</v>
      </c>
      <c r="D43" s="825" t="s">
        <v>1812</v>
      </c>
      <c r="E43" s="826" t="s">
        <v>1813</v>
      </c>
      <c r="F43" s="827">
        <f ca="1">INDIRECT("'数据-取费表'!k"&amp;$G$1)</f>
        <v>6766</v>
      </c>
      <c r="G43" s="2061"/>
      <c r="H43" s="1987"/>
      <c r="I43" s="846" t="s">
        <v>1823</v>
      </c>
      <c r="J43" s="847">
        <f ca="1">1-J42</f>
        <v>0.84</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f ca="1">C67-C40</f>
        <v>-18485</v>
      </c>
      <c r="D46" s="2084"/>
      <c r="E46" s="2084"/>
      <c r="F46" s="2084"/>
      <c r="I46" s="2377" t="s">
        <v>2340</v>
      </c>
      <c r="J46" s="2378"/>
      <c r="K46" s="2379"/>
      <c r="L46" s="2380" t="str">
        <f ca="1">IF(M47="住宅",0,IF(L48&gt;J51,L60,J60))</f>
        <v>0</v>
      </c>
      <c r="O46" s="2417" t="s">
        <v>2408</v>
      </c>
      <c r="P46" s="1591"/>
      <c r="Q46" s="1603"/>
      <c r="R46" s="1591"/>
    </row>
    <row r="47" spans="1:18" s="2058" customFormat="1" ht="18" customHeight="1" thickBot="1">
      <c r="A47" s="2371">
        <v>1</v>
      </c>
      <c r="B47" s="2372" t="s">
        <v>636</v>
      </c>
      <c r="C47" s="2597">
        <f ca="1">C48+C52+C54</f>
        <v>0</v>
      </c>
      <c r="D47" s="2084"/>
      <c r="E47" s="2084"/>
      <c r="F47" s="2084"/>
      <c r="I47" s="2381" t="s">
        <v>2341</v>
      </c>
      <c r="J47" s="2386" t="s">
        <v>3709</v>
      </c>
      <c r="K47" s="2387" t="s">
        <v>2347</v>
      </c>
      <c r="L47" s="2388">
        <f ca="1">INDIRECT("'数据-取费表'!d"&amp;$G$1)</f>
        <v>40</v>
      </c>
      <c r="M47" s="1603" t="str">
        <f>IF(ISNUMBER(FIND("住宅",C1)),"住宅","非住宅")</f>
        <v>非住宅</v>
      </c>
      <c r="O47" s="2418" t="s">
        <v>2373</v>
      </c>
      <c r="P47" s="2419" t="s">
        <v>2374</v>
      </c>
      <c r="Q47" s="2420" t="s">
        <v>2375</v>
      </c>
      <c r="R47" s="2419" t="s">
        <v>2376</v>
      </c>
    </row>
    <row r="48" spans="1:18" s="2058" customFormat="1" ht="18" customHeight="1" thickBot="1">
      <c r="A48" s="2666" t="s">
        <v>2537</v>
      </c>
      <c r="B48" s="2667" t="s">
        <v>2538</v>
      </c>
      <c r="C48" s="2373">
        <f ca="1">ROUND(F48*F50*F49*(1-F51)/10000,0)</f>
        <v>0</v>
      </c>
      <c r="D48" s="2374" t="s">
        <v>637</v>
      </c>
      <c r="E48" s="2375" t="s">
        <v>2296</v>
      </c>
      <c r="F48" s="2376"/>
      <c r="G48" s="2089"/>
      <c r="I48" s="2382" t="s">
        <v>2342</v>
      </c>
      <c r="J48" s="2389" t="s">
        <v>2348</v>
      </c>
      <c r="K48" s="2390" t="s">
        <v>2349</v>
      </c>
      <c r="L48" s="2391">
        <f ca="1">INDIRECT("'数据-取费表'!f"&amp;$G$1)</f>
        <v>34.44</v>
      </c>
      <c r="O48" s="2421" t="s">
        <v>2377</v>
      </c>
      <c r="P48" s="2422" t="s">
        <v>2403</v>
      </c>
      <c r="Q48" s="2423">
        <f ca="1">C40+J29</f>
        <v>17452</v>
      </c>
      <c r="R48" s="2422" t="s">
        <v>2378</v>
      </c>
    </row>
    <row r="49" spans="1:18" s="2058" customFormat="1" ht="18" customHeight="1" thickBot="1">
      <c r="A49" s="785"/>
      <c r="B49" s="786"/>
      <c r="C49" s="787"/>
      <c r="D49" s="788"/>
      <c r="E49" s="783" t="s">
        <v>1740</v>
      </c>
      <c r="F49" s="784">
        <f ca="1">F7</f>
        <v>6766</v>
      </c>
      <c r="G49" s="2089"/>
      <c r="H49" s="2092"/>
      <c r="I49" s="2382" t="s">
        <v>2343</v>
      </c>
      <c r="J49" s="2392"/>
      <c r="K49" s="2393" t="s">
        <v>2350</v>
      </c>
      <c r="L49" s="2394"/>
      <c r="O49" s="2421" t="s">
        <v>2379</v>
      </c>
      <c r="P49" s="2422" t="s">
        <v>2404</v>
      </c>
      <c r="Q49" s="2423" t="str">
        <f ca="1">J60</f>
        <v>0</v>
      </c>
      <c r="R49" s="2422" t="s">
        <v>2380</v>
      </c>
    </row>
    <row r="50" spans="1:18" s="2058" customFormat="1" ht="18" customHeight="1" thickBot="1">
      <c r="A50" s="785"/>
      <c r="B50" s="786"/>
      <c r="C50" s="787"/>
      <c r="D50" s="788"/>
      <c r="E50" s="783" t="s">
        <v>1741</v>
      </c>
      <c r="F50" s="784">
        <f ca="1">F8</f>
        <v>365</v>
      </c>
      <c r="G50" s="2094"/>
      <c r="H50" s="2092"/>
      <c r="I50" s="2382" t="s">
        <v>2344</v>
      </c>
      <c r="J50" s="2395">
        <f>SUMPRODUCT((I63:I65=J47)*(J62:L62=J48)*(J63:L65))</f>
        <v>60</v>
      </c>
      <c r="K50" s="2393" t="s">
        <v>2351</v>
      </c>
      <c r="L50" s="2394"/>
      <c r="O50" s="2424" t="s">
        <v>2381</v>
      </c>
      <c r="P50" s="2422" t="s">
        <v>2405</v>
      </c>
      <c r="Q50" s="2423">
        <f ca="1">C29</f>
        <v>2798</v>
      </c>
      <c r="R50" s="2422" t="s">
        <v>2378</v>
      </c>
    </row>
    <row r="51" spans="1:18" s="2058" customFormat="1" ht="18" customHeight="1" thickBot="1">
      <c r="A51" s="785"/>
      <c r="B51" s="786"/>
      <c r="C51" s="787"/>
      <c r="D51" s="788"/>
      <c r="E51" s="783" t="s">
        <v>641</v>
      </c>
      <c r="F51" s="2370"/>
      <c r="H51" s="2092"/>
      <c r="I51" s="2383" t="s">
        <v>2345</v>
      </c>
      <c r="J51" s="2396">
        <f>IF(J49="",J50,J49+J50-YEAR('数据-取费表'!B2))</f>
        <v>60</v>
      </c>
      <c r="K51" s="2382" t="s">
        <v>2352</v>
      </c>
      <c r="L51" s="2397">
        <f ca="1">ROUND(-PV(INDIRECT("'数据-取费表'!h"&amp;$G$1),L48,(C39-C13*J36),0),0)</f>
        <v>10190</v>
      </c>
      <c r="O51" s="2424" t="s">
        <v>2382</v>
      </c>
      <c r="P51" s="2422" t="s">
        <v>2383</v>
      </c>
      <c r="Q51" s="2425" t="e">
        <f ca="1">J58</f>
        <v>#VALUE!</v>
      </c>
      <c r="R51" s="2426"/>
    </row>
    <row r="52" spans="1:18" s="2058" customFormat="1" ht="18" customHeight="1" thickBot="1">
      <c r="A52" s="780" t="s">
        <v>2536</v>
      </c>
      <c r="B52" s="2517" t="s">
        <v>2458</v>
      </c>
      <c r="C52" s="798">
        <f ca="1">ROUND(IF(F52="押一",F48*F50*F49/12*F11,IF(F52="押二",F48*F50*F49/12*2*F11,IF(F52="押三",F48*F50*F49/12*3*F11,C53*F11)))/10000,0)</f>
        <v>0</v>
      </c>
      <c r="D52" s="2524" t="s">
        <v>2465</v>
      </c>
      <c r="E52" s="2521" t="s">
        <v>2463</v>
      </c>
      <c r="F52" s="2644"/>
      <c r="I52" s="2384" t="s">
        <v>2419</v>
      </c>
      <c r="J52" s="2398"/>
      <c r="K52" s="2384" t="s">
        <v>2418</v>
      </c>
      <c r="L52" s="2398"/>
      <c r="O52" s="2424" t="s">
        <v>2384</v>
      </c>
      <c r="P52" s="2422" t="s">
        <v>2385</v>
      </c>
      <c r="Q52" s="2425">
        <f>J52</f>
        <v>0</v>
      </c>
      <c r="R52" s="2426"/>
    </row>
    <row r="53" spans="1:18" s="2058" customFormat="1" ht="39.75" customHeight="1" thickBot="1">
      <c r="A53" s="785"/>
      <c r="B53" s="2518" t="s">
        <v>2573</v>
      </c>
      <c r="C53" s="2522"/>
      <c r="D53" s="2524"/>
      <c r="E53" s="2521"/>
      <c r="F53" s="799"/>
      <c r="I53" s="2385" t="s">
        <v>2346</v>
      </c>
      <c r="J53" s="2399">
        <f ca="1">IF(M47="住宅",J51,IF(D1="——",MIN(J51,L48),IF(D1="土地（套用方法）",MIN(J51,L48-'数据-取费表'!B20))))</f>
        <v>32.44</v>
      </c>
      <c r="K53" s="3816" t="s">
        <v>2957</v>
      </c>
      <c r="L53" s="3817"/>
      <c r="O53" s="2424" t="s">
        <v>2386</v>
      </c>
      <c r="P53" s="2422" t="s">
        <v>2387</v>
      </c>
      <c r="Q53" s="2423">
        <f ca="1">J53</f>
        <v>32.44</v>
      </c>
      <c r="R53" s="2422" t="s">
        <v>2388</v>
      </c>
    </row>
    <row r="54" spans="1:18" s="2058" customFormat="1" ht="18" customHeight="1" thickBot="1">
      <c r="A54" s="2560" t="s">
        <v>2467</v>
      </c>
      <c r="B54" s="2561" t="s">
        <v>2459</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2389</v>
      </c>
      <c r="P54" s="2422" t="s">
        <v>2406</v>
      </c>
      <c r="Q54" s="2423">
        <f ca="1">Q48+Q49</f>
        <v>17452</v>
      </c>
      <c r="R54" s="2426" t="s">
        <v>2390</v>
      </c>
    </row>
    <row r="55" spans="1:18" s="2058" customFormat="1" ht="18" customHeight="1" thickTop="1" thickBot="1">
      <c r="A55" s="796">
        <v>2</v>
      </c>
      <c r="B55" s="797" t="s">
        <v>645</v>
      </c>
      <c r="C55" s="798">
        <f ca="1">C13</f>
        <v>2798</v>
      </c>
      <c r="D55" s="794"/>
      <c r="E55" s="794"/>
      <c r="F55" s="799"/>
      <c r="I55" s="3126" t="s">
        <v>2353</v>
      </c>
      <c r="J55" s="3125" t="e">
        <f ca="1">ROUND(IF(J47="钢混",J57/J50,1-(1-2%)*(J50-J57)/J50),3)</f>
        <v>#VALUE!</v>
      </c>
      <c r="K55" s="2400" t="s">
        <v>2354</v>
      </c>
      <c r="L55" s="2401"/>
      <c r="O55" s="2427" t="s">
        <v>2409</v>
      </c>
      <c r="P55" s="1591"/>
      <c r="Q55" s="1603"/>
      <c r="R55" s="1591"/>
    </row>
    <row r="56" spans="1:18" s="2058" customFormat="1" ht="42.75" customHeight="1" thickBot="1">
      <c r="A56" s="1649"/>
      <c r="B56" s="2230" t="s">
        <v>2302</v>
      </c>
      <c r="C56" s="53">
        <f ca="1">C29</f>
        <v>2798</v>
      </c>
      <c r="D56" s="2663"/>
      <c r="E56" s="783"/>
      <c r="F56" s="808"/>
      <c r="I56" s="2402" t="s">
        <v>2355</v>
      </c>
      <c r="J56" s="3149" t="s">
        <v>1679</v>
      </c>
      <c r="K56" s="2382" t="s">
        <v>2360</v>
      </c>
      <c r="L56" s="2391" t="str">
        <f ca="1">IF(L48&lt;J51,"——",L48-J51)</f>
        <v>——</v>
      </c>
      <c r="O56" s="2418" t="s">
        <v>2373</v>
      </c>
      <c r="P56" s="2419" t="s">
        <v>2374</v>
      </c>
      <c r="Q56" s="2420" t="s">
        <v>2375</v>
      </c>
      <c r="R56" s="2419" t="s">
        <v>2376</v>
      </c>
    </row>
    <row r="57" spans="1:18" s="2058" customFormat="1" ht="28.5" customHeight="1" thickBot="1">
      <c r="A57" s="796" t="s">
        <v>1749</v>
      </c>
      <c r="B57" s="797" t="s">
        <v>652</v>
      </c>
      <c r="C57" s="798">
        <f ca="1">ROUND(C58+C63+C64+C65,0)</f>
        <v>73</v>
      </c>
      <c r="D57" s="26" t="s">
        <v>1751</v>
      </c>
      <c r="E57" s="2664"/>
      <c r="F57" s="56"/>
      <c r="I57" s="2403" t="s">
        <v>2356</v>
      </c>
      <c r="J57" s="2405" t="str">
        <f ca="1">IF(OR(M47="住宅",J51&lt;L48,J56="是"),"——",J51-L48)</f>
        <v>——</v>
      </c>
      <c r="K57" s="2382" t="s">
        <v>2361</v>
      </c>
      <c r="L57" s="2391" t="str">
        <f ca="1">IF(L48&lt;J51,"——",IF(L55="比较法",L49,IF(L55="基准地价",L50,L51)))</f>
        <v>——</v>
      </c>
      <c r="O57" s="2421" t="s">
        <v>2377</v>
      </c>
      <c r="P57" s="2422" t="s">
        <v>2407</v>
      </c>
      <c r="Q57" s="2423">
        <f ca="1">C40+J29</f>
        <v>17452</v>
      </c>
      <c r="R57" s="2422" t="s">
        <v>2378</v>
      </c>
    </row>
    <row r="58" spans="1:18" s="2058" customFormat="1" ht="28.5" customHeight="1" thickBot="1">
      <c r="A58" s="1648" t="s">
        <v>1825</v>
      </c>
      <c r="B58" s="783" t="s">
        <v>657</v>
      </c>
      <c r="C58" s="53">
        <f ca="1">ROUND(IF(项目基本情况!B11="自然人",C47*F58,C59+C60+C61),1)</f>
        <v>27.1</v>
      </c>
      <c r="D58" s="2662" t="s">
        <v>658</v>
      </c>
      <c r="E58" s="2663" t="s">
        <v>691</v>
      </c>
      <c r="F58" s="809" t="str">
        <f ca="1">IF(项目基本情况!B11="企业","",IF(INDIRECT("'数据-取费表'!c"&amp;$G$1)="住宅",5%,IF(F48*F49*F50/12/(1+'数据-取费表'!C42)&gt;20000,12%,7%)))</f>
        <v/>
      </c>
      <c r="I58" s="2403" t="s">
        <v>2357</v>
      </c>
      <c r="J58" s="3127" t="e">
        <f ca="1">IF(J55&lt;0.4,0.4,J55)</f>
        <v>#VALUE!</v>
      </c>
      <c r="K58" s="2382" t="s">
        <v>2362</v>
      </c>
      <c r="L58" s="2391" t="e">
        <f ca="1">ROUND(POWER(1+L52,L47-L48)*(POWER(1+L52,L48)-1)/(POWER(1+L52,L47)-1),4)</f>
        <v>#DIV/0!</v>
      </c>
      <c r="O58" s="2421" t="s">
        <v>2379</v>
      </c>
      <c r="P58" s="2422" t="s">
        <v>2410</v>
      </c>
      <c r="Q58" s="2423">
        <f ca="1">L60</f>
        <v>0</v>
      </c>
      <c r="R58" s="2426" t="s">
        <v>2412</v>
      </c>
    </row>
    <row r="59" spans="1:18" s="2058" customFormat="1" ht="28.5" customHeight="1" thickBot="1">
      <c r="A59" s="1647" t="s">
        <v>1832</v>
      </c>
      <c r="B59" s="783" t="s">
        <v>661</v>
      </c>
      <c r="C59" s="53">
        <f ca="1">ROUND(C47*F59/1.05,1)</f>
        <v>0</v>
      </c>
      <c r="D59" s="2663" t="s">
        <v>1757</v>
      </c>
      <c r="E59" s="783" t="s">
        <v>1748</v>
      </c>
      <c r="F59" s="808">
        <f t="shared" ref="F59:F65" si="0">F32</f>
        <v>5.6000000000000001E-2</v>
      </c>
      <c r="I59" s="2403" t="s">
        <v>2358</v>
      </c>
      <c r="J59" s="2405"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2381</v>
      </c>
      <c r="P59" s="2422" t="s">
        <v>2411</v>
      </c>
      <c r="Q59" s="2423">
        <f>IF(L55="比较法",L49,IF(L55="基准地价",L50,0))</f>
        <v>0</v>
      </c>
      <c r="R59" s="2422" t="s">
        <v>2378</v>
      </c>
    </row>
    <row r="60" spans="1:18" s="2058" customFormat="1" ht="18" customHeight="1" thickBot="1">
      <c r="A60" s="1647" t="s">
        <v>1833</v>
      </c>
      <c r="B60" s="783" t="s">
        <v>1759</v>
      </c>
      <c r="C60" s="53">
        <f ca="1">IF(D60="按租金收入计税",ROUND(C47*F60,1),IF(D60="按房产原值计税",ROUND(C56*F60*0.7,1),INDIRECT("'数据-取费表'!Aj"&amp;$G$1)))</f>
        <v>23.5</v>
      </c>
      <c r="D60" s="2663" t="str">
        <f>D33</f>
        <v>按房产原值计税</v>
      </c>
      <c r="E60" s="783" t="s">
        <v>1748</v>
      </c>
      <c r="F60" s="808">
        <f t="shared" si="0"/>
        <v>1.2E-2</v>
      </c>
      <c r="I60" s="2404" t="s">
        <v>2359</v>
      </c>
      <c r="J60" s="2406" t="str">
        <f ca="1">IF(OR(M47="住宅",J51&lt;L48,J56="是"),"0",ROUND(J59/(1+J52)^J53,0))</f>
        <v>0</v>
      </c>
      <c r="K60" s="2407" t="s">
        <v>2364</v>
      </c>
      <c r="L60" s="2406">
        <f ca="1">IF(OR(M47="住宅",L48&lt;J51),0,ROUND(L57*(L58/L59-1),0))</f>
        <v>0</v>
      </c>
      <c r="O60" s="2424" t="s">
        <v>2382</v>
      </c>
      <c r="P60" s="2422" t="s">
        <v>2391</v>
      </c>
      <c r="Q60" s="2425">
        <f>L52</f>
        <v>0</v>
      </c>
      <c r="R60" s="2426"/>
    </row>
    <row r="61" spans="1:18" s="2058" customFormat="1" ht="18" customHeight="1" thickBot="1">
      <c r="A61" s="1650" t="s">
        <v>1834</v>
      </c>
      <c r="B61" s="340" t="s">
        <v>669</v>
      </c>
      <c r="C61" s="54">
        <f ca="1">ROUND(F61*F62/10000,1)</f>
        <v>3.6</v>
      </c>
      <c r="D61" s="813" t="s">
        <v>670</v>
      </c>
      <c r="E61" s="783" t="s">
        <v>671</v>
      </c>
      <c r="F61" s="639">
        <f t="shared" si="0"/>
        <v>16</v>
      </c>
      <c r="K61" s="2085"/>
      <c r="O61" s="2424" t="s">
        <v>2384</v>
      </c>
      <c r="P61" s="2422" t="s">
        <v>2392</v>
      </c>
      <c r="Q61" s="2423" t="e">
        <f ca="1">L58</f>
        <v>#DIV/0!</v>
      </c>
      <c r="R61" s="2426" t="s">
        <v>2393</v>
      </c>
    </row>
    <row r="62" spans="1:18" s="2058" customFormat="1" ht="15.75" thickBot="1">
      <c r="A62" s="814"/>
      <c r="B62" s="792"/>
      <c r="C62" s="69"/>
      <c r="D62" s="815"/>
      <c r="E62" s="783" t="s">
        <v>675</v>
      </c>
      <c r="F62" s="784">
        <f t="shared" ca="1" si="0"/>
        <v>2271.23</v>
      </c>
      <c r="I62" s="2408" t="s">
        <v>2365</v>
      </c>
      <c r="J62" s="2409" t="s">
        <v>2366</v>
      </c>
      <c r="K62" s="2409" t="s">
        <v>2367</v>
      </c>
      <c r="L62" s="2409" t="s">
        <v>2348</v>
      </c>
      <c r="M62" s="3128" t="s">
        <v>2932</v>
      </c>
      <c r="O62" s="2424" t="s">
        <v>2386</v>
      </c>
      <c r="P62" s="2422" t="str">
        <f>K59</f>
        <v>建设期及建筑物耐用年限下的土地年期修正系数Kn</v>
      </c>
      <c r="Q62" s="2423" t="e">
        <f ca="1">L59</f>
        <v>#DIV/0!</v>
      </c>
      <c r="R62" s="2426" t="s">
        <v>2395</v>
      </c>
    </row>
    <row r="63" spans="1:18" s="2058" customFormat="1" ht="15.75" thickBot="1">
      <c r="A63" s="1648" t="s">
        <v>1890</v>
      </c>
      <c r="B63" s="783" t="s">
        <v>677</v>
      </c>
      <c r="C63" s="53">
        <f ca="1">ROUND(C56*F63,1)</f>
        <v>42</v>
      </c>
      <c r="D63" s="2663" t="s">
        <v>1804</v>
      </c>
      <c r="E63" s="783" t="s">
        <v>1748</v>
      </c>
      <c r="F63" s="816">
        <f t="shared" ca="1" si="0"/>
        <v>1.4999999999999999E-2</v>
      </c>
      <c r="I63" s="2408" t="s">
        <v>2368</v>
      </c>
      <c r="J63" s="2409">
        <v>70</v>
      </c>
      <c r="K63" s="2409">
        <v>50</v>
      </c>
      <c r="L63" s="2409">
        <v>80</v>
      </c>
      <c r="M63" s="3129">
        <v>0.02</v>
      </c>
      <c r="O63" s="2421" t="s">
        <v>2389</v>
      </c>
      <c r="P63" s="2422" t="s">
        <v>2406</v>
      </c>
      <c r="Q63" s="2423">
        <f ca="1">Q57+Q58</f>
        <v>17452</v>
      </c>
      <c r="R63" s="2426" t="s">
        <v>2390</v>
      </c>
    </row>
    <row r="64" spans="1:18" s="2058" customFormat="1" ht="16.5" thickBot="1">
      <c r="A64" s="1648" t="s">
        <v>1891</v>
      </c>
      <c r="B64" s="783" t="s">
        <v>680</v>
      </c>
      <c r="C64" s="53">
        <f ca="1">ROUND(C55*F64,1)</f>
        <v>4.2</v>
      </c>
      <c r="D64" s="2663" t="s">
        <v>681</v>
      </c>
      <c r="E64" s="783" t="s">
        <v>1748</v>
      </c>
      <c r="F64" s="817">
        <f t="shared" ca="1" si="0"/>
        <v>1.5E-3</v>
      </c>
      <c r="I64" s="2408" t="s">
        <v>2369</v>
      </c>
      <c r="J64" s="2409">
        <v>50</v>
      </c>
      <c r="K64" s="2409">
        <v>35</v>
      </c>
      <c r="L64" s="2409">
        <v>60</v>
      </c>
      <c r="M64" s="3130">
        <v>0</v>
      </c>
      <c r="O64" s="2427" t="s">
        <v>2413</v>
      </c>
      <c r="P64" s="1591"/>
      <c r="Q64" s="1603"/>
      <c r="R64" s="1591"/>
    </row>
    <row r="65" spans="1:18" s="2058" customFormat="1" ht="15.75" thickBot="1">
      <c r="A65" s="1648" t="s">
        <v>1892</v>
      </c>
      <c r="B65" s="783" t="s">
        <v>667</v>
      </c>
      <c r="C65" s="53">
        <f ca="1">ROUND(C47*F65,1)</f>
        <v>0</v>
      </c>
      <c r="D65" s="2663" t="s">
        <v>684</v>
      </c>
      <c r="E65" s="783" t="s">
        <v>1748</v>
      </c>
      <c r="F65" s="793">
        <f t="shared" ca="1" si="0"/>
        <v>0.01</v>
      </c>
      <c r="I65" s="2408" t="s">
        <v>2370</v>
      </c>
      <c r="J65" s="2409">
        <v>40</v>
      </c>
      <c r="K65" s="2409">
        <v>30</v>
      </c>
      <c r="L65" s="2409">
        <v>50</v>
      </c>
      <c r="M65" s="3129">
        <v>0.02</v>
      </c>
      <c r="O65" s="2418" t="s">
        <v>2373</v>
      </c>
      <c r="P65" s="2419" t="s">
        <v>2374</v>
      </c>
      <c r="Q65" s="2420" t="s">
        <v>2375</v>
      </c>
      <c r="R65" s="2419" t="s">
        <v>2376</v>
      </c>
    </row>
    <row r="66" spans="1:18" s="2058" customFormat="1" ht="24.75" thickBot="1">
      <c r="A66" s="796" t="s">
        <v>1777</v>
      </c>
      <c r="B66" s="3035" t="s">
        <v>2821</v>
      </c>
      <c r="C66" s="798">
        <f ca="1">C47-C57</f>
        <v>-73</v>
      </c>
      <c r="D66" s="2662" t="s">
        <v>701</v>
      </c>
      <c r="E66" s="2661"/>
      <c r="F66" s="819"/>
      <c r="K66" s="2085"/>
      <c r="O66" s="2421" t="s">
        <v>2377</v>
      </c>
      <c r="P66" s="2422" t="s">
        <v>2407</v>
      </c>
      <c r="Q66" s="2423">
        <f ca="1">C40+J29</f>
        <v>17452</v>
      </c>
      <c r="R66" s="2422" t="s">
        <v>2378</v>
      </c>
    </row>
    <row r="67" spans="1:18" s="2058" customFormat="1" ht="20.25" thickBot="1">
      <c r="A67" s="780" t="s">
        <v>1781</v>
      </c>
      <c r="B67" s="2231" t="s">
        <v>2301</v>
      </c>
      <c r="C67" s="782">
        <f ca="1">ROUND(C66*(1-((1+F69)/(1+F67))^F68)/(F67-F69),0)</f>
        <v>-1033</v>
      </c>
      <c r="D67" s="813" t="s">
        <v>705</v>
      </c>
      <c r="E67" s="783" t="s">
        <v>706</v>
      </c>
      <c r="F67" s="793">
        <f ca="1">F40</f>
        <v>0.06</v>
      </c>
      <c r="K67" s="2085"/>
      <c r="O67" s="2421" t="s">
        <v>2379</v>
      </c>
      <c r="P67" s="2422" t="s">
        <v>2410</v>
      </c>
      <c r="Q67" s="2423">
        <f ca="1">L60</f>
        <v>0</v>
      </c>
      <c r="R67" s="2426" t="s">
        <v>2412</v>
      </c>
    </row>
    <row r="68" spans="1:18" ht="21.75" thickBot="1">
      <c r="A68" s="785"/>
      <c r="B68" s="786"/>
      <c r="C68" s="787"/>
      <c r="D68" s="820" t="s">
        <v>1809</v>
      </c>
      <c r="E68" s="783" t="s">
        <v>1785</v>
      </c>
      <c r="F68" s="821">
        <f ca="1">F41</f>
        <v>32.44</v>
      </c>
      <c r="O68" s="2424" t="s">
        <v>2381</v>
      </c>
      <c r="P68" s="2422" t="s">
        <v>2411</v>
      </c>
      <c r="Q68" s="2428">
        <f ca="1">L51</f>
        <v>10190</v>
      </c>
      <c r="R68" s="2429" t="s">
        <v>2414</v>
      </c>
    </row>
    <row r="69" spans="1:18" ht="20.25" thickBot="1">
      <c r="A69" s="789"/>
      <c r="B69" s="790"/>
      <c r="C69" s="791"/>
      <c r="D69" s="815"/>
      <c r="E69" s="783" t="s">
        <v>711</v>
      </c>
      <c r="F69" s="2370"/>
      <c r="O69" s="2424" t="s">
        <v>2382</v>
      </c>
      <c r="P69" s="2430" t="s">
        <v>2396</v>
      </c>
      <c r="Q69" s="2423">
        <f ca="1">ROUND(Q70-Q71*Q72,0)</f>
        <v>626</v>
      </c>
      <c r="R69" s="2426"/>
    </row>
    <row r="70" spans="1:18" ht="15.75" thickBot="1">
      <c r="A70" s="822" t="s">
        <v>1788</v>
      </c>
      <c r="B70" s="823" t="s">
        <v>1811</v>
      </c>
      <c r="C70" s="824">
        <f ca="1">ROUND(C67*10000/F70,0)</f>
        <v>-1527</v>
      </c>
      <c r="D70" s="825" t="s">
        <v>1812</v>
      </c>
      <c r="E70" s="826" t="s">
        <v>1813</v>
      </c>
      <c r="F70" s="827">
        <f ca="1">F43</f>
        <v>6766</v>
      </c>
      <c r="O70" s="2424" t="s">
        <v>2397</v>
      </c>
      <c r="P70" s="2430" t="s">
        <v>2398</v>
      </c>
      <c r="Q70" s="2423">
        <f ca="1">C39</f>
        <v>864</v>
      </c>
      <c r="R70" s="2422" t="s">
        <v>2378</v>
      </c>
    </row>
    <row r="71" spans="1:18" ht="15.75" thickBot="1">
      <c r="O71" s="2424" t="s">
        <v>2399</v>
      </c>
      <c r="P71" s="2430" t="s">
        <v>2400</v>
      </c>
      <c r="Q71" s="2423">
        <f ca="1">C13</f>
        <v>2798</v>
      </c>
      <c r="R71" s="2422" t="s">
        <v>2378</v>
      </c>
    </row>
    <row r="72" spans="1:18" ht="15.75" thickBot="1">
      <c r="O72" s="2424" t="s">
        <v>2401</v>
      </c>
      <c r="P72" s="2430" t="s">
        <v>2402</v>
      </c>
      <c r="Q72" s="2425">
        <f ca="1">J36</f>
        <v>8.5000000000000006E-2</v>
      </c>
      <c r="R72" s="2426"/>
    </row>
    <row r="73" spans="1:18" ht="15.75" thickBot="1">
      <c r="O73" s="2424" t="s">
        <v>2384</v>
      </c>
      <c r="P73" s="2422" t="s">
        <v>2391</v>
      </c>
      <c r="Q73" s="2425">
        <f>L52</f>
        <v>0</v>
      </c>
      <c r="R73" s="2426"/>
    </row>
    <row r="74" spans="1:18" ht="20.25" thickBot="1">
      <c r="O74" s="2424" t="s">
        <v>2386</v>
      </c>
      <c r="P74" s="2422" t="s">
        <v>2392</v>
      </c>
      <c r="Q74" s="2423" t="e">
        <f ca="1">L58</f>
        <v>#DIV/0!</v>
      </c>
      <c r="R74" s="2426" t="s">
        <v>2393</v>
      </c>
    </row>
    <row r="75" spans="1:18" ht="15.75" thickBot="1">
      <c r="O75" s="2424" t="s">
        <v>2415</v>
      </c>
      <c r="P75" s="2422" t="str">
        <f>K59</f>
        <v>建设期及建筑物耐用年限下的土地年期修正系数Kn</v>
      </c>
      <c r="Q75" s="2423" t="e">
        <f ca="1">L59</f>
        <v>#DIV/0!</v>
      </c>
      <c r="R75" s="2426" t="s">
        <v>2395</v>
      </c>
    </row>
    <row r="76" spans="1:18" ht="15.75" thickBot="1">
      <c r="O76" s="2421" t="s">
        <v>2389</v>
      </c>
      <c r="P76" s="2422" t="s">
        <v>2406</v>
      </c>
      <c r="Q76" s="2423">
        <f ca="1">Q66+Q67</f>
        <v>17452</v>
      </c>
      <c r="R76" s="242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6" sqref="E36:G36"/>
    </sheetView>
  </sheetViews>
  <sheetFormatPr defaultRowHeight="13.5"/>
  <cols>
    <col min="1" max="1" width="10.5" customWidth="1"/>
    <col min="2" max="2" width="12.875" customWidth="1"/>
    <col min="3" max="3" width="8.75" customWidth="1"/>
  </cols>
  <sheetData>
    <row r="1" spans="1:9" ht="14.25">
      <c r="A1" s="3834" t="s">
        <v>2471</v>
      </c>
      <c r="B1" s="3835"/>
      <c r="C1" s="3836"/>
      <c r="D1" s="3837">
        <f>SUM(I10,I15,I20,I21,I23)</f>
        <v>0</v>
      </c>
      <c r="E1" s="3837"/>
      <c r="F1" s="3837"/>
      <c r="G1" s="3837"/>
      <c r="H1" s="3837"/>
      <c r="I1" s="3838"/>
    </row>
    <row r="2" spans="1:9">
      <c r="A2" s="3824" t="s">
        <v>2472</v>
      </c>
      <c r="B2" s="3825" t="s">
        <v>2473</v>
      </c>
      <c r="C2" s="3825"/>
      <c r="D2" s="2530" t="s">
        <v>2474</v>
      </c>
      <c r="E2" s="2530" t="s">
        <v>2475</v>
      </c>
      <c r="F2" s="2530" t="s">
        <v>2476</v>
      </c>
      <c r="G2" s="2530" t="s">
        <v>2477</v>
      </c>
      <c r="H2" s="2530" t="s">
        <v>2478</v>
      </c>
      <c r="I2" s="2531" t="s">
        <v>2479</v>
      </c>
    </row>
    <row r="3" spans="1:9">
      <c r="A3" s="3824"/>
      <c r="B3" s="3825" t="s">
        <v>2480</v>
      </c>
      <c r="C3" s="3825"/>
      <c r="D3" s="2532"/>
      <c r="E3" s="2530"/>
      <c r="F3" s="2533"/>
      <c r="G3" s="2533"/>
      <c r="H3" s="2534"/>
      <c r="I3" s="2535">
        <f>ROUND(D3*E3*F3*G3*H3/10000,0)</f>
        <v>0</v>
      </c>
    </row>
    <row r="4" spans="1:9">
      <c r="A4" s="3824"/>
      <c r="B4" s="3825" t="s">
        <v>2481</v>
      </c>
      <c r="C4" s="3825"/>
      <c r="D4" s="2532"/>
      <c r="E4" s="2530"/>
      <c r="F4" s="2533"/>
      <c r="G4" s="2533"/>
      <c r="H4" s="2534"/>
      <c r="I4" s="2535">
        <f t="shared" ref="I4:I9" si="0">ROUND(D4*E4*F4*G4*H4/10000,0)</f>
        <v>0</v>
      </c>
    </row>
    <row r="5" spans="1:9">
      <c r="A5" s="3824"/>
      <c r="B5" s="3825" t="s">
        <v>2482</v>
      </c>
      <c r="C5" s="3825"/>
      <c r="D5" s="2532"/>
      <c r="E5" s="2530"/>
      <c r="F5" s="2533"/>
      <c r="G5" s="2533"/>
      <c r="H5" s="2534"/>
      <c r="I5" s="2535">
        <f t="shared" si="0"/>
        <v>0</v>
      </c>
    </row>
    <row r="6" spans="1:9">
      <c r="A6" s="3824"/>
      <c r="B6" s="3825" t="s">
        <v>2483</v>
      </c>
      <c r="C6" s="3825"/>
      <c r="D6" s="2532"/>
      <c r="E6" s="2530"/>
      <c r="F6" s="2533"/>
      <c r="G6" s="2533"/>
      <c r="H6" s="2534"/>
      <c r="I6" s="2535">
        <f t="shared" si="0"/>
        <v>0</v>
      </c>
    </row>
    <row r="7" spans="1:9">
      <c r="A7" s="3824"/>
      <c r="B7" s="3825" t="s">
        <v>2484</v>
      </c>
      <c r="C7" s="3825"/>
      <c r="D7" s="2532"/>
      <c r="E7" s="2530"/>
      <c r="F7" s="2533"/>
      <c r="G7" s="2533"/>
      <c r="H7" s="2534"/>
      <c r="I7" s="2535">
        <f t="shared" si="0"/>
        <v>0</v>
      </c>
    </row>
    <row r="8" spans="1:9">
      <c r="A8" s="3824"/>
      <c r="B8" s="3825" t="s">
        <v>2485</v>
      </c>
      <c r="C8" s="3825"/>
      <c r="D8" s="2532"/>
      <c r="E8" s="2530"/>
      <c r="F8" s="2533"/>
      <c r="G8" s="2533"/>
      <c r="H8" s="2534"/>
      <c r="I8" s="2535">
        <f t="shared" si="0"/>
        <v>0</v>
      </c>
    </row>
    <row r="9" spans="1:9">
      <c r="A9" s="3824"/>
      <c r="B9" s="3825" t="s">
        <v>2486</v>
      </c>
      <c r="C9" s="3825"/>
      <c r="D9" s="2532"/>
      <c r="E9" s="2530"/>
      <c r="F9" s="2533"/>
      <c r="G9" s="2533"/>
      <c r="H9" s="2534"/>
      <c r="I9" s="2535">
        <f t="shared" si="0"/>
        <v>0</v>
      </c>
    </row>
    <row r="10" spans="1:9">
      <c r="A10" s="3824"/>
      <c r="B10" s="3826" t="s">
        <v>2487</v>
      </c>
      <c r="C10" s="3826"/>
      <c r="D10" s="2536">
        <v>527</v>
      </c>
      <c r="E10" s="2536" t="e">
        <f>ROUND(D1*10000/D10/H9,0)</f>
        <v>#DIV/0!</v>
      </c>
      <c r="F10" s="2537"/>
      <c r="G10" s="2537"/>
      <c r="H10" s="2538"/>
      <c r="I10" s="2539">
        <f>SUM(I3:I9)</f>
        <v>0</v>
      </c>
    </row>
    <row r="11" spans="1:9" ht="14.25">
      <c r="A11" s="3824" t="s">
        <v>2488</v>
      </c>
      <c r="B11" s="3825" t="s">
        <v>2489</v>
      </c>
      <c r="C11" s="3825"/>
      <c r="D11" s="2532" t="s">
        <v>2490</v>
      </c>
      <c r="E11" s="2532" t="s">
        <v>2491</v>
      </c>
      <c r="F11" s="2533" t="s">
        <v>2492</v>
      </c>
      <c r="G11" s="2533" t="s">
        <v>2493</v>
      </c>
      <c r="H11" s="2540" t="s">
        <v>2494</v>
      </c>
      <c r="I11" s="2531" t="s">
        <v>2495</v>
      </c>
    </row>
    <row r="12" spans="1:9">
      <c r="A12" s="3824"/>
      <c r="B12" s="3825" t="s">
        <v>2496</v>
      </c>
      <c r="C12" s="3825"/>
      <c r="D12" s="2532"/>
      <c r="E12" s="2532"/>
      <c r="F12" s="2533"/>
      <c r="G12" s="2534"/>
      <c r="H12" s="2541"/>
      <c r="I12" s="2531">
        <f>ROUND(D12*E12*F12*G12/10000,0)</f>
        <v>0</v>
      </c>
    </row>
    <row r="13" spans="1:9">
      <c r="A13" s="3824"/>
      <c r="B13" s="3825" t="s">
        <v>2497</v>
      </c>
      <c r="C13" s="3825"/>
      <c r="D13" s="2532"/>
      <c r="E13" s="2532"/>
      <c r="F13" s="2533"/>
      <c r="G13" s="2534"/>
      <c r="H13" s="2541"/>
      <c r="I13" s="2531">
        <f>ROUND(D13*E13*F13*G13/10000,0)</f>
        <v>0</v>
      </c>
    </row>
    <row r="14" spans="1:9">
      <c r="A14" s="3824"/>
      <c r="B14" s="3825" t="s">
        <v>2498</v>
      </c>
      <c r="C14" s="3825"/>
      <c r="D14" s="2532"/>
      <c r="E14" s="2532"/>
      <c r="F14" s="2533"/>
      <c r="G14" s="2534"/>
      <c r="H14" s="2541"/>
      <c r="I14" s="2531">
        <f>ROUND(D14*E14*F14*G14/10000,0)</f>
        <v>0</v>
      </c>
    </row>
    <row r="15" spans="1:9">
      <c r="A15" s="3824"/>
      <c r="B15" s="3826" t="s">
        <v>2487</v>
      </c>
      <c r="C15" s="3826"/>
      <c r="D15" s="2536"/>
      <c r="E15" s="2536">
        <f>SUM(E12:E14)</f>
        <v>0</v>
      </c>
      <c r="F15" s="2537"/>
      <c r="G15" s="2534"/>
      <c r="H15" s="2541"/>
      <c r="I15" s="2542">
        <f>SUM(I12:I14)</f>
        <v>0</v>
      </c>
    </row>
    <row r="16" spans="1:9" ht="24">
      <c r="A16" s="3824" t="s">
        <v>2499</v>
      </c>
      <c r="B16" s="3825" t="s">
        <v>2500</v>
      </c>
      <c r="C16" s="3825"/>
      <c r="D16" s="2532" t="s">
        <v>2501</v>
      </c>
      <c r="E16" s="2543" t="s">
        <v>2502</v>
      </c>
      <c r="F16" s="2533" t="s">
        <v>2503</v>
      </c>
      <c r="G16" s="2534" t="s">
        <v>2493</v>
      </c>
      <c r="H16" s="2540" t="s">
        <v>2494</v>
      </c>
      <c r="I16" s="2531" t="s">
        <v>2495</v>
      </c>
    </row>
    <row r="17" spans="1:9" ht="14.25">
      <c r="A17" s="3824"/>
      <c r="B17" s="3825" t="s">
        <v>2504</v>
      </c>
      <c r="C17" s="3825"/>
      <c r="D17" s="2532"/>
      <c r="E17" s="2532"/>
      <c r="F17" s="2533"/>
      <c r="G17" s="2534"/>
      <c r="H17" s="2544"/>
      <c r="I17" s="2545">
        <f>ROUND(D17*E17*F17*G17/10000,0)</f>
        <v>0</v>
      </c>
    </row>
    <row r="18" spans="1:9" ht="14.25">
      <c r="A18" s="3824"/>
      <c r="B18" s="3825" t="s">
        <v>2505</v>
      </c>
      <c r="C18" s="3825"/>
      <c r="D18" s="2532"/>
      <c r="E18" s="2532"/>
      <c r="F18" s="2533"/>
      <c r="G18" s="2534"/>
      <c r="H18" s="2544"/>
      <c r="I18" s="2545">
        <f>ROUND(D18*E18*F18*G18/10000,0)</f>
        <v>0</v>
      </c>
    </row>
    <row r="19" spans="1:9" ht="14.25">
      <c r="A19" s="3824"/>
      <c r="B19" s="3825" t="s">
        <v>2506</v>
      </c>
      <c r="C19" s="3825"/>
      <c r="D19" s="2532"/>
      <c r="E19" s="2532"/>
      <c r="F19" s="2533"/>
      <c r="G19" s="2534"/>
      <c r="H19" s="2544"/>
      <c r="I19" s="2545">
        <f>ROUND(D19*E19*F19*G19/10000,0)</f>
        <v>0</v>
      </c>
    </row>
    <row r="20" spans="1:9">
      <c r="A20" s="3824"/>
      <c r="B20" s="3826" t="s">
        <v>2487</v>
      </c>
      <c r="C20" s="3826"/>
      <c r="D20" s="2536">
        <f>SUM(D17:D19)</f>
        <v>0</v>
      </c>
      <c r="E20" s="2536"/>
      <c r="F20" s="2537"/>
      <c r="G20" s="2534"/>
      <c r="H20" s="2541"/>
      <c r="I20" s="2542">
        <f>SUM(I17:I19)</f>
        <v>0</v>
      </c>
    </row>
    <row r="21" spans="1:9">
      <c r="A21" s="3824" t="s">
        <v>2507</v>
      </c>
      <c r="B21" s="3827"/>
      <c r="C21" s="3827"/>
      <c r="D21" s="3827"/>
      <c r="E21" s="3827"/>
      <c r="F21" s="3827"/>
      <c r="G21" s="3827"/>
      <c r="H21" s="2546">
        <v>0.1</v>
      </c>
      <c r="I21" s="2539">
        <f>ROUND(I10*H21,0)</f>
        <v>0</v>
      </c>
    </row>
    <row r="22" spans="1:9" ht="14.25">
      <c r="A22" s="3828" t="s">
        <v>2508</v>
      </c>
      <c r="B22" s="3829"/>
      <c r="C22" s="3830"/>
      <c r="D22" s="2547" t="s">
        <v>2509</v>
      </c>
      <c r="E22" s="2547" t="s">
        <v>2510</v>
      </c>
      <c r="F22" s="2548" t="s">
        <v>2511</v>
      </c>
      <c r="G22" s="2548" t="s">
        <v>2512</v>
      </c>
      <c r="H22" s="2540" t="s">
        <v>2513</v>
      </c>
      <c r="I22" s="2531" t="s">
        <v>2514</v>
      </c>
    </row>
    <row r="23" spans="1:9" ht="14.25" thickBot="1">
      <c r="A23" s="3831"/>
      <c r="B23" s="3832"/>
      <c r="C23" s="3833"/>
      <c r="D23" s="2549"/>
      <c r="E23" s="2549"/>
      <c r="F23" s="2549"/>
      <c r="G23" s="2550"/>
      <c r="H23" s="2551"/>
      <c r="I23" s="2552">
        <f>ROUND(E23*D23*F23*(1-G23)/10000,0)</f>
        <v>0</v>
      </c>
    </row>
    <row r="26" spans="1:9">
      <c r="A26" s="2553" t="s">
        <v>2515</v>
      </c>
      <c r="B26" s="2553"/>
      <c r="C26" s="2553"/>
      <c r="D26" s="2553"/>
      <c r="E26" s="3821">
        <f>C27-C30-C31-C32</f>
        <v>0</v>
      </c>
      <c r="F26" s="3821"/>
      <c r="G26" s="3821"/>
      <c r="H26" s="3068" t="s">
        <v>2842</v>
      </c>
    </row>
    <row r="27" spans="1:9">
      <c r="A27" s="2554">
        <v>1</v>
      </c>
      <c r="B27" s="2555" t="s">
        <v>2516</v>
      </c>
      <c r="C27" s="2555"/>
      <c r="D27" s="2555"/>
      <c r="E27" s="3822"/>
      <c r="F27" s="3822"/>
      <c r="G27" s="3822"/>
    </row>
    <row r="28" spans="1:9">
      <c r="A28" s="2556" t="s">
        <v>2517</v>
      </c>
      <c r="B28" s="2555" t="s">
        <v>2518</v>
      </c>
      <c r="C28" s="2555"/>
      <c r="D28" s="2555"/>
      <c r="E28" s="3822"/>
      <c r="F28" s="3822"/>
      <c r="G28" s="3822"/>
    </row>
    <row r="29" spans="1:9">
      <c r="A29" s="2556" t="s">
        <v>2519</v>
      </c>
      <c r="B29" s="2555" t="s">
        <v>2459</v>
      </c>
      <c r="C29" s="2555"/>
      <c r="D29" s="2555"/>
      <c r="E29" s="2555" t="s">
        <v>2520</v>
      </c>
      <c r="F29" s="2555"/>
      <c r="G29" s="2555"/>
    </row>
    <row r="30" spans="1:9">
      <c r="A30" s="2554">
        <v>2</v>
      </c>
      <c r="B30" s="2555" t="s">
        <v>2521</v>
      </c>
      <c r="C30" s="2555">
        <f>C27*D30</f>
        <v>0</v>
      </c>
      <c r="D30" s="2557">
        <v>0.2</v>
      </c>
      <c r="E30" s="2555" t="s">
        <v>2522</v>
      </c>
      <c r="F30" s="2555"/>
      <c r="G30" s="2555"/>
    </row>
    <row r="31" spans="1:9">
      <c r="A31" s="2554">
        <v>3</v>
      </c>
      <c r="B31" s="2555" t="s">
        <v>2523</v>
      </c>
      <c r="C31" s="2555">
        <f>C25*D31</f>
        <v>0</v>
      </c>
      <c r="D31" s="2557">
        <v>0.15</v>
      </c>
      <c r="E31" s="2555" t="s">
        <v>2524</v>
      </c>
      <c r="F31" s="2555"/>
      <c r="G31" s="2555"/>
    </row>
    <row r="32" spans="1:9">
      <c r="A32" s="2554">
        <v>4</v>
      </c>
      <c r="B32" s="2555" t="s">
        <v>2525</v>
      </c>
      <c r="C32" s="2555">
        <f>C27*D32</f>
        <v>0</v>
      </c>
      <c r="D32" s="2557">
        <v>0.05</v>
      </c>
      <c r="E32" s="3823"/>
      <c r="F32" s="3823"/>
      <c r="G32" s="3823"/>
    </row>
    <row r="33" spans="1:7" hidden="1">
      <c r="A33" s="3818" t="s">
        <v>2526</v>
      </c>
      <c r="B33" s="3819"/>
      <c r="C33" s="3819"/>
      <c r="D33" s="3820"/>
      <c r="E33" s="3821"/>
      <c r="F33" s="3821"/>
      <c r="G33" s="3821"/>
    </row>
    <row r="34" spans="1:7" hidden="1">
      <c r="A34" s="2558">
        <v>1</v>
      </c>
      <c r="B34" s="2555" t="s">
        <v>2527</v>
      </c>
      <c r="C34" s="2555"/>
      <c r="D34" s="2555"/>
      <c r="E34" s="3822"/>
      <c r="F34" s="3822"/>
      <c r="G34" s="3822"/>
    </row>
    <row r="35" spans="1:7" hidden="1">
      <c r="A35" s="2558">
        <v>2</v>
      </c>
      <c r="B35" s="2555" t="s">
        <v>2528</v>
      </c>
      <c r="C35" s="2555"/>
      <c r="D35" s="2555"/>
      <c r="E35" s="3822"/>
      <c r="F35" s="3822"/>
      <c r="G35" s="3822"/>
    </row>
    <row r="36" spans="1:7" hidden="1">
      <c r="A36" s="2558">
        <v>3</v>
      </c>
      <c r="B36" s="2555" t="s">
        <v>2529</v>
      </c>
      <c r="C36" s="2555"/>
      <c r="D36" s="2555"/>
      <c r="E36" s="3822"/>
      <c r="F36" s="3822"/>
      <c r="G36" s="3822"/>
    </row>
    <row r="37" spans="1:7" hidden="1">
      <c r="A37" s="2558">
        <v>4</v>
      </c>
      <c r="B37" s="2555" t="s">
        <v>2530</v>
      </c>
      <c r="C37" s="2555"/>
      <c r="D37" s="2555"/>
      <c r="E37" s="3822"/>
      <c r="F37" s="3822"/>
      <c r="G37" s="3822"/>
    </row>
    <row r="38" spans="1:7" hidden="1">
      <c r="A38" s="3818" t="s">
        <v>2531</v>
      </c>
      <c r="B38" s="3819"/>
      <c r="C38" s="3819"/>
      <c r="D38" s="3820"/>
      <c r="E38" s="3821"/>
      <c r="F38" s="3821"/>
      <c r="G38" s="38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E36" sqref="E36: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604</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8" t="s">
        <v>1686</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605</v>
      </c>
      <c r="C6" s="744" t="s">
        <v>606</v>
      </c>
      <c r="D6" s="744" t="s">
        <v>607</v>
      </c>
      <c r="E6" s="745" t="s">
        <v>608</v>
      </c>
      <c r="F6" s="745" t="s">
        <v>609</v>
      </c>
      <c r="G6" s="746"/>
    </row>
    <row r="7" spans="1:25" s="2182" customFormat="1" ht="13.5" customHeight="1">
      <c r="A7" s="2492">
        <v>1</v>
      </c>
      <c r="B7" s="747" t="s">
        <v>610</v>
      </c>
      <c r="C7" s="748">
        <f>C8+C9</f>
        <v>0</v>
      </c>
      <c r="D7" s="748"/>
      <c r="E7" s="749"/>
      <c r="F7" s="749"/>
      <c r="G7" s="2502"/>
    </row>
    <row r="8" spans="1:25" s="2182" customFormat="1" ht="13.5" customHeight="1">
      <c r="A8" s="2492" t="s">
        <v>2438</v>
      </c>
      <c r="B8" s="2495" t="s">
        <v>2440</v>
      </c>
      <c r="C8" s="2496"/>
      <c r="D8" s="748"/>
      <c r="E8" s="749"/>
      <c r="F8" s="749"/>
      <c r="G8" s="750"/>
    </row>
    <row r="9" spans="1:25" s="2182" customFormat="1" ht="13.5" customHeight="1">
      <c r="A9" s="2492" t="s">
        <v>2439</v>
      </c>
      <c r="B9" s="2495" t="s">
        <v>2441</v>
      </c>
      <c r="C9" s="2496"/>
      <c r="D9" s="748"/>
      <c r="E9" s="749"/>
      <c r="F9" s="749"/>
      <c r="G9" s="750"/>
    </row>
    <row r="10" spans="1:25" s="2182" customFormat="1" ht="36">
      <c r="A10" s="2492">
        <v>2</v>
      </c>
      <c r="B10" s="747" t="s">
        <v>614</v>
      </c>
      <c r="C10" s="748">
        <f>C11+C14+C15</f>
        <v>0</v>
      </c>
      <c r="D10" s="759">
        <f>'数据-汇总表'!E3</f>
        <v>113800</v>
      </c>
      <c r="E10" s="748">
        <f>'数据-取费表'!B31</f>
        <v>200</v>
      </c>
      <c r="F10" s="760"/>
      <c r="G10" s="758" t="s">
        <v>615</v>
      </c>
    </row>
    <row r="11" spans="1:25" s="2182" customFormat="1" ht="13.5" customHeight="1">
      <c r="A11" s="2492" t="s">
        <v>2438</v>
      </c>
      <c r="B11" s="751" t="s">
        <v>611</v>
      </c>
      <c r="C11" s="752">
        <f>'数据-取费表'!B29</f>
        <v>0</v>
      </c>
      <c r="D11" s="753"/>
      <c r="E11" s="752"/>
      <c r="F11" s="754"/>
      <c r="G11" s="2501" t="s">
        <v>2449</v>
      </c>
    </row>
    <row r="12" spans="1:25" s="2182" customFormat="1" ht="13.5" customHeight="1">
      <c r="A12" s="2499" t="s">
        <v>2446</v>
      </c>
      <c r="B12" s="755" t="s">
        <v>612</v>
      </c>
      <c r="C12" s="756">
        <f>ROUND(D12*E12/10000,0)</f>
        <v>1825</v>
      </c>
      <c r="D12" s="757">
        <f>'数据-汇总表'!E5</f>
        <v>76060</v>
      </c>
      <c r="E12" s="756">
        <f>'数据-取费表'!B27</f>
        <v>240</v>
      </c>
      <c r="F12" s="754"/>
      <c r="G12" s="758"/>
    </row>
    <row r="13" spans="1:25" s="2182" customFormat="1" ht="13.5" customHeight="1">
      <c r="A13" s="2499" t="s">
        <v>2445</v>
      </c>
      <c r="B13" s="755" t="s">
        <v>613</v>
      </c>
      <c r="C13" s="756">
        <f>ROUND(D13*E13/10000,0)</f>
        <v>906</v>
      </c>
      <c r="D13" s="757">
        <f>'数据-汇总表'!E6</f>
        <v>37740</v>
      </c>
      <c r="E13" s="756">
        <f>'数据-取费表'!B28</f>
        <v>240</v>
      </c>
      <c r="F13" s="754"/>
      <c r="G13" s="758"/>
    </row>
    <row r="14" spans="1:25" s="2182" customFormat="1" ht="13.5" customHeight="1">
      <c r="A14" s="2492" t="s">
        <v>2439</v>
      </c>
      <c r="B14" s="2498" t="s">
        <v>2442</v>
      </c>
      <c r="C14" s="2496"/>
      <c r="D14" s="757"/>
      <c r="E14" s="756"/>
      <c r="F14" s="2497"/>
      <c r="G14" s="2500" t="s">
        <v>2447</v>
      </c>
    </row>
    <row r="15" spans="1:25" s="2182" customFormat="1" ht="13.5" customHeight="1">
      <c r="A15" s="2492" t="s">
        <v>2444</v>
      </c>
      <c r="B15" s="2498" t="s">
        <v>2443</v>
      </c>
      <c r="C15" s="2496"/>
      <c r="D15" s="757"/>
      <c r="E15" s="756"/>
      <c r="F15" s="2497"/>
      <c r="G15" s="2500" t="s">
        <v>2448</v>
      </c>
    </row>
    <row r="16" spans="1:25" s="2183" customFormat="1" ht="48">
      <c r="A16" s="2492">
        <v>3</v>
      </c>
      <c r="B16" s="747" t="s">
        <v>616</v>
      </c>
      <c r="C16" s="2496"/>
      <c r="D16" s="759"/>
      <c r="E16" s="748"/>
      <c r="F16" s="760"/>
      <c r="G16" s="758" t="s">
        <v>2450</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7" t="s">
        <v>617</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618</v>
      </c>
      <c r="C18" s="748">
        <f>ROUND((C7+C10+C16)*F18,0)</f>
        <v>0</v>
      </c>
      <c r="D18" s="761"/>
      <c r="E18" s="762"/>
      <c r="F18" s="760">
        <f>'数据-取费表'!Q16</f>
        <v>0.15</v>
      </c>
      <c r="G18" s="764"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620</v>
      </c>
      <c r="C19" s="748">
        <f ca="1">C7+C10+C16+C17+C18</f>
        <v>0</v>
      </c>
      <c r="D19" s="759"/>
      <c r="E19" s="748"/>
      <c r="F19" s="760"/>
      <c r="G19" s="764"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7" t="s">
        <v>622</v>
      </c>
      <c r="C20" s="748">
        <f ca="1">ROUND(C19*F20,0)</f>
        <v>0</v>
      </c>
      <c r="D20" s="759"/>
      <c r="E20" s="748"/>
      <c r="F20" s="1348"/>
      <c r="G20" s="764"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7" t="s">
        <v>624</v>
      </c>
      <c r="C21" s="748">
        <f ca="1">C19+C20</f>
        <v>0</v>
      </c>
      <c r="D21" s="759"/>
      <c r="E21" s="748"/>
      <c r="F21" s="760"/>
      <c r="G21" s="764"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626</v>
      </c>
      <c r="C22" s="748">
        <f ca="1">ROUND(C21*F22,0)</f>
        <v>0</v>
      </c>
      <c r="D22" s="759"/>
      <c r="E22" s="748"/>
      <c r="F22" s="765">
        <f>'数据-取费表'!AP16</f>
        <v>0.93100000000000005</v>
      </c>
      <c r="G22" s="764"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628</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 sqref="L1"/>
    </sheetView>
  </sheetViews>
  <sheetFormatPr defaultRowHeight="13.5"/>
  <sheetData/>
  <phoneticPr fontId="233"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8" sqref="D38"/>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1726</v>
      </c>
      <c r="B1" s="737"/>
      <c r="C1" s="772" t="s">
        <v>35</v>
      </c>
      <c r="D1" s="3155" t="s">
        <v>3191</v>
      </c>
      <c r="E1" s="2410" t="s">
        <v>2372</v>
      </c>
      <c r="F1" s="2411">
        <f ca="1">J53</f>
        <v>-2</v>
      </c>
      <c r="G1" s="773">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1727</v>
      </c>
      <c r="B2" s="774" t="e">
        <f ca="1">C40+J29+L46</f>
        <v>#DIV/0!</v>
      </c>
      <c r="C2" s="2056"/>
      <c r="D2" s="2054"/>
      <c r="E2" s="2055"/>
      <c r="F2" s="2055"/>
      <c r="G2" s="1589"/>
      <c r="H2" s="2056"/>
      <c r="I2" s="2056"/>
      <c r="J2" s="2056"/>
      <c r="K2" s="2057"/>
      <c r="L2" s="2056"/>
      <c r="M2" s="2056"/>
    </row>
    <row r="3" spans="1:33" ht="18" customHeight="1" thickBot="1">
      <c r="A3" s="832" t="s">
        <v>1728</v>
      </c>
      <c r="B3" s="833">
        <f ca="1">IF(ISERROR(B2*10000/F43),0,ROUND(B2*10000/F43,0))</f>
        <v>0</v>
      </c>
      <c r="C3" s="2056"/>
      <c r="D3" s="2054"/>
      <c r="E3" s="2055"/>
      <c r="F3" s="2055"/>
      <c r="G3" s="1589"/>
      <c r="H3" s="775" t="s">
        <v>696</v>
      </c>
      <c r="I3" s="1362"/>
      <c r="J3" s="1362"/>
      <c r="K3" s="1590"/>
      <c r="L3" s="1362"/>
      <c r="M3" s="1362"/>
    </row>
    <row r="4" spans="1:33" ht="18" customHeight="1">
      <c r="A4" s="776" t="s">
        <v>1729</v>
      </c>
      <c r="B4" s="777" t="s">
        <v>1730</v>
      </c>
      <c r="C4" s="777" t="s">
        <v>1731</v>
      </c>
      <c r="D4" s="777" t="s">
        <v>634</v>
      </c>
      <c r="E4" s="778" t="s">
        <v>1732</v>
      </c>
      <c r="F4" s="779"/>
      <c r="G4" s="1591"/>
      <c r="H4" s="776" t="s">
        <v>1733</v>
      </c>
      <c r="I4" s="777" t="s">
        <v>1734</v>
      </c>
      <c r="J4" s="777" t="s">
        <v>1735</v>
      </c>
      <c r="K4" s="777" t="s">
        <v>1736</v>
      </c>
      <c r="L4" s="778" t="s">
        <v>1737</v>
      </c>
      <c r="M4" s="779"/>
    </row>
    <row r="5" spans="1:33" ht="18" customHeight="1">
      <c r="A5" s="780">
        <v>1</v>
      </c>
      <c r="B5" s="781" t="s">
        <v>2457</v>
      </c>
      <c r="C5" s="55">
        <f ca="1">C6+C10+C12</f>
        <v>0</v>
      </c>
      <c r="D5" s="2519" t="s">
        <v>2460</v>
      </c>
      <c r="E5" s="2513"/>
      <c r="F5" s="2514"/>
      <c r="G5" s="1591"/>
      <c r="H5" s="780">
        <v>1</v>
      </c>
      <c r="I5" s="781" t="s">
        <v>2457</v>
      </c>
      <c r="J5" s="55">
        <f ca="1">J6+J10+J12</f>
        <v>0</v>
      </c>
      <c r="K5" s="2519" t="s">
        <v>2460</v>
      </c>
      <c r="L5" s="2513"/>
      <c r="M5" s="2514"/>
    </row>
    <row r="6" spans="1:33" ht="18" customHeight="1">
      <c r="A6" s="1829" t="s">
        <v>1825</v>
      </c>
      <c r="B6" s="3793" t="s">
        <v>2462</v>
      </c>
      <c r="C6" s="782">
        <f ca="1">ROUND(F6*F8*F7*(1-F9)/10000,0)</f>
        <v>0</v>
      </c>
      <c r="D6" s="2520" t="s">
        <v>2461</v>
      </c>
      <c r="E6" s="783" t="s">
        <v>1739</v>
      </c>
      <c r="F6" s="784">
        <f ca="1">INDIRECT("'数据-取费表'!u"&amp;$G$1)</f>
        <v>0</v>
      </c>
      <c r="G6" s="1591"/>
      <c r="H6" s="2527" t="s">
        <v>2468</v>
      </c>
      <c r="I6" s="3793" t="s">
        <v>2462</v>
      </c>
      <c r="J6" s="782">
        <f ca="1">ROUND(M6*M8*M7*(1-M9)/10000,0)</f>
        <v>0</v>
      </c>
      <c r="K6" s="340" t="s">
        <v>1738</v>
      </c>
      <c r="L6" s="783" t="s">
        <v>1739</v>
      </c>
      <c r="M6" s="784">
        <f ca="1">INDIRECT("'数据-取费表'!z"&amp;$G$1)</f>
        <v>0</v>
      </c>
    </row>
    <row r="7" spans="1:33" ht="18" customHeight="1">
      <c r="A7" s="2523"/>
      <c r="B7" s="3794"/>
      <c r="C7" s="787"/>
      <c r="D7" s="788"/>
      <c r="E7" s="783" t="s">
        <v>1740</v>
      </c>
      <c r="F7" s="784">
        <f ca="1">IF(INDIRECT("'数据-取费表'!ah"&amp;$G$1)="",INDIRECT("'数据-取费表'!k"&amp;$G$1),INDIRECT("'数据-取费表'!ah"&amp;$G$1))</f>
        <v>0</v>
      </c>
      <c r="G7" s="1591"/>
      <c r="H7" s="2512"/>
      <c r="I7" s="3794"/>
      <c r="J7" s="787"/>
      <c r="K7" s="788"/>
      <c r="L7" s="783" t="s">
        <v>1740</v>
      </c>
      <c r="M7" s="784">
        <f ca="1">F7</f>
        <v>0</v>
      </c>
    </row>
    <row r="8" spans="1:33" ht="18" customHeight="1">
      <c r="A8" s="2516"/>
      <c r="B8" s="3795"/>
      <c r="C8" s="787"/>
      <c r="D8" s="788"/>
      <c r="E8" s="783" t="s">
        <v>1741</v>
      </c>
      <c r="F8" s="784">
        <f ca="1">INDIRECT("'数据-取费表'!ai"&amp;$G$1)</f>
        <v>0</v>
      </c>
      <c r="G8" s="1591"/>
      <c r="H8" s="2512"/>
      <c r="I8" s="3795"/>
      <c r="J8" s="787"/>
      <c r="K8" s="788"/>
      <c r="L8" s="783" t="s">
        <v>1741</v>
      </c>
      <c r="M8" s="784">
        <f ca="1">INDIRECT("'数据-取费表'!ai"&amp;$G$1)</f>
        <v>0</v>
      </c>
    </row>
    <row r="9" spans="1:33" ht="18" customHeight="1">
      <c r="A9" s="785"/>
      <c r="B9" s="3796"/>
      <c r="C9" s="787"/>
      <c r="D9" s="788"/>
      <c r="E9" s="783" t="s">
        <v>1742</v>
      </c>
      <c r="F9" s="793">
        <f ca="1">INDIRECT("'数据-取费表'!w"&amp;$G$1)</f>
        <v>0</v>
      </c>
      <c r="G9" s="1591"/>
      <c r="H9" s="2528"/>
      <c r="I9" s="3795"/>
      <c r="J9" s="787"/>
      <c r="K9" s="788"/>
      <c r="L9" s="794" t="s">
        <v>1742</v>
      </c>
      <c r="M9" s="795">
        <f ca="1">INDIRECT("'数据-取费表'!ab"&amp;$G$1)</f>
        <v>0</v>
      </c>
    </row>
    <row r="10" spans="1:33" ht="18" customHeight="1">
      <c r="A10" s="1829" t="s">
        <v>2466</v>
      </c>
      <c r="B10" s="2517" t="s">
        <v>2458</v>
      </c>
      <c r="C10" s="798">
        <f ca="1">ROUND(IF(F10="押一",F6*F8*F7/12*F11,IF(F10="押二",F6*F8*F7/12*2*F11,IF(F10="押三",F6*F8*F7/12*3*F11,C11*F11)))/10000,0)</f>
        <v>0</v>
      </c>
      <c r="D10" s="2524" t="s">
        <v>2465</v>
      </c>
      <c r="E10" s="2521" t="s">
        <v>2463</v>
      </c>
      <c r="F10" s="2644" t="s">
        <v>3192</v>
      </c>
      <c r="G10" s="1591"/>
      <c r="H10" s="2584" t="s">
        <v>2469</v>
      </c>
      <c r="I10" s="2589" t="s">
        <v>2458</v>
      </c>
      <c r="J10" s="782">
        <f ca="1">ROUND(IF(M10="押一",M6*M8*M7/12*M11,IF(M10="押二",M6*M8*M7/12*2*M11,IF(M10="押三",M6*M8*M7/12*3*M11,J11*M11)))/10000,0)</f>
        <v>0</v>
      </c>
      <c r="K10" s="2524" t="s">
        <v>2465</v>
      </c>
      <c r="L10" s="2521" t="s">
        <v>2463</v>
      </c>
      <c r="M10" s="2644"/>
    </row>
    <row r="11" spans="1:33" ht="18" customHeight="1">
      <c r="A11" s="789"/>
      <c r="B11" s="2518" t="s">
        <v>2573</v>
      </c>
      <c r="C11" s="2522"/>
      <c r="D11" s="788"/>
      <c r="E11" s="2521" t="s">
        <v>2464</v>
      </c>
      <c r="F11" s="795">
        <f ca="1">'数据-取费表'!B39</f>
        <v>1.4999999999999999E-2</v>
      </c>
      <c r="G11" s="1591"/>
      <c r="H11" s="2585"/>
      <c r="I11" s="2518" t="s">
        <v>2573</v>
      </c>
      <c r="J11" s="2522"/>
      <c r="K11" s="2586"/>
      <c r="L11" s="2521" t="s">
        <v>2464</v>
      </c>
      <c r="M11" s="2515">
        <f ca="1">'数据-取费表'!B39</f>
        <v>1.4999999999999999E-2</v>
      </c>
    </row>
    <row r="12" spans="1:33" ht="18" customHeight="1" thickBot="1">
      <c r="A12" s="2560" t="s">
        <v>2467</v>
      </c>
      <c r="B12" s="2561" t="s">
        <v>2459</v>
      </c>
      <c r="C12" s="2562"/>
      <c r="D12" s="2563"/>
      <c r="E12" s="2564"/>
      <c r="F12" s="2565"/>
      <c r="G12" s="1591"/>
      <c r="H12" s="2574" t="s">
        <v>2470</v>
      </c>
      <c r="I12" s="2587" t="s">
        <v>2459</v>
      </c>
      <c r="J12" s="2588"/>
      <c r="K12" s="2563"/>
      <c r="L12" s="2564"/>
      <c r="M12" s="2577"/>
    </row>
    <row r="13" spans="1:33" ht="18" customHeight="1" thickTop="1">
      <c r="A13" s="1828">
        <v>2</v>
      </c>
      <c r="B13" s="1826" t="s">
        <v>1743</v>
      </c>
      <c r="C13" s="791">
        <f ca="1">ROUND(C29*F13,0)</f>
        <v>0</v>
      </c>
      <c r="D13" s="1833" t="s">
        <v>2297</v>
      </c>
      <c r="E13" s="1833" t="s">
        <v>1745</v>
      </c>
      <c r="F13" s="2559">
        <f ca="1">INDIRECT("'数据-取费表'!y"&amp;$G$1)</f>
        <v>0</v>
      </c>
      <c r="G13" s="1591"/>
      <c r="H13" s="1828">
        <v>2</v>
      </c>
      <c r="I13" s="1826" t="s">
        <v>1743</v>
      </c>
      <c r="J13" s="1818">
        <f ca="1">ROUND(J14*J15,0)</f>
        <v>0</v>
      </c>
      <c r="K13" s="1820" t="s">
        <v>1744</v>
      </c>
      <c r="L13" s="2575"/>
      <c r="M13" s="2576"/>
    </row>
    <row r="14" spans="1:33" ht="18" customHeight="1">
      <c r="A14" s="1647" t="s">
        <v>1885</v>
      </c>
      <c r="B14" s="783" t="s">
        <v>646</v>
      </c>
      <c r="C14" s="803">
        <f ca="1">INDIRECT("'数据-取费表'!m"&amp;$G$1)+INDIRECT("'数据-取费表'!t"&amp;$G$1)</f>
        <v>0</v>
      </c>
      <c r="D14" s="3179" t="s">
        <v>1746</v>
      </c>
      <c r="E14" s="3178"/>
      <c r="F14" s="804"/>
      <c r="G14" s="1591"/>
      <c r="H14" s="1648" t="s">
        <v>1831</v>
      </c>
      <c r="I14" s="2230" t="s">
        <v>2825</v>
      </c>
      <c r="J14" s="53">
        <f ca="1">C29</f>
        <v>0</v>
      </c>
      <c r="K14" s="26"/>
      <c r="L14" s="800"/>
      <c r="M14" s="801"/>
    </row>
    <row r="15" spans="1:33" s="2063" customFormat="1" ht="18" customHeight="1" thickBot="1">
      <c r="A15" s="1647" t="s">
        <v>1886</v>
      </c>
      <c r="B15" s="783" t="s">
        <v>648</v>
      </c>
      <c r="C15" s="53">
        <f ca="1">ROUND(C14*F15,0)</f>
        <v>0</v>
      </c>
      <c r="D15" s="805" t="s">
        <v>1747</v>
      </c>
      <c r="E15" s="805" t="s">
        <v>1748</v>
      </c>
      <c r="F15" s="806">
        <f>'数据-取费表'!B33</f>
        <v>0.03</v>
      </c>
      <c r="G15" s="1592"/>
      <c r="H15" s="2574" t="s">
        <v>1890</v>
      </c>
      <c r="I15" s="2569" t="s">
        <v>1745</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3" t="s">
        <v>651</v>
      </c>
      <c r="C16" s="53">
        <f ca="1">ROUND(INDIRECT("'数据-取费表'!m"&amp;$G$1)*F16,0)</f>
        <v>0</v>
      </c>
      <c r="D16" s="783" t="s">
        <v>1747</v>
      </c>
      <c r="E16" s="783" t="s">
        <v>1748</v>
      </c>
      <c r="F16" s="808">
        <f ca="1">IF(INDIRECT("'数据-取费表'!c"&amp;$G$1)="住宅",'数据-取费表'!B34,0)</f>
        <v>0</v>
      </c>
      <c r="G16" s="1591"/>
      <c r="H16" s="1828" t="s">
        <v>1749</v>
      </c>
      <c r="I16" s="1826" t="s">
        <v>1750</v>
      </c>
      <c r="J16" s="791">
        <f ca="1">ROUND(J17+J22+J23+J24,0)</f>
        <v>0</v>
      </c>
      <c r="K16" s="1820" t="s">
        <v>1751</v>
      </c>
      <c r="L16" s="3181"/>
      <c r="M16" s="2514"/>
    </row>
    <row r="17" spans="1:33" s="2063" customFormat="1" ht="18" customHeight="1">
      <c r="A17" s="1647" t="s">
        <v>1888</v>
      </c>
      <c r="B17" s="783" t="s">
        <v>654</v>
      </c>
      <c r="C17" s="53">
        <f ca="1">ROUND(F17*(F43+INDIRECT("'数据-取费表'!S"&amp;$G$1))/10000,0)</f>
        <v>0</v>
      </c>
      <c r="D17" s="783" t="s">
        <v>1752</v>
      </c>
      <c r="E17" s="783" t="s">
        <v>1753</v>
      </c>
      <c r="F17" s="56">
        <f>'数据-取费表'!B35</f>
        <v>200</v>
      </c>
      <c r="G17" s="1592"/>
      <c r="H17" s="1648" t="s">
        <v>1831</v>
      </c>
      <c r="I17" s="783" t="s">
        <v>657</v>
      </c>
      <c r="J17" s="53">
        <f ca="1">ROUND(IF(项目基本情况!B11="自然人",J5*M17,J18+J19+J20),0)</f>
        <v>0</v>
      </c>
      <c r="K17" s="3179" t="s">
        <v>1754</v>
      </c>
      <c r="L17" s="3180" t="s">
        <v>1755</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3" t="s">
        <v>660</v>
      </c>
      <c r="C18" s="53">
        <f ca="1">ROUND(C14*F18,0)</f>
        <v>0</v>
      </c>
      <c r="D18" s="783" t="s">
        <v>1747</v>
      </c>
      <c r="E18" s="783" t="s">
        <v>1748</v>
      </c>
      <c r="F18" s="808">
        <f>'数据-取费表'!B36</f>
        <v>1.4999999999999999E-2</v>
      </c>
      <c r="G18" s="1592"/>
      <c r="H18" s="1647" t="s">
        <v>1885</v>
      </c>
      <c r="I18" s="783" t="s">
        <v>1756</v>
      </c>
      <c r="J18" s="53">
        <f ca="1">ROUND(J5*M18/1.05,1)</f>
        <v>0</v>
      </c>
      <c r="K18" s="3180" t="s">
        <v>1757</v>
      </c>
      <c r="L18" s="783" t="s">
        <v>1748</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3" t="s">
        <v>663</v>
      </c>
      <c r="C19" s="53">
        <f ca="1">SUM(C14:C18)</f>
        <v>0</v>
      </c>
      <c r="D19" s="260" t="s">
        <v>1758</v>
      </c>
      <c r="E19" s="3182"/>
      <c r="F19" s="56"/>
      <c r="G19" s="1591"/>
      <c r="H19" s="1647" t="s">
        <v>1886</v>
      </c>
      <c r="I19" s="783" t="s">
        <v>1759</v>
      </c>
      <c r="J19" s="53">
        <f ca="1">IF(K19="按租金收入计税",ROUND(J5*M19,1),ROUND(C29*F33*0.7,1))</f>
        <v>0</v>
      </c>
      <c r="K19" s="810" t="s">
        <v>666</v>
      </c>
      <c r="L19" s="783" t="s">
        <v>1748</v>
      </c>
      <c r="M19" s="808">
        <f>IF(K19="按租金收入计税",'数据-取费表'!B51,'数据-取费表'!B50)</f>
        <v>1.2E-2</v>
      </c>
    </row>
    <row r="20" spans="1:33" s="2063" customFormat="1" ht="18" customHeight="1">
      <c r="A20" s="1648" t="s">
        <v>1890</v>
      </c>
      <c r="B20" s="783" t="s">
        <v>667</v>
      </c>
      <c r="C20" s="53">
        <f ca="1">ROUND(C19*F20,0)</f>
        <v>0</v>
      </c>
      <c r="D20" s="811" t="s">
        <v>1760</v>
      </c>
      <c r="E20" s="783" t="s">
        <v>1748</v>
      </c>
      <c r="F20" s="808">
        <f>'数据-取费表'!B37</f>
        <v>1.4999999999999999E-2</v>
      </c>
      <c r="G20" s="1592"/>
      <c r="H20" s="1650" t="s">
        <v>1881</v>
      </c>
      <c r="I20" s="340" t="s">
        <v>1761</v>
      </c>
      <c r="J20" s="54">
        <f ca="1">ROUND(M20*M21/10000,0)</f>
        <v>0</v>
      </c>
      <c r="K20" s="813" t="s">
        <v>1762</v>
      </c>
      <c r="L20" s="783" t="s">
        <v>1763</v>
      </c>
      <c r="M20" s="639">
        <f>'数据-取费表'!B52</f>
        <v>16</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3" t="s">
        <v>1764</v>
      </c>
      <c r="C21" s="53" t="s">
        <v>1765</v>
      </c>
      <c r="D21" s="811" t="s">
        <v>2298</v>
      </c>
      <c r="E21" s="783" t="s">
        <v>1766</v>
      </c>
      <c r="F21" s="808">
        <f>'数据-取费表'!B38</f>
        <v>1.4999999999999999E-2</v>
      </c>
      <c r="G21" s="1592"/>
      <c r="H21" s="2529"/>
      <c r="I21" s="792"/>
      <c r="J21" s="69"/>
      <c r="K21" s="815"/>
      <c r="L21" s="783" t="s">
        <v>1767</v>
      </c>
      <c r="M21" s="784">
        <f ca="1">INDIRECT("'数据-取费表'!r"&amp;$G$1)</f>
        <v>0</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3" t="s">
        <v>1768</v>
      </c>
      <c r="C22" s="53"/>
      <c r="D22" s="2595" t="str">
        <f>IF(F23&lt;=1,"单利计息。","复利计息。")&amp;"建造成本、管理费用、销售费用产生的利息。"</f>
        <v>复利计息。建造成本、管理费用、销售费用产生的利息。</v>
      </c>
      <c r="E22" s="3182"/>
      <c r="F22" s="56"/>
      <c r="G22" s="1591"/>
      <c r="H22" s="1648" t="s">
        <v>1890</v>
      </c>
      <c r="I22" s="783" t="s">
        <v>1769</v>
      </c>
      <c r="J22" s="53">
        <f ca="1">ROUND(J14*M22,0)</f>
        <v>0</v>
      </c>
      <c r="K22" s="3180" t="s">
        <v>1770</v>
      </c>
      <c r="L22" s="783" t="s">
        <v>1748</v>
      </c>
      <c r="M22" s="816">
        <f ca="1">INDIRECT("'数据-取费表'!Ak"&amp;$G$1)</f>
        <v>0</v>
      </c>
    </row>
    <row r="23" spans="1:33" s="2063" customFormat="1" ht="18" customHeight="1">
      <c r="A23" s="1647" t="s">
        <v>1832</v>
      </c>
      <c r="B23" s="783" t="s">
        <v>2535</v>
      </c>
      <c r="C23" s="53">
        <f ca="1">ROUND(IF('数据-取费表'!B22&lt;=1,(C19+C20)*F24*F23/2,(C19+C20)*(POWER((1+F24),F23/2)-1)),0)</f>
        <v>0</v>
      </c>
      <c r="D23" s="2594" t="str">
        <f>IF(F23&lt;=1,"(建造成本+管理费用)×利率×(建设周期÷2)","(建造成本+管理费用)×((1+利率)^(建设周期÷2)-1)")</f>
        <v>(建造成本+管理费用)×((1+利率)^(建设周期÷2)-1)</v>
      </c>
      <c r="E23" s="783" t="s">
        <v>1771</v>
      </c>
      <c r="F23" s="639">
        <f>'数据-取费表'!B20</f>
        <v>2</v>
      </c>
      <c r="G23" s="1592"/>
      <c r="H23" s="1648" t="s">
        <v>1891</v>
      </c>
      <c r="I23" s="783" t="s">
        <v>680</v>
      </c>
      <c r="J23" s="53">
        <f ca="1">ROUND(J13*M23,0)</f>
        <v>0</v>
      </c>
      <c r="K23" s="3180" t="s">
        <v>1772</v>
      </c>
      <c r="L23" s="783" t="s">
        <v>1748</v>
      </c>
      <c r="M23" s="817">
        <f ca="1">INDIRECT("'数据-取费表'!Al"&amp;$G$1)</f>
        <v>0</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3" t="s">
        <v>1773</v>
      </c>
      <c r="C24" s="53">
        <f ca="1">ROUND(IF('数据-取费表'!B22&lt;=1,F21*F24*F23/2,F21*(POWER((1+F24),F23/2)-1)),4)</f>
        <v>6.9999999999999999E-4</v>
      </c>
      <c r="D24" s="2594" t="str">
        <f>IF(F23&lt;=1,"销售费用×利率×(建设周期÷2)","销售费用×((1+利率)^(建设周期÷2)-1)")</f>
        <v>销售费用×((1+利率)^(建设周期÷2)-1)</v>
      </c>
      <c r="E24" s="783" t="s">
        <v>1774</v>
      </c>
      <c r="F24" s="818">
        <f ca="1">'数据-取费表'!B40</f>
        <v>4.7500000000000001E-2</v>
      </c>
      <c r="G24" s="1592"/>
      <c r="H24" s="2574" t="s">
        <v>1892</v>
      </c>
      <c r="I24" s="2569" t="s">
        <v>667</v>
      </c>
      <c r="J24" s="2567">
        <f ca="1">ROUND(J5*M24,0)</f>
        <v>0</v>
      </c>
      <c r="K24" s="2568" t="s">
        <v>1775</v>
      </c>
      <c r="L24" s="2569" t="s">
        <v>1748</v>
      </c>
      <c r="M24" s="2565">
        <f ca="1">INDIRECT("'数据-取费表'!Am"&amp;$G$1)</f>
        <v>0</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3" t="s">
        <v>685</v>
      </c>
      <c r="C25" s="53"/>
      <c r="D25" s="260" t="s">
        <v>1776</v>
      </c>
      <c r="E25" s="3182"/>
      <c r="F25" s="56"/>
      <c r="G25" s="1591"/>
      <c r="H25" s="1828" t="s">
        <v>1777</v>
      </c>
      <c r="I25" s="3034" t="s">
        <v>2821</v>
      </c>
      <c r="J25" s="791">
        <f ca="1">J5-J16</f>
        <v>0</v>
      </c>
      <c r="K25" s="2571" t="s">
        <v>1778</v>
      </c>
      <c r="L25" s="2572"/>
      <c r="M25" s="2573"/>
    </row>
    <row r="26" spans="1:33" ht="18" customHeight="1">
      <c r="A26" s="1647" t="s">
        <v>1832</v>
      </c>
      <c r="B26" s="783" t="s">
        <v>2436</v>
      </c>
      <c r="C26" s="53">
        <f ca="1">ROUND((C19+C20)*F26,0)</f>
        <v>0</v>
      </c>
      <c r="D26" s="811" t="s">
        <v>1779</v>
      </c>
      <c r="E26" s="794" t="s">
        <v>1780</v>
      </c>
      <c r="F26" s="793">
        <f ca="1">INDIRECT("'数据-取费表'!q"&amp;$G$1)</f>
        <v>0</v>
      </c>
      <c r="G26" s="1591"/>
      <c r="H26" s="2525" t="s">
        <v>1781</v>
      </c>
      <c r="I26" s="2231" t="s">
        <v>2826</v>
      </c>
      <c r="J26" s="782">
        <f ca="1">IF(J5&lt;&gt;0,ROUND(J25*(1-((1+M28)/(1+M26))^M27)/(M26-M28),0),0)</f>
        <v>0</v>
      </c>
      <c r="K26" s="813" t="s">
        <v>1782</v>
      </c>
      <c r="L26" s="783" t="s">
        <v>2417</v>
      </c>
      <c r="M26" s="793">
        <f ca="1">INDIRECT("'数据-取费表'!I"&amp;$G$1)</f>
        <v>0</v>
      </c>
    </row>
    <row r="27" spans="1:33" ht="18" customHeight="1">
      <c r="A27" s="1647" t="s">
        <v>1833</v>
      </c>
      <c r="B27" s="783" t="s">
        <v>687</v>
      </c>
      <c r="C27" s="53">
        <f ca="1">ROUND(F21*F26,4)</f>
        <v>0</v>
      </c>
      <c r="D27" s="811" t="s">
        <v>1783</v>
      </c>
      <c r="E27" s="805"/>
      <c r="F27" s="806"/>
      <c r="G27" s="1591"/>
      <c r="H27" s="2526"/>
      <c r="I27" s="786"/>
      <c r="J27" s="787"/>
      <c r="K27" s="820" t="s">
        <v>1784</v>
      </c>
      <c r="L27" s="783" t="s">
        <v>1785</v>
      </c>
      <c r="M27" s="821">
        <f ca="1">INDIRECT("'数据-取费表'!ag"&amp;$G$1)</f>
        <v>0</v>
      </c>
    </row>
    <row r="28" spans="1:33" s="2063" customFormat="1" ht="18" customHeight="1">
      <c r="A28" s="1649" t="s">
        <v>1842</v>
      </c>
      <c r="B28" s="783" t="s">
        <v>688</v>
      </c>
      <c r="C28" s="53">
        <f>ROUND(F28/(1+'数据-取费表'!C42),4)</f>
        <v>5.33E-2</v>
      </c>
      <c r="D28" s="811" t="s">
        <v>2299</v>
      </c>
      <c r="E28" s="783" t="s">
        <v>1786</v>
      </c>
      <c r="F28" s="808">
        <f>'数据-取费表'!B41</f>
        <v>5.6000000000000001E-2</v>
      </c>
      <c r="G28" s="1592"/>
      <c r="H28" s="1828"/>
      <c r="I28" s="790"/>
      <c r="J28" s="791"/>
      <c r="K28" s="815"/>
      <c r="L28" s="783" t="s">
        <v>1787</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1893</v>
      </c>
      <c r="B29" s="2564" t="s">
        <v>2300</v>
      </c>
      <c r="C29" s="2567">
        <f ca="1">ROUND((C19+C20+C23+C26)/(1-F21-C24-C27-C28),0)</f>
        <v>0</v>
      </c>
      <c r="D29" s="2568"/>
      <c r="E29" s="2569"/>
      <c r="F29" s="2570"/>
      <c r="G29" s="1592"/>
      <c r="H29" s="822" t="s">
        <v>1788</v>
      </c>
      <c r="I29" s="823" t="s">
        <v>1789</v>
      </c>
      <c r="J29" s="824">
        <f ca="1">ROUND(J26/(1+F40)^F41,0)</f>
        <v>0</v>
      </c>
      <c r="K29" s="825" t="s">
        <v>1790</v>
      </c>
      <c r="L29" s="826"/>
      <c r="M29" s="827">
        <f ca="1">INDIRECT("'数据-取费表'!k"&amp;$G$1)</f>
        <v>0</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0</v>
      </c>
      <c r="D30" s="1820" t="s">
        <v>1792</v>
      </c>
      <c r="E30" s="3181"/>
      <c r="F30" s="2514"/>
      <c r="G30" s="2061"/>
      <c r="H30" s="2064"/>
      <c r="I30" s="2065"/>
      <c r="J30" s="2066"/>
      <c r="K30" s="2067"/>
      <c r="L30" s="2068"/>
      <c r="M30" s="2069"/>
    </row>
    <row r="31" spans="1:33" ht="18" customHeight="1">
      <c r="A31" s="1648" t="s">
        <v>1831</v>
      </c>
      <c r="B31" s="783" t="s">
        <v>657</v>
      </c>
      <c r="C31" s="53">
        <f ca="1">ROUND(IF(项目基本情况!B11="自然人",C5*F31,C32+C33+C34),1)</f>
        <v>0</v>
      </c>
      <c r="D31" s="3179" t="s">
        <v>1793</v>
      </c>
      <c r="E31" s="3180"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3" t="s">
        <v>1795</v>
      </c>
      <c r="C32" s="53">
        <f ca="1">ROUND(C5*F32/1.05,1)</f>
        <v>0</v>
      </c>
      <c r="D32" s="3180" t="s">
        <v>1796</v>
      </c>
      <c r="E32" s="783" t="s">
        <v>1797</v>
      </c>
      <c r="F32" s="808">
        <f>'数据-取费表'!B41</f>
        <v>5.6000000000000001E-2</v>
      </c>
      <c r="G32" s="2061"/>
      <c r="H32" s="2070"/>
      <c r="I32" s="2071"/>
      <c r="J32" s="2072"/>
      <c r="K32" s="2073"/>
      <c r="L32" s="2074"/>
      <c r="M32" s="2075"/>
    </row>
    <row r="33" spans="1:18" ht="18" customHeight="1">
      <c r="A33" s="1647" t="s">
        <v>1833</v>
      </c>
      <c r="B33" s="783" t="s">
        <v>1759</v>
      </c>
      <c r="C33" s="53">
        <f ca="1">IF(D33="按租金收入计税",ROUND(C5*F33,1),IF(D33="按房产原值计税",ROUND(C29*F33*0.7,1),INDIRECT("'数据-取费表'!Aj"&amp;$G$1)))</f>
        <v>0</v>
      </c>
      <c r="D33" s="810" t="s">
        <v>1681</v>
      </c>
      <c r="E33" s="783" t="s">
        <v>1797</v>
      </c>
      <c r="F33" s="808">
        <f>IF(D33="按租金收入计税",'数据-取费表'!B51,'数据-取费表'!B50)</f>
        <v>1.2E-2</v>
      </c>
      <c r="G33" s="2061"/>
      <c r="H33" s="2076"/>
      <c r="I33" s="2076"/>
      <c r="J33" s="2076"/>
      <c r="K33" s="2077"/>
      <c r="L33" s="2076"/>
      <c r="M33" s="2076"/>
    </row>
    <row r="34" spans="1:18" ht="18" customHeight="1">
      <c r="A34" s="1650" t="s">
        <v>1834</v>
      </c>
      <c r="B34" s="340" t="s">
        <v>1799</v>
      </c>
      <c r="C34" s="54">
        <f ca="1">ROUND(F34*F35/10000,1)</f>
        <v>0</v>
      </c>
      <c r="D34" s="813" t="s">
        <v>1800</v>
      </c>
      <c r="E34" s="783" t="s">
        <v>1801</v>
      </c>
      <c r="F34" s="639">
        <f>'数据-取费表'!B52</f>
        <v>16</v>
      </c>
      <c r="G34" s="2061"/>
      <c r="H34" s="2064"/>
      <c r="I34" s="834" t="s">
        <v>1814</v>
      </c>
      <c r="J34" s="835"/>
      <c r="K34" s="2079"/>
      <c r="L34" s="2078"/>
      <c r="M34" s="2078"/>
    </row>
    <row r="35" spans="1:18" ht="18" customHeight="1">
      <c r="A35" s="814"/>
      <c r="B35" s="792"/>
      <c r="C35" s="69"/>
      <c r="D35" s="815"/>
      <c r="E35" s="783" t="s">
        <v>1802</v>
      </c>
      <c r="F35" s="784">
        <f ca="1">INDIRECT("'数据-取费表'!r"&amp;$G$1)</f>
        <v>0</v>
      </c>
      <c r="G35" s="2061"/>
      <c r="H35" s="2064"/>
      <c r="I35" s="836" t="s">
        <v>1815</v>
      </c>
      <c r="J35" s="837">
        <f ca="1">ROUND(C13*J36,0)</f>
        <v>0</v>
      </c>
      <c r="K35" s="2077"/>
      <c r="L35" s="2076"/>
      <c r="M35" s="2076"/>
    </row>
    <row r="36" spans="1:18" ht="18" customHeight="1">
      <c r="A36" s="1648" t="s">
        <v>1890</v>
      </c>
      <c r="B36" s="783" t="s">
        <v>1803</v>
      </c>
      <c r="C36" s="53">
        <f ca="1">ROUND(C29*F36,1)</f>
        <v>0</v>
      </c>
      <c r="D36" s="3180" t="s">
        <v>1804</v>
      </c>
      <c r="E36" s="783" t="s">
        <v>1797</v>
      </c>
      <c r="F36" s="816">
        <f ca="1">INDIRECT("'数据-取费表'!Ak"&amp;$G$1)</f>
        <v>0</v>
      </c>
      <c r="G36" s="2061"/>
      <c r="H36" s="2076"/>
      <c r="I36" s="838" t="s">
        <v>1816</v>
      </c>
      <c r="J36" s="839">
        <f ca="1">INDIRECT("'数据-取费表'!j"&amp;$G$1)</f>
        <v>0</v>
      </c>
      <c r="K36" s="2081"/>
      <c r="L36" s="2076"/>
      <c r="M36" s="2076"/>
    </row>
    <row r="37" spans="1:18" ht="18" customHeight="1">
      <c r="A37" s="1648" t="s">
        <v>1891</v>
      </c>
      <c r="B37" s="783" t="s">
        <v>680</v>
      </c>
      <c r="C37" s="53">
        <f ca="1">ROUND(C13*F37,1)</f>
        <v>0</v>
      </c>
      <c r="D37" s="3180" t="s">
        <v>1805</v>
      </c>
      <c r="E37" s="783" t="s">
        <v>1797</v>
      </c>
      <c r="F37" s="817">
        <f ca="1">INDIRECT("'数据-取费表'!Al"&amp;$G$1)</f>
        <v>0</v>
      </c>
      <c r="G37" s="2061"/>
      <c r="H37" s="2076"/>
      <c r="I37" s="840" t="s">
        <v>1817</v>
      </c>
      <c r="J37" s="841"/>
      <c r="K37" s="2081"/>
      <c r="L37" s="2076"/>
      <c r="M37" s="2076"/>
    </row>
    <row r="38" spans="1:18" ht="18" customHeight="1" thickBot="1">
      <c r="A38" s="2574" t="s">
        <v>1892</v>
      </c>
      <c r="B38" s="2569" t="s">
        <v>667</v>
      </c>
      <c r="C38" s="2567">
        <f ca="1">ROUND(C5*F38,1)</f>
        <v>0</v>
      </c>
      <c r="D38" s="2568" t="s">
        <v>1806</v>
      </c>
      <c r="E38" s="2569" t="s">
        <v>1797</v>
      </c>
      <c r="F38" s="2565">
        <f ca="1">INDIRECT("'数据-取费表'!Am"&amp;$G$1)</f>
        <v>0</v>
      </c>
      <c r="G38" s="2061"/>
      <c r="H38" s="2076"/>
      <c r="I38" s="842" t="s">
        <v>1818</v>
      </c>
      <c r="J38" s="843"/>
      <c r="K38" s="2082"/>
      <c r="L38" s="2076"/>
      <c r="M38" s="2076"/>
    </row>
    <row r="39" spans="1:18" ht="24.6" customHeight="1" thickTop="1">
      <c r="A39" s="1828" t="s">
        <v>1895</v>
      </c>
      <c r="B39" s="3034" t="s">
        <v>2821</v>
      </c>
      <c r="C39" s="791">
        <f ca="1">C5-C30</f>
        <v>0</v>
      </c>
      <c r="D39" s="2571" t="s">
        <v>1807</v>
      </c>
      <c r="E39" s="2572"/>
      <c r="F39" s="2573"/>
      <c r="G39" s="2061"/>
      <c r="H39" s="2076"/>
      <c r="I39" s="836" t="s">
        <v>1819</v>
      </c>
      <c r="J39" s="844" t="e">
        <f ca="1">ROUND(J35/C39,3)</f>
        <v>#DIV/0!</v>
      </c>
      <c r="K39" s="2082"/>
      <c r="L39" s="2076"/>
      <c r="M39" s="2076"/>
    </row>
    <row r="40" spans="1:18" ht="18" customHeight="1">
      <c r="A40" s="780" t="s">
        <v>1896</v>
      </c>
      <c r="B40" s="2231" t="s">
        <v>2301</v>
      </c>
      <c r="C40" s="782" t="e">
        <f ca="1">ROUND(C39*(1-((1+F42)/(1+F40))^F41)/(F40-F42),0)</f>
        <v>#DIV/0!</v>
      </c>
      <c r="D40" s="813" t="s">
        <v>1808</v>
      </c>
      <c r="E40" s="783" t="s">
        <v>2417</v>
      </c>
      <c r="F40" s="793">
        <f ca="1">INDIRECT("'数据-取费表'!I"&amp;$G$1)</f>
        <v>0</v>
      </c>
      <c r="G40" s="2061"/>
      <c r="H40" s="2061"/>
      <c r="I40" s="836" t="s">
        <v>1820</v>
      </c>
      <c r="J40" s="844" t="e">
        <f ca="1">1-J39</f>
        <v>#DIV/0!</v>
      </c>
      <c r="K40" s="2082"/>
      <c r="L40" s="2061"/>
      <c r="M40" s="2061"/>
    </row>
    <row r="41" spans="1:18" ht="18" customHeight="1">
      <c r="A41" s="785"/>
      <c r="B41" s="786"/>
      <c r="C41" s="787"/>
      <c r="D41" s="820" t="s">
        <v>1809</v>
      </c>
      <c r="E41" s="783" t="s">
        <v>2955</v>
      </c>
      <c r="F41" s="821">
        <f ca="1">IF(INDIRECT("'数据-取费表'!af"&amp;$G$1)=0,INDIRECT("'数据-取费表'!ae"&amp;$G$1),INDIRECT("'数据-取费表'!af"&amp;$G$1))</f>
        <v>0</v>
      </c>
      <c r="G41" s="2061"/>
      <c r="H41" s="1987"/>
      <c r="I41" s="842" t="s">
        <v>1821</v>
      </c>
      <c r="J41" s="845"/>
      <c r="K41" s="2081"/>
      <c r="L41" s="1987"/>
      <c r="M41" s="1987"/>
    </row>
    <row r="42" spans="1:18" ht="18" customHeight="1">
      <c r="A42" s="789"/>
      <c r="B42" s="790"/>
      <c r="C42" s="791"/>
      <c r="D42" s="815"/>
      <c r="E42" s="783" t="s">
        <v>1810</v>
      </c>
      <c r="F42" s="793">
        <f ca="1">INDIRECT("'数据-取费表'!v"&amp;$G$1)</f>
        <v>0</v>
      </c>
      <c r="G42" s="2061"/>
      <c r="H42" s="1987"/>
      <c r="I42" s="846" t="s">
        <v>1822</v>
      </c>
      <c r="J42" s="844" t="e">
        <f ca="1">ROUND(C13/C40,3)</f>
        <v>#DIV/0!</v>
      </c>
      <c r="K42" s="2081"/>
      <c r="L42" s="1987"/>
      <c r="M42" s="1987"/>
    </row>
    <row r="43" spans="1:18" ht="18" customHeight="1" thickBot="1">
      <c r="A43" s="822" t="s">
        <v>1788</v>
      </c>
      <c r="B43" s="823" t="s">
        <v>1811</v>
      </c>
      <c r="C43" s="824" t="e">
        <f ca="1">ROUND(C40*10000/F43,0)</f>
        <v>#DIV/0!</v>
      </c>
      <c r="D43" s="825" t="s">
        <v>1812</v>
      </c>
      <c r="E43" s="826" t="s">
        <v>1813</v>
      </c>
      <c r="F43" s="827">
        <f ca="1">INDIRECT("'数据-取费表'!k"&amp;$G$1)</f>
        <v>0</v>
      </c>
      <c r="G43" s="2061"/>
      <c r="H43" s="1987"/>
      <c r="I43" s="846" t="s">
        <v>1823</v>
      </c>
      <c r="J43" s="847"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t="e">
        <f ca="1">C67-C40</f>
        <v>#DIV/0!</v>
      </c>
      <c r="D46" s="2084"/>
      <c r="E46" s="2084"/>
      <c r="F46" s="2084"/>
      <c r="I46" s="2377" t="s">
        <v>2340</v>
      </c>
      <c r="J46" s="2378"/>
      <c r="K46" s="2379"/>
      <c r="L46" s="2380" t="str">
        <f ca="1">IF(M47="住宅",0,IF(L48&gt;J51,L60,J60))</f>
        <v>0</v>
      </c>
      <c r="O46" s="2417" t="s">
        <v>2408</v>
      </c>
      <c r="P46" s="1591"/>
      <c r="Q46" s="1603"/>
      <c r="R46" s="1591"/>
    </row>
    <row r="47" spans="1:18" s="2058" customFormat="1" ht="18" customHeight="1" thickBot="1">
      <c r="A47" s="2371">
        <v>1</v>
      </c>
      <c r="B47" s="2372" t="s">
        <v>636</v>
      </c>
      <c r="C47" s="2597">
        <f ca="1">C48+C52+C54</f>
        <v>0</v>
      </c>
      <c r="D47" s="2084"/>
      <c r="E47" s="2084"/>
      <c r="F47" s="2084"/>
      <c r="I47" s="2381" t="s">
        <v>2341</v>
      </c>
      <c r="J47" s="2386" t="s">
        <v>3709</v>
      </c>
      <c r="K47" s="2387" t="s">
        <v>2347</v>
      </c>
      <c r="L47" s="2388">
        <f ca="1">INDIRECT("'数据-取费表'!d"&amp;$G$1)</f>
        <v>0</v>
      </c>
      <c r="M47" s="1603" t="str">
        <f>IF(ISNUMBER(FIND("住宅",C1)),"住宅","非住宅")</f>
        <v>非住宅</v>
      </c>
      <c r="O47" s="2418" t="s">
        <v>2373</v>
      </c>
      <c r="P47" s="2419" t="s">
        <v>2374</v>
      </c>
      <c r="Q47" s="2420" t="s">
        <v>2375</v>
      </c>
      <c r="R47" s="2419" t="s">
        <v>2376</v>
      </c>
    </row>
    <row r="48" spans="1:18" s="2058" customFormat="1" ht="18" customHeight="1" thickBot="1">
      <c r="A48" s="2666" t="s">
        <v>2537</v>
      </c>
      <c r="B48" s="2667" t="s">
        <v>2538</v>
      </c>
      <c r="C48" s="2373">
        <f ca="1">ROUND(F48*F50*F49*(1-F51)/10000,0)</f>
        <v>0</v>
      </c>
      <c r="D48" s="2374" t="s">
        <v>637</v>
      </c>
      <c r="E48" s="2375" t="s">
        <v>2296</v>
      </c>
      <c r="F48" s="2376"/>
      <c r="G48" s="2089"/>
      <c r="I48" s="2382" t="s">
        <v>2342</v>
      </c>
      <c r="J48" s="2389" t="s">
        <v>2348</v>
      </c>
      <c r="K48" s="2390" t="s">
        <v>2349</v>
      </c>
      <c r="L48" s="2391">
        <f ca="1">INDIRECT("'数据-取费表'!f"&amp;$G$1)</f>
        <v>0</v>
      </c>
      <c r="O48" s="2421" t="s">
        <v>2377</v>
      </c>
      <c r="P48" s="2422" t="s">
        <v>2403</v>
      </c>
      <c r="Q48" s="2423" t="e">
        <f ca="1">C40+J29</f>
        <v>#DIV/0!</v>
      </c>
      <c r="R48" s="2422" t="s">
        <v>2378</v>
      </c>
    </row>
    <row r="49" spans="1:18" s="2058" customFormat="1" ht="18" customHeight="1" thickBot="1">
      <c r="A49" s="785"/>
      <c r="B49" s="786"/>
      <c r="C49" s="787"/>
      <c r="D49" s="788"/>
      <c r="E49" s="783" t="s">
        <v>1740</v>
      </c>
      <c r="F49" s="784">
        <f ca="1">F7</f>
        <v>0</v>
      </c>
      <c r="G49" s="2089"/>
      <c r="H49" s="2092"/>
      <c r="I49" s="2382" t="s">
        <v>2343</v>
      </c>
      <c r="J49" s="2392"/>
      <c r="K49" s="2393" t="s">
        <v>2350</v>
      </c>
      <c r="L49" s="2394"/>
      <c r="O49" s="2421" t="s">
        <v>2379</v>
      </c>
      <c r="P49" s="2422" t="s">
        <v>2404</v>
      </c>
      <c r="Q49" s="2423" t="str">
        <f ca="1">J60</f>
        <v>0</v>
      </c>
      <c r="R49" s="2422" t="s">
        <v>2380</v>
      </c>
    </row>
    <row r="50" spans="1:18" s="2058" customFormat="1" ht="18" customHeight="1" thickBot="1">
      <c r="A50" s="785"/>
      <c r="B50" s="786"/>
      <c r="C50" s="787"/>
      <c r="D50" s="788"/>
      <c r="E50" s="783" t="s">
        <v>1741</v>
      </c>
      <c r="F50" s="784">
        <f ca="1">F8</f>
        <v>0</v>
      </c>
      <c r="G50" s="2094"/>
      <c r="H50" s="2092"/>
      <c r="I50" s="2382" t="s">
        <v>2344</v>
      </c>
      <c r="J50" s="2395">
        <f>SUMPRODUCT((I63:I65=J47)*(J62:L62=J48)*(J63:L65))</f>
        <v>60</v>
      </c>
      <c r="K50" s="2393" t="s">
        <v>2351</v>
      </c>
      <c r="L50" s="2394"/>
      <c r="O50" s="2424" t="s">
        <v>2381</v>
      </c>
      <c r="P50" s="2422" t="s">
        <v>2405</v>
      </c>
      <c r="Q50" s="2423">
        <f ca="1">C29</f>
        <v>0</v>
      </c>
      <c r="R50" s="2422" t="s">
        <v>2378</v>
      </c>
    </row>
    <row r="51" spans="1:18" s="2058" customFormat="1" ht="18" customHeight="1" thickBot="1">
      <c r="A51" s="785"/>
      <c r="B51" s="786"/>
      <c r="C51" s="787"/>
      <c r="D51" s="788"/>
      <c r="E51" s="783" t="s">
        <v>641</v>
      </c>
      <c r="F51" s="2370"/>
      <c r="H51" s="2092"/>
      <c r="I51" s="2383" t="s">
        <v>2345</v>
      </c>
      <c r="J51" s="2396">
        <f>IF(J49="",J50,J49+J50-YEAR('数据-取费表'!B2))</f>
        <v>60</v>
      </c>
      <c r="K51" s="2382" t="s">
        <v>2352</v>
      </c>
      <c r="L51" s="2397">
        <f ca="1">ROUND(-PV(INDIRECT("'数据-取费表'!h"&amp;$G$1),L48,(C39-C13*J36),0),0)</f>
        <v>0</v>
      </c>
      <c r="O51" s="2424" t="s">
        <v>2382</v>
      </c>
      <c r="P51" s="2422" t="s">
        <v>2383</v>
      </c>
      <c r="Q51" s="2425" t="e">
        <f ca="1">J58</f>
        <v>#VALUE!</v>
      </c>
      <c r="R51" s="2426"/>
    </row>
    <row r="52" spans="1:18" s="2058" customFormat="1" ht="18" customHeight="1" thickBot="1">
      <c r="A52" s="780" t="s">
        <v>2536</v>
      </c>
      <c r="B52" s="2517" t="s">
        <v>2458</v>
      </c>
      <c r="C52" s="798">
        <f ca="1">ROUND(IF(F52="押一",F48*F50*F49/12*F11,IF(F52="押二",F48*F50*F49/12*2*F11,IF(F52="押三",F48*F50*F49/12*3*F11,C53*F11)))/10000,0)</f>
        <v>0</v>
      </c>
      <c r="D52" s="2524" t="s">
        <v>2465</v>
      </c>
      <c r="E52" s="2521" t="s">
        <v>2463</v>
      </c>
      <c r="F52" s="2644"/>
      <c r="I52" s="2384" t="s">
        <v>2419</v>
      </c>
      <c r="J52" s="2398"/>
      <c r="K52" s="2384" t="s">
        <v>2418</v>
      </c>
      <c r="L52" s="2398"/>
      <c r="O52" s="2424" t="s">
        <v>2384</v>
      </c>
      <c r="P52" s="2422" t="s">
        <v>2385</v>
      </c>
      <c r="Q52" s="2425">
        <f>J52</f>
        <v>0</v>
      </c>
      <c r="R52" s="2426"/>
    </row>
    <row r="53" spans="1:18" s="2058" customFormat="1" ht="39.75" customHeight="1" thickBot="1">
      <c r="A53" s="785"/>
      <c r="B53" s="2518" t="s">
        <v>2573</v>
      </c>
      <c r="C53" s="2522"/>
      <c r="D53" s="2524"/>
      <c r="E53" s="2521"/>
      <c r="F53" s="799"/>
      <c r="I53" s="2385" t="s">
        <v>2346</v>
      </c>
      <c r="J53" s="2399">
        <f ca="1">IF(M47="住宅",J51,IF(D1="——",MIN(J51,L48),IF(D1="土地（套用方法）",MIN(J51,L48-'数据-取费表'!B20))))</f>
        <v>-2</v>
      </c>
      <c r="K53" s="3816" t="s">
        <v>2957</v>
      </c>
      <c r="L53" s="3817"/>
      <c r="O53" s="2424" t="s">
        <v>2386</v>
      </c>
      <c r="P53" s="2422" t="s">
        <v>2387</v>
      </c>
      <c r="Q53" s="2423">
        <f ca="1">J53</f>
        <v>-2</v>
      </c>
      <c r="R53" s="2422" t="s">
        <v>2388</v>
      </c>
    </row>
    <row r="54" spans="1:18" s="2058" customFormat="1" ht="18" customHeight="1" thickBot="1">
      <c r="A54" s="2560" t="s">
        <v>2467</v>
      </c>
      <c r="B54" s="2561" t="s">
        <v>2459</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2389</v>
      </c>
      <c r="P54" s="2422" t="s">
        <v>2406</v>
      </c>
      <c r="Q54" s="2423" t="e">
        <f ca="1">Q48+Q49</f>
        <v>#DIV/0!</v>
      </c>
      <c r="R54" s="2426" t="s">
        <v>2390</v>
      </c>
    </row>
    <row r="55" spans="1:18" s="2058" customFormat="1" ht="18" customHeight="1" thickTop="1" thickBot="1">
      <c r="A55" s="796">
        <v>2</v>
      </c>
      <c r="B55" s="797" t="s">
        <v>645</v>
      </c>
      <c r="C55" s="798">
        <f ca="1">C13</f>
        <v>0</v>
      </c>
      <c r="D55" s="794"/>
      <c r="E55" s="794"/>
      <c r="F55" s="799"/>
      <c r="I55" s="3126" t="s">
        <v>2353</v>
      </c>
      <c r="J55" s="3125" t="e">
        <f ca="1">ROUND(IF(J47="钢混",J57/J50,1-(1-2%)*(J50-J57)/J50),3)</f>
        <v>#VALUE!</v>
      </c>
      <c r="K55" s="2400" t="s">
        <v>2354</v>
      </c>
      <c r="L55" s="2401"/>
      <c r="O55" s="2427" t="s">
        <v>2409</v>
      </c>
      <c r="P55" s="1591"/>
      <c r="Q55" s="1603"/>
      <c r="R55" s="1591"/>
    </row>
    <row r="56" spans="1:18" s="2058" customFormat="1" ht="42.75" customHeight="1" thickBot="1">
      <c r="A56" s="1649"/>
      <c r="B56" s="2230" t="s">
        <v>2302</v>
      </c>
      <c r="C56" s="53">
        <f ca="1">C29</f>
        <v>0</v>
      </c>
      <c r="D56" s="3180"/>
      <c r="E56" s="783"/>
      <c r="F56" s="808"/>
      <c r="I56" s="2402" t="s">
        <v>2355</v>
      </c>
      <c r="J56" s="3149" t="s">
        <v>1679</v>
      </c>
      <c r="K56" s="2382" t="s">
        <v>2360</v>
      </c>
      <c r="L56" s="2391" t="str">
        <f ca="1">IF(L48&lt;J51,"——",L48-J51)</f>
        <v>——</v>
      </c>
      <c r="O56" s="2418" t="s">
        <v>2373</v>
      </c>
      <c r="P56" s="2419" t="s">
        <v>2374</v>
      </c>
      <c r="Q56" s="2420" t="s">
        <v>2375</v>
      </c>
      <c r="R56" s="2419" t="s">
        <v>2376</v>
      </c>
    </row>
    <row r="57" spans="1:18" s="2058" customFormat="1" ht="28.5" customHeight="1" thickBot="1">
      <c r="A57" s="796" t="s">
        <v>1749</v>
      </c>
      <c r="B57" s="797" t="s">
        <v>652</v>
      </c>
      <c r="C57" s="798">
        <f ca="1">ROUND(C58+C63+C64+C65,0)</f>
        <v>0</v>
      </c>
      <c r="D57" s="26" t="s">
        <v>1751</v>
      </c>
      <c r="E57" s="3182"/>
      <c r="F57" s="56"/>
      <c r="I57" s="2403" t="s">
        <v>2356</v>
      </c>
      <c r="J57" s="2405" t="str">
        <f ca="1">IF(OR(M47="住宅",J51&lt;L48,J56="是"),"——",J51-L48)</f>
        <v>——</v>
      </c>
      <c r="K57" s="2382" t="s">
        <v>2361</v>
      </c>
      <c r="L57" s="2391" t="str">
        <f ca="1">IF(L48&lt;J51,"——",IF(L55="比较法",L49,IF(L55="基准地价",L50,L51)))</f>
        <v>——</v>
      </c>
      <c r="O57" s="2421" t="s">
        <v>2377</v>
      </c>
      <c r="P57" s="2422" t="s">
        <v>2407</v>
      </c>
      <c r="Q57" s="2423" t="e">
        <f ca="1">C40+J29</f>
        <v>#DIV/0!</v>
      </c>
      <c r="R57" s="2422" t="s">
        <v>2378</v>
      </c>
    </row>
    <row r="58" spans="1:18" s="2058" customFormat="1" ht="28.5" customHeight="1" thickBot="1">
      <c r="A58" s="1648" t="s">
        <v>1825</v>
      </c>
      <c r="B58" s="783" t="s">
        <v>657</v>
      </c>
      <c r="C58" s="53">
        <f ca="1">ROUND(IF(项目基本情况!B11="自然人",C47*F58,C59+C60+C61),1)</f>
        <v>0</v>
      </c>
      <c r="D58" s="3179" t="s">
        <v>658</v>
      </c>
      <c r="E58" s="3180" t="s">
        <v>691</v>
      </c>
      <c r="F58" s="809" t="str">
        <f ca="1">IF(项目基本情况!B11="企业","",IF(INDIRECT("'数据-取费表'!c"&amp;$G$1)="住宅",5%,IF(F48*F49*F50/12/(1+'数据-取费表'!C42)&gt;20000,12%,7%)))</f>
        <v/>
      </c>
      <c r="I58" s="2403" t="s">
        <v>2357</v>
      </c>
      <c r="J58" s="3127" t="e">
        <f ca="1">IF(J55&lt;0.4,0.4,J55)</f>
        <v>#VALUE!</v>
      </c>
      <c r="K58" s="2382" t="s">
        <v>2362</v>
      </c>
      <c r="L58" s="2391" t="e">
        <f ca="1">ROUND(POWER(1+L52,L47-L48)*(POWER(1+L52,L48)-1)/(POWER(1+L52,L47)-1),4)</f>
        <v>#DIV/0!</v>
      </c>
      <c r="O58" s="2421" t="s">
        <v>2379</v>
      </c>
      <c r="P58" s="2422" t="s">
        <v>2410</v>
      </c>
      <c r="Q58" s="2423">
        <f ca="1">L60</f>
        <v>0</v>
      </c>
      <c r="R58" s="2426" t="s">
        <v>2412</v>
      </c>
    </row>
    <row r="59" spans="1:18" s="2058" customFormat="1" ht="28.5" customHeight="1" thickBot="1">
      <c r="A59" s="1647" t="s">
        <v>1832</v>
      </c>
      <c r="B59" s="783" t="s">
        <v>661</v>
      </c>
      <c r="C59" s="53">
        <f ca="1">ROUND(C47*F59/1.05,1)</f>
        <v>0</v>
      </c>
      <c r="D59" s="3180" t="s">
        <v>1757</v>
      </c>
      <c r="E59" s="783" t="s">
        <v>1748</v>
      </c>
      <c r="F59" s="808">
        <f t="shared" ref="F59:F65" si="0">F32</f>
        <v>5.6000000000000001E-2</v>
      </c>
      <c r="I59" s="2403" t="s">
        <v>2358</v>
      </c>
      <c r="J59" s="2405"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2381</v>
      </c>
      <c r="P59" s="2422" t="s">
        <v>2411</v>
      </c>
      <c r="Q59" s="2423">
        <f>IF(L55="比较法",L49,IF(L55="基准地价",L50,0))</f>
        <v>0</v>
      </c>
      <c r="R59" s="2422" t="s">
        <v>2378</v>
      </c>
    </row>
    <row r="60" spans="1:18" s="2058" customFormat="1" ht="18" customHeight="1" thickBot="1">
      <c r="A60" s="1647" t="s">
        <v>1833</v>
      </c>
      <c r="B60" s="783" t="s">
        <v>1759</v>
      </c>
      <c r="C60" s="53">
        <f ca="1">IF(D60="按租金收入计税",ROUND(C47*F60,1),IF(D60="按房产原值计税",ROUND(C56*F60*0.7,1),INDIRECT("'数据-取费表'!Aj"&amp;$G$1)))</f>
        <v>0</v>
      </c>
      <c r="D60" s="3180" t="str">
        <f>D33</f>
        <v>按房产原值计税</v>
      </c>
      <c r="E60" s="783" t="s">
        <v>1748</v>
      </c>
      <c r="F60" s="808">
        <f t="shared" si="0"/>
        <v>1.2E-2</v>
      </c>
      <c r="I60" s="2404" t="s">
        <v>2359</v>
      </c>
      <c r="J60" s="2406" t="str">
        <f ca="1">IF(OR(M47="住宅",J51&lt;L48,J56="是"),"0",ROUND(J59/(1+J52)^J53,0))</f>
        <v>0</v>
      </c>
      <c r="K60" s="2407" t="s">
        <v>2364</v>
      </c>
      <c r="L60" s="2406">
        <f ca="1">IF(OR(M47="住宅",L48&lt;J51),0,ROUND(L57*(L58/L59-1),0))</f>
        <v>0</v>
      </c>
      <c r="O60" s="2424" t="s">
        <v>2382</v>
      </c>
      <c r="P60" s="2422" t="s">
        <v>2391</v>
      </c>
      <c r="Q60" s="2425">
        <f>L52</f>
        <v>0</v>
      </c>
      <c r="R60" s="2426"/>
    </row>
    <row r="61" spans="1:18" s="2058" customFormat="1" ht="18" customHeight="1" thickBot="1">
      <c r="A61" s="1650" t="s">
        <v>1834</v>
      </c>
      <c r="B61" s="340" t="s">
        <v>669</v>
      </c>
      <c r="C61" s="54">
        <f ca="1">ROUND(F61*F62/10000,1)</f>
        <v>0</v>
      </c>
      <c r="D61" s="813" t="s">
        <v>670</v>
      </c>
      <c r="E61" s="783" t="s">
        <v>671</v>
      </c>
      <c r="F61" s="639">
        <f t="shared" si="0"/>
        <v>16</v>
      </c>
      <c r="K61" s="2085"/>
      <c r="O61" s="2424" t="s">
        <v>2384</v>
      </c>
      <c r="P61" s="2422" t="s">
        <v>2392</v>
      </c>
      <c r="Q61" s="2423" t="e">
        <f ca="1">L58</f>
        <v>#DIV/0!</v>
      </c>
      <c r="R61" s="2426" t="s">
        <v>2393</v>
      </c>
    </row>
    <row r="62" spans="1:18" s="2058" customFormat="1" ht="15.75" thickBot="1">
      <c r="A62" s="814"/>
      <c r="B62" s="792"/>
      <c r="C62" s="69"/>
      <c r="D62" s="815"/>
      <c r="E62" s="783" t="s">
        <v>675</v>
      </c>
      <c r="F62" s="784">
        <f t="shared" ca="1" si="0"/>
        <v>0</v>
      </c>
      <c r="I62" s="2408" t="s">
        <v>2365</v>
      </c>
      <c r="J62" s="2409" t="s">
        <v>2366</v>
      </c>
      <c r="K62" s="2409" t="s">
        <v>2367</v>
      </c>
      <c r="L62" s="2409" t="s">
        <v>2348</v>
      </c>
      <c r="M62" s="3128" t="s">
        <v>2932</v>
      </c>
      <c r="O62" s="2424" t="s">
        <v>2386</v>
      </c>
      <c r="P62" s="2422" t="str">
        <f>K59</f>
        <v>建设期及建筑物耐用年限下的土地年期修正系数Kn</v>
      </c>
      <c r="Q62" s="2423" t="e">
        <f ca="1">L59</f>
        <v>#DIV/0!</v>
      </c>
      <c r="R62" s="2426" t="s">
        <v>2395</v>
      </c>
    </row>
    <row r="63" spans="1:18" s="2058" customFormat="1" ht="15.75" thickBot="1">
      <c r="A63" s="1648" t="s">
        <v>1890</v>
      </c>
      <c r="B63" s="783" t="s">
        <v>677</v>
      </c>
      <c r="C63" s="53">
        <f ca="1">ROUND(C56*F63,1)</f>
        <v>0</v>
      </c>
      <c r="D63" s="3180" t="s">
        <v>1804</v>
      </c>
      <c r="E63" s="783" t="s">
        <v>1748</v>
      </c>
      <c r="F63" s="816">
        <f t="shared" ca="1" si="0"/>
        <v>0</v>
      </c>
      <c r="I63" s="2408" t="s">
        <v>2368</v>
      </c>
      <c r="J63" s="2409">
        <v>70</v>
      </c>
      <c r="K63" s="2409">
        <v>50</v>
      </c>
      <c r="L63" s="2409">
        <v>80</v>
      </c>
      <c r="M63" s="3129">
        <v>0.02</v>
      </c>
      <c r="O63" s="2421" t="s">
        <v>2389</v>
      </c>
      <c r="P63" s="2422" t="s">
        <v>2406</v>
      </c>
      <c r="Q63" s="2423" t="e">
        <f ca="1">Q57+Q58</f>
        <v>#DIV/0!</v>
      </c>
      <c r="R63" s="2426" t="s">
        <v>2390</v>
      </c>
    </row>
    <row r="64" spans="1:18" s="2058" customFormat="1" ht="16.5" thickBot="1">
      <c r="A64" s="1648" t="s">
        <v>1891</v>
      </c>
      <c r="B64" s="783" t="s">
        <v>680</v>
      </c>
      <c r="C64" s="53">
        <f ca="1">ROUND(C55*F64,1)</f>
        <v>0</v>
      </c>
      <c r="D64" s="3180" t="s">
        <v>681</v>
      </c>
      <c r="E64" s="783" t="s">
        <v>1748</v>
      </c>
      <c r="F64" s="817">
        <f t="shared" ca="1" si="0"/>
        <v>0</v>
      </c>
      <c r="I64" s="2408" t="s">
        <v>2369</v>
      </c>
      <c r="J64" s="2409">
        <v>50</v>
      </c>
      <c r="K64" s="2409">
        <v>35</v>
      </c>
      <c r="L64" s="2409">
        <v>60</v>
      </c>
      <c r="M64" s="3130">
        <v>0</v>
      </c>
      <c r="O64" s="2427" t="s">
        <v>2413</v>
      </c>
      <c r="P64" s="1591"/>
      <c r="Q64" s="1603"/>
      <c r="R64" s="1591"/>
    </row>
    <row r="65" spans="1:18" s="2058" customFormat="1" ht="15.75" thickBot="1">
      <c r="A65" s="1648" t="s">
        <v>1892</v>
      </c>
      <c r="B65" s="783" t="s">
        <v>667</v>
      </c>
      <c r="C65" s="53">
        <f ca="1">ROUND(C47*F65,1)</f>
        <v>0</v>
      </c>
      <c r="D65" s="3180" t="s">
        <v>684</v>
      </c>
      <c r="E65" s="783" t="s">
        <v>1748</v>
      </c>
      <c r="F65" s="793">
        <f t="shared" ca="1" si="0"/>
        <v>0</v>
      </c>
      <c r="I65" s="2408" t="s">
        <v>2370</v>
      </c>
      <c r="J65" s="2409">
        <v>40</v>
      </c>
      <c r="K65" s="2409">
        <v>30</v>
      </c>
      <c r="L65" s="2409">
        <v>50</v>
      </c>
      <c r="M65" s="3129">
        <v>0.02</v>
      </c>
      <c r="O65" s="2418" t="s">
        <v>2373</v>
      </c>
      <c r="P65" s="2419" t="s">
        <v>2374</v>
      </c>
      <c r="Q65" s="2420" t="s">
        <v>2375</v>
      </c>
      <c r="R65" s="2419" t="s">
        <v>2376</v>
      </c>
    </row>
    <row r="66" spans="1:18" s="2058" customFormat="1" ht="24.75" thickBot="1">
      <c r="A66" s="796" t="s">
        <v>1777</v>
      </c>
      <c r="B66" s="3035" t="s">
        <v>2821</v>
      </c>
      <c r="C66" s="798">
        <f ca="1">C47-C57</f>
        <v>0</v>
      </c>
      <c r="D66" s="3179" t="s">
        <v>701</v>
      </c>
      <c r="E66" s="3177"/>
      <c r="F66" s="819"/>
      <c r="K66" s="2085"/>
      <c r="O66" s="2421" t="s">
        <v>2377</v>
      </c>
      <c r="P66" s="2422" t="s">
        <v>2407</v>
      </c>
      <c r="Q66" s="2423" t="e">
        <f ca="1">C40+J29</f>
        <v>#DIV/0!</v>
      </c>
      <c r="R66" s="2422" t="s">
        <v>2378</v>
      </c>
    </row>
    <row r="67" spans="1:18" s="2058" customFormat="1" ht="20.25" thickBot="1">
      <c r="A67" s="780" t="s">
        <v>1781</v>
      </c>
      <c r="B67" s="2231" t="s">
        <v>2301</v>
      </c>
      <c r="C67" s="782" t="e">
        <f ca="1">ROUND(C66*(1-((1+F69)/(1+F67))^F68)/(F67-F69),0)</f>
        <v>#DIV/0!</v>
      </c>
      <c r="D67" s="813" t="s">
        <v>705</v>
      </c>
      <c r="E67" s="783" t="s">
        <v>706</v>
      </c>
      <c r="F67" s="793">
        <f ca="1">F40</f>
        <v>0</v>
      </c>
      <c r="K67" s="2085"/>
      <c r="O67" s="2421" t="s">
        <v>2379</v>
      </c>
      <c r="P67" s="2422" t="s">
        <v>2410</v>
      </c>
      <c r="Q67" s="2423">
        <f ca="1">L60</f>
        <v>0</v>
      </c>
      <c r="R67" s="2426" t="s">
        <v>2412</v>
      </c>
    </row>
    <row r="68" spans="1:18" ht="21.75" thickBot="1">
      <c r="A68" s="785"/>
      <c r="B68" s="786"/>
      <c r="C68" s="787"/>
      <c r="D68" s="820" t="s">
        <v>1809</v>
      </c>
      <c r="E68" s="783" t="s">
        <v>1785</v>
      </c>
      <c r="F68" s="821">
        <f ca="1">F41</f>
        <v>0</v>
      </c>
      <c r="O68" s="2424" t="s">
        <v>2381</v>
      </c>
      <c r="P68" s="2422" t="s">
        <v>2411</v>
      </c>
      <c r="Q68" s="2428">
        <f ca="1">L51</f>
        <v>0</v>
      </c>
      <c r="R68" s="2429" t="s">
        <v>2414</v>
      </c>
    </row>
    <row r="69" spans="1:18" ht="20.25" thickBot="1">
      <c r="A69" s="789"/>
      <c r="B69" s="790"/>
      <c r="C69" s="791"/>
      <c r="D69" s="815"/>
      <c r="E69" s="783" t="s">
        <v>711</v>
      </c>
      <c r="F69" s="2370"/>
      <c r="O69" s="2424" t="s">
        <v>2382</v>
      </c>
      <c r="P69" s="2430" t="s">
        <v>2396</v>
      </c>
      <c r="Q69" s="2423">
        <f ca="1">ROUND(Q70-Q71*Q72,0)</f>
        <v>0</v>
      </c>
      <c r="R69" s="2426"/>
    </row>
    <row r="70" spans="1:18" ht="15.75" thickBot="1">
      <c r="A70" s="822" t="s">
        <v>1788</v>
      </c>
      <c r="B70" s="823" t="s">
        <v>1811</v>
      </c>
      <c r="C70" s="824" t="e">
        <f ca="1">ROUND(C67*10000/F70,0)</f>
        <v>#DIV/0!</v>
      </c>
      <c r="D70" s="825" t="s">
        <v>1812</v>
      </c>
      <c r="E70" s="826" t="s">
        <v>1813</v>
      </c>
      <c r="F70" s="827">
        <f ca="1">F43</f>
        <v>0</v>
      </c>
      <c r="O70" s="2424" t="s">
        <v>2397</v>
      </c>
      <c r="P70" s="2430" t="s">
        <v>2398</v>
      </c>
      <c r="Q70" s="2423">
        <f ca="1">C39</f>
        <v>0</v>
      </c>
      <c r="R70" s="2422" t="s">
        <v>2378</v>
      </c>
    </row>
    <row r="71" spans="1:18" ht="15.75" thickBot="1">
      <c r="O71" s="2424" t="s">
        <v>2399</v>
      </c>
      <c r="P71" s="2430" t="s">
        <v>2400</v>
      </c>
      <c r="Q71" s="2423">
        <f ca="1">C13</f>
        <v>0</v>
      </c>
      <c r="R71" s="2422" t="s">
        <v>2378</v>
      </c>
    </row>
    <row r="72" spans="1:18" ht="15.75" thickBot="1">
      <c r="O72" s="2424" t="s">
        <v>2401</v>
      </c>
      <c r="P72" s="2430" t="s">
        <v>2402</v>
      </c>
      <c r="Q72" s="2425">
        <f ca="1">J36</f>
        <v>0</v>
      </c>
      <c r="R72" s="2426"/>
    </row>
    <row r="73" spans="1:18" ht="15.75" thickBot="1">
      <c r="O73" s="2424" t="s">
        <v>2384</v>
      </c>
      <c r="P73" s="2422" t="s">
        <v>2391</v>
      </c>
      <c r="Q73" s="2425">
        <f>L52</f>
        <v>0</v>
      </c>
      <c r="R73" s="2426"/>
    </row>
    <row r="74" spans="1:18" ht="20.25" thickBot="1">
      <c r="O74" s="2424" t="s">
        <v>2386</v>
      </c>
      <c r="P74" s="2422" t="s">
        <v>2392</v>
      </c>
      <c r="Q74" s="2423" t="e">
        <f ca="1">L58</f>
        <v>#DIV/0!</v>
      </c>
      <c r="R74" s="2426" t="s">
        <v>2393</v>
      </c>
    </row>
    <row r="75" spans="1:18" ht="15.75" thickBot="1">
      <c r="O75" s="2424" t="s">
        <v>2415</v>
      </c>
      <c r="P75" s="2422" t="str">
        <f>K59</f>
        <v>建设期及建筑物耐用年限下的土地年期修正系数Kn</v>
      </c>
      <c r="Q75" s="2423" t="e">
        <f ca="1">L59</f>
        <v>#DIV/0!</v>
      </c>
      <c r="R75" s="2426" t="s">
        <v>2395</v>
      </c>
    </row>
    <row r="76" spans="1:18" ht="15.75" thickBot="1">
      <c r="O76" s="2421" t="s">
        <v>2389</v>
      </c>
      <c r="P76" s="2422" t="s">
        <v>2406</v>
      </c>
      <c r="Q76" s="2423" t="e">
        <f ca="1">Q66+Q67</f>
        <v>#DIV/0!</v>
      </c>
      <c r="R76" s="2426"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五矿国际信托有限公司：</v>
      </c>
    </row>
    <row r="4" spans="1:4" ht="56.25">
      <c r="A4" s="1790" t="str">
        <f>"受贵公司委托，我公司对"&amp;项目基本情况!K2&amp;项目基本情况!B9&amp;"进行了预评估。"</f>
        <v>受贵公司委托，我公司对陕西省西安市未央区凤城一路以南、百寰国际项目用地以北、先锋南北二路以西出让国有建设用地使用权市场价格进行了预评估。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西安迪雅置业有限公司使用的、位于陕西省西安市未央区凤城一路以南、百寰国际项目用地以北、先锋南北二路以西出让国有建设用地使用权。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113800平方米。</v>
      </c>
    </row>
    <row r="7" spans="1:4" ht="56.25">
      <c r="A7" s="1794" t="s">
        <v>2746</v>
      </c>
    </row>
    <row r="8" spans="1:4" ht="18.75">
      <c r="A8" s="1793" t="s">
        <v>1907</v>
      </c>
    </row>
    <row r="9" spans="1:4" ht="112.5">
      <c r="A9" s="1795" t="str">
        <f>IF(项目基本情况!B8="抵押",IF(项目基本情况!B5=项目基本情况!B6,定义!C51,定义!B51),定义!D51)</f>
        <v>西安迪雅置业有限公司拟使用陕西省西安市未央区凤城一路以南、百寰国际项目用地以北、先锋南北二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2018年2月28日（评估专业人员勘察现场之日）</v>
      </c>
    </row>
    <row r="12" spans="1:4" ht="18.75">
      <c r="A12" s="1796" t="s">
        <v>2025</v>
      </c>
    </row>
    <row r="13" spans="1:4" ht="18.75">
      <c r="A13" s="1790" t="s">
        <v>2931</v>
      </c>
    </row>
    <row r="14" spans="1:4" ht="37.5">
      <c r="A14" s="1790" t="str">
        <f>"根据"&amp;项目基本情况!F12&amp;"，本次评估估价对象证载（地类）用途为"&amp;项目基本情况!B12&amp;"。"</f>
        <v>根据《西安市规划局规划条件书（曲2018-1）》，本次评估估价对象证载（地类）用途为二类居住用地。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113800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西安市规划局规划条件书（曲2018-1）》证载土地终止日期为住宅2082年7月31日、商业2052年7月31日地下车库2062年7月31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及地下车库，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757</v>
      </c>
      <c r="C1" s="503" t="s">
        <v>721</v>
      </c>
      <c r="D1" s="2369"/>
      <c r="E1" s="505"/>
      <c r="F1" s="2831"/>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520</v>
      </c>
      <c r="B3" s="509" t="e">
        <f>C49</f>
        <v>#DIV/0!</v>
      </c>
      <c r="C3" s="851" t="s">
        <v>723</v>
      </c>
      <c r="D3" s="850">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7"/>
    </row>
    <row r="4" spans="1:29" ht="15">
      <c r="A4" s="511" t="s">
        <v>522</v>
      </c>
      <c r="B4" s="512"/>
      <c r="C4" s="3739" t="s">
        <v>523</v>
      </c>
      <c r="D4" s="3740"/>
      <c r="E4" s="3763" t="s">
        <v>524</v>
      </c>
      <c r="F4" s="3764"/>
      <c r="G4" s="3739" t="s">
        <v>525</v>
      </c>
      <c r="H4" s="3740"/>
      <c r="I4" s="3739" t="s">
        <v>526</v>
      </c>
      <c r="J4" s="3740"/>
      <c r="K4" s="513" t="s">
        <v>527</v>
      </c>
      <c r="L4" s="2132"/>
      <c r="M4" s="2133"/>
      <c r="N4" s="2133"/>
      <c r="O4" s="2133"/>
      <c r="P4" s="3741" t="s">
        <v>528</v>
      </c>
      <c r="Q4" s="3742"/>
      <c r="R4" s="3727" t="s">
        <v>524</v>
      </c>
      <c r="S4" s="3728"/>
      <c r="T4" s="3727" t="s">
        <v>525</v>
      </c>
      <c r="U4" s="3728"/>
      <c r="V4" s="3747" t="s">
        <v>526</v>
      </c>
      <c r="W4" s="3747"/>
      <c r="X4" s="1566"/>
      <c r="Y4" s="3727" t="s">
        <v>528</v>
      </c>
      <c r="Z4" s="3728"/>
      <c r="AA4" s="3722" t="s">
        <v>524</v>
      </c>
      <c r="AB4" s="3747" t="s">
        <v>525</v>
      </c>
      <c r="AC4" s="3722" t="s">
        <v>526</v>
      </c>
    </row>
    <row r="5" spans="1:29" ht="15">
      <c r="A5" s="514"/>
      <c r="B5" s="515"/>
      <c r="C5" s="3750" t="s">
        <v>2917</v>
      </c>
      <c r="D5" s="3751"/>
      <c r="E5" s="3765" t="s">
        <v>2918</v>
      </c>
      <c r="F5" s="3766"/>
      <c r="G5" s="3750" t="s">
        <v>2919</v>
      </c>
      <c r="H5" s="3751"/>
      <c r="I5" s="3750" t="s">
        <v>2920</v>
      </c>
      <c r="J5" s="3751"/>
      <c r="K5" s="513"/>
      <c r="L5" s="2132"/>
      <c r="M5" s="2133"/>
      <c r="N5" s="2133"/>
      <c r="O5" s="2133"/>
      <c r="P5" s="3743"/>
      <c r="Q5" s="3744"/>
      <c r="R5" s="3729"/>
      <c r="S5" s="3730"/>
      <c r="T5" s="3729"/>
      <c r="U5" s="3730"/>
      <c r="V5" s="3747"/>
      <c r="W5" s="3747"/>
      <c r="X5" s="1566"/>
      <c r="Y5" s="3729"/>
      <c r="Z5" s="3730"/>
      <c r="AA5" s="3723"/>
      <c r="AB5" s="3747"/>
      <c r="AC5" s="3723"/>
    </row>
    <row r="6" spans="1:29" ht="15.75" thickBot="1">
      <c r="A6" s="516"/>
      <c r="B6" s="517"/>
      <c r="C6" s="3748" t="s">
        <v>2921</v>
      </c>
      <c r="D6" s="3749"/>
      <c r="E6" s="3767" t="s">
        <v>2921</v>
      </c>
      <c r="F6" s="3768"/>
      <c r="G6" s="3748" t="s">
        <v>2921</v>
      </c>
      <c r="H6" s="3749"/>
      <c r="I6" s="3748" t="s">
        <v>2921</v>
      </c>
      <c r="J6" s="3749"/>
      <c r="K6" s="513" t="s">
        <v>529</v>
      </c>
      <c r="L6" s="2132"/>
      <c r="M6" s="2133"/>
      <c r="N6" s="2133"/>
      <c r="O6" s="2133"/>
      <c r="P6" s="3745"/>
      <c r="Q6" s="3746"/>
      <c r="R6" s="3729"/>
      <c r="S6" s="3730"/>
      <c r="T6" s="3731"/>
      <c r="U6" s="3732"/>
      <c r="V6" s="3747"/>
      <c r="W6" s="3747"/>
      <c r="X6" s="1566"/>
      <c r="Y6" s="3731"/>
      <c r="Z6" s="3732"/>
      <c r="AA6" s="3724"/>
      <c r="AB6" s="3747"/>
      <c r="AC6" s="3724"/>
    </row>
    <row r="7" spans="1:29" s="1219" customFormat="1" ht="15.75" thickBot="1">
      <c r="A7" s="2936"/>
      <c r="B7" s="2943" t="s">
        <v>530</v>
      </c>
      <c r="C7" s="518">
        <f>'数据-取费表'!B2</f>
        <v>43159</v>
      </c>
      <c r="D7" s="519">
        <v>100</v>
      </c>
      <c r="E7" s="520"/>
      <c r="F7" s="521">
        <f>SUMIF(58:58,YEAR(E7)&amp;"-"&amp;MONTH(E7),59:59)</f>
        <v>0</v>
      </c>
      <c r="G7" s="520"/>
      <c r="H7" s="519">
        <f>SUMIF(58:58,YEAR(G7)&amp;"-"&amp;MONTH(G7),59:59)</f>
        <v>0</v>
      </c>
      <c r="I7" s="520"/>
      <c r="J7" s="519">
        <f>SUMIF(58:58,YEAR(I7)&amp;"-"&amp;MONTH(I7),59:59)</f>
        <v>0</v>
      </c>
      <c r="K7" s="523"/>
      <c r="L7" s="2134"/>
      <c r="M7" s="2135"/>
      <c r="N7" s="2135"/>
      <c r="O7" s="2135"/>
      <c r="P7" s="3725" t="s">
        <v>531</v>
      </c>
      <c r="Q7" s="3734"/>
      <c r="R7" s="1567" t="s">
        <v>8</v>
      </c>
      <c r="S7" s="1568">
        <f t="shared" ref="S7:S15" si="0">F7</f>
        <v>0</v>
      </c>
      <c r="T7" s="1567" t="s">
        <v>8</v>
      </c>
      <c r="U7" s="1568">
        <f t="shared" ref="U7:U15" si="1">H7</f>
        <v>0</v>
      </c>
      <c r="V7" s="1567" t="s">
        <v>8</v>
      </c>
      <c r="W7" s="1568">
        <f t="shared" ref="W7:W15" si="2">J7</f>
        <v>0</v>
      </c>
      <c r="X7" s="1569"/>
      <c r="Y7" s="3725" t="s">
        <v>531</v>
      </c>
      <c r="Z7" s="3726"/>
      <c r="AA7" s="1570" t="e">
        <f>D7/F7</f>
        <v>#DIV/0!</v>
      </c>
      <c r="AB7" s="1570" t="e">
        <f>D7/H7</f>
        <v>#DIV/0!</v>
      </c>
      <c r="AC7" s="1570" t="e">
        <f>D7/J7</f>
        <v>#DIV/0!</v>
      </c>
    </row>
    <row r="8" spans="1:29" s="1219" customFormat="1" ht="15.75" thickBot="1">
      <c r="A8" s="2937"/>
      <c r="B8" s="2944" t="s">
        <v>532</v>
      </c>
      <c r="C8" s="524" t="s">
        <v>577</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725" t="s">
        <v>534</v>
      </c>
      <c r="Q8" s="3726"/>
      <c r="R8" s="1567" t="s">
        <v>8</v>
      </c>
      <c r="S8" s="1568">
        <f t="shared" si="0"/>
        <v>0</v>
      </c>
      <c r="T8" s="1567" t="s">
        <v>8</v>
      </c>
      <c r="U8" s="1568">
        <f t="shared" si="1"/>
        <v>0</v>
      </c>
      <c r="V8" s="1567" t="s">
        <v>8</v>
      </c>
      <c r="W8" s="1568">
        <f t="shared" si="2"/>
        <v>0</v>
      </c>
      <c r="X8" s="1569"/>
      <c r="Y8" s="3725" t="s">
        <v>534</v>
      </c>
      <c r="Z8" s="3726"/>
      <c r="AA8" s="1570" t="e">
        <f t="shared" ref="AA8:AA46" si="3">D8/F8</f>
        <v>#DIV/0!</v>
      </c>
      <c r="AB8" s="1570" t="e">
        <f t="shared" ref="AB8:AB46" si="4">D8/H8</f>
        <v>#DIV/0!</v>
      </c>
      <c r="AC8" s="1570" t="e">
        <f t="shared" ref="AC8:AC46" si="5">D8/J8</f>
        <v>#DIV/0!</v>
      </c>
    </row>
    <row r="9" spans="1:29" s="1219" customFormat="1" ht="15">
      <c r="A9" s="2938"/>
      <c r="B9" s="2945" t="s">
        <v>2755</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733" t="s">
        <v>536</v>
      </c>
      <c r="Q9" s="1150" t="str">
        <f t="shared" ref="Q9:Q15" si="6">B9</f>
        <v>用途</v>
      </c>
      <c r="R9" s="1567" t="s">
        <v>8</v>
      </c>
      <c r="S9" s="1568">
        <f t="shared" si="0"/>
        <v>100</v>
      </c>
      <c r="T9" s="1567" t="s">
        <v>8</v>
      </c>
      <c r="U9" s="1568">
        <f t="shared" si="1"/>
        <v>100</v>
      </c>
      <c r="V9" s="1567" t="s">
        <v>8</v>
      </c>
      <c r="W9" s="1568">
        <f t="shared" si="2"/>
        <v>100</v>
      </c>
      <c r="X9" s="1569"/>
      <c r="Y9" s="3686" t="s">
        <v>537</v>
      </c>
      <c r="Z9" s="1149" t="str">
        <f t="shared" ref="Z9:Z15" si="7">Q9</f>
        <v>用途</v>
      </c>
      <c r="AA9" s="1570">
        <f t="shared" si="3"/>
        <v>1</v>
      </c>
      <c r="AB9" s="1570">
        <f t="shared" si="4"/>
        <v>1</v>
      </c>
      <c r="AC9" s="1570">
        <f t="shared" si="5"/>
        <v>1</v>
      </c>
    </row>
    <row r="10" spans="1:29" s="1337" customFormat="1" ht="27">
      <c r="A10" s="2939"/>
      <c r="B10" s="2944" t="s">
        <v>2756</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733"/>
      <c r="Q10" s="1150" t="str">
        <f t="shared" si="6"/>
        <v>土地使用年限（年）</v>
      </c>
      <c r="R10" s="1567" t="s">
        <v>8</v>
      </c>
      <c r="S10" s="1568">
        <f t="shared" si="0"/>
        <v>100</v>
      </c>
      <c r="T10" s="1567" t="s">
        <v>8</v>
      </c>
      <c r="U10" s="1568">
        <f t="shared" si="1"/>
        <v>100</v>
      </c>
      <c r="V10" s="1567" t="s">
        <v>8</v>
      </c>
      <c r="W10" s="1568">
        <f t="shared" si="2"/>
        <v>100</v>
      </c>
      <c r="X10" s="1569"/>
      <c r="Y10" s="3686"/>
      <c r="Z10" s="1149" t="str">
        <f t="shared" si="7"/>
        <v>土地使用年限（年）</v>
      </c>
      <c r="AA10" s="1570">
        <f t="shared" si="3"/>
        <v>1</v>
      </c>
      <c r="AB10" s="1570">
        <f t="shared" si="4"/>
        <v>1</v>
      </c>
      <c r="AC10" s="1570">
        <f t="shared" si="5"/>
        <v>1</v>
      </c>
    </row>
    <row r="11" spans="1:29" ht="15">
      <c r="A11" s="2940"/>
      <c r="B11" s="2944"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733"/>
      <c r="Q11" s="1150" t="str">
        <f t="shared" si="6"/>
        <v>容积率</v>
      </c>
      <c r="R11" s="1567" t="s">
        <v>8</v>
      </c>
      <c r="S11" s="1568" t="e">
        <f t="shared" si="0"/>
        <v>#N/A</v>
      </c>
      <c r="T11" s="1567" t="s">
        <v>8</v>
      </c>
      <c r="U11" s="1568" t="e">
        <f t="shared" si="1"/>
        <v>#N/A</v>
      </c>
      <c r="V11" s="1567" t="s">
        <v>8</v>
      </c>
      <c r="W11" s="1568" t="e">
        <f t="shared" si="2"/>
        <v>#N/A</v>
      </c>
      <c r="X11" s="1569"/>
      <c r="Y11" s="3686"/>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4"/>
      <c r="M12" s="2135"/>
      <c r="N12" s="2135"/>
      <c r="O12" s="2136"/>
      <c r="P12" s="3733"/>
      <c r="Q12" s="1150">
        <f t="shared" si="6"/>
        <v>111</v>
      </c>
      <c r="R12" s="1567" t="s">
        <v>8</v>
      </c>
      <c r="S12" s="1568">
        <f t="shared" si="0"/>
        <v>100</v>
      </c>
      <c r="T12" s="1567" t="s">
        <v>8</v>
      </c>
      <c r="U12" s="1568">
        <f t="shared" si="1"/>
        <v>100</v>
      </c>
      <c r="V12" s="1567" t="s">
        <v>8</v>
      </c>
      <c r="W12" s="1568">
        <f t="shared" si="2"/>
        <v>100</v>
      </c>
      <c r="X12" s="1569"/>
      <c r="Y12" s="3686"/>
      <c r="Z12" s="1149">
        <f t="shared" si="7"/>
        <v>111</v>
      </c>
      <c r="AA12" s="1570">
        <f>D12/F12</f>
        <v>1</v>
      </c>
      <c r="AB12" s="1570">
        <f>D12/H12</f>
        <v>1</v>
      </c>
      <c r="AC12" s="1570">
        <f>D12/J12</f>
        <v>1</v>
      </c>
    </row>
    <row r="13" spans="1:29" ht="15">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1"/>
      <c r="M13" s="2133"/>
      <c r="N13" s="2133"/>
      <c r="O13" s="2140"/>
      <c r="P13" s="3733"/>
      <c r="Q13" s="1150">
        <f t="shared" si="6"/>
        <v>111</v>
      </c>
      <c r="R13" s="1567" t="s">
        <v>8</v>
      </c>
      <c r="S13" s="1568">
        <f t="shared" si="0"/>
        <v>100</v>
      </c>
      <c r="T13" s="1567" t="s">
        <v>8</v>
      </c>
      <c r="U13" s="1568">
        <f t="shared" si="1"/>
        <v>100</v>
      </c>
      <c r="V13" s="1567" t="s">
        <v>8</v>
      </c>
      <c r="W13" s="1568">
        <f t="shared" si="2"/>
        <v>100</v>
      </c>
      <c r="X13" s="1569"/>
      <c r="Y13" s="3686"/>
      <c r="Z13" s="1149">
        <f t="shared" si="7"/>
        <v>111</v>
      </c>
      <c r="AA13" s="1570">
        <f t="shared" si="3"/>
        <v>1</v>
      </c>
      <c r="AB13" s="1570">
        <f t="shared" si="4"/>
        <v>1</v>
      </c>
      <c r="AC13" s="1570">
        <f t="shared" si="5"/>
        <v>1</v>
      </c>
    </row>
    <row r="14" spans="1:29" ht="15.75"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733"/>
      <c r="Q14" s="1150">
        <f t="shared" si="6"/>
        <v>111</v>
      </c>
      <c r="R14" s="1567" t="s">
        <v>8</v>
      </c>
      <c r="S14" s="1568">
        <f t="shared" si="0"/>
        <v>100</v>
      </c>
      <c r="T14" s="1567" t="s">
        <v>8</v>
      </c>
      <c r="U14" s="1568">
        <f t="shared" si="1"/>
        <v>100</v>
      </c>
      <c r="V14" s="1567" t="s">
        <v>8</v>
      </c>
      <c r="W14" s="1568">
        <f t="shared" si="2"/>
        <v>100</v>
      </c>
      <c r="X14" s="1569"/>
      <c r="Y14" s="3686"/>
      <c r="Z14" s="1149">
        <f t="shared" si="7"/>
        <v>111</v>
      </c>
      <c r="AA14" s="1570">
        <f t="shared" si="3"/>
        <v>1</v>
      </c>
      <c r="AB14" s="1570">
        <f t="shared" si="4"/>
        <v>1</v>
      </c>
      <c r="AC14" s="1570">
        <f t="shared" si="5"/>
        <v>1</v>
      </c>
    </row>
    <row r="15" spans="1:29" ht="71.25">
      <c r="A15" s="2934" t="s">
        <v>2753</v>
      </c>
      <c r="B15" s="166" t="s">
        <v>542</v>
      </c>
      <c r="C15" s="866" t="str">
        <f>估价对象房地状况!C4</f>
        <v>XX商圈，商业氛围，人流量（万达广场 大明宫购物中心 大明宫中央广场 建材）</v>
      </c>
      <c r="D15" s="548">
        <v>100</v>
      </c>
      <c r="E15" s="549"/>
      <c r="F15" s="550">
        <f>SUMIF(76:76,E16,77:77)-SUMIF(76:76,C16,77:77)+100</f>
        <v>100</v>
      </c>
      <c r="G15" s="551"/>
      <c r="H15" s="548">
        <f>SUMIF(76:76,G16,77:77)-SUMIF(76:76,C16,77:77)+100</f>
        <v>100</v>
      </c>
      <c r="I15" s="549"/>
      <c r="J15" s="548">
        <f>SUMIF(76:76,I16,77:77)-SUMIF(76:76,C16,77:77)+100</f>
        <v>100</v>
      </c>
      <c r="K15" s="897"/>
      <c r="L15" s="2141"/>
      <c r="M15" s="2133"/>
      <c r="N15" s="2133"/>
      <c r="O15" s="2140"/>
      <c r="P15" s="3735" t="s">
        <v>541</v>
      </c>
      <c r="Q15" s="1571" t="str">
        <f t="shared" si="6"/>
        <v>商业繁华度</v>
      </c>
      <c r="R15" s="1572" t="s">
        <v>8</v>
      </c>
      <c r="S15" s="1573">
        <f t="shared" si="0"/>
        <v>100</v>
      </c>
      <c r="T15" s="1572" t="s">
        <v>8</v>
      </c>
      <c r="U15" s="1573">
        <f t="shared" si="1"/>
        <v>100</v>
      </c>
      <c r="V15" s="1572" t="s">
        <v>8</v>
      </c>
      <c r="W15" s="1573">
        <f t="shared" si="2"/>
        <v>100</v>
      </c>
      <c r="X15" s="1566"/>
      <c r="Y15" s="3735" t="s">
        <v>541</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736"/>
      <c r="Q16" s="1571"/>
      <c r="R16" s="1572"/>
      <c r="S16" s="1573"/>
      <c r="T16" s="1572"/>
      <c r="U16" s="1573"/>
      <c r="V16" s="1572"/>
      <c r="W16" s="1573"/>
      <c r="X16" s="1566"/>
      <c r="Y16" s="3736"/>
      <c r="Z16" s="1574"/>
      <c r="AA16" s="1575">
        <v>1</v>
      </c>
      <c r="AB16" s="1575">
        <v>1</v>
      </c>
      <c r="AC16" s="1575">
        <v>1</v>
      </c>
    </row>
    <row r="17" spans="1:29" ht="99.75">
      <c r="A17" s="531"/>
      <c r="B17" s="870" t="s">
        <v>296</v>
      </c>
      <c r="C17" s="871" t="str">
        <f>估价对象房地状况!C6</f>
        <v>周边道路状况、公共交通通达情况、停车便捷程度（二环北路 17路 209路 245路 地铁3号线辛家庙站2公里</v>
      </c>
      <c r="D17" s="558">
        <v>100</v>
      </c>
      <c r="E17" s="561"/>
      <c r="F17" s="562">
        <f>SUMIF(78:78,E18,79:79)-SUMIF(78:78,C18,79:79)+100</f>
        <v>100</v>
      </c>
      <c r="G17" s="563"/>
      <c r="H17" s="564">
        <f>SUMIF(78:78,G18,79:79)-SUMIF(78:78,C18,79:79)+100</f>
        <v>100</v>
      </c>
      <c r="I17" s="561"/>
      <c r="J17" s="564">
        <f>SUMIF(78:78,I18,79:79)-SUMIF(78:78,C18,79:79)+100</f>
        <v>100</v>
      </c>
      <c r="K17" s="897"/>
      <c r="L17" s="2141"/>
      <c r="M17" s="2133"/>
      <c r="N17" s="2133"/>
      <c r="O17" s="2140"/>
      <c r="P17" s="3736"/>
      <c r="Q17" s="1571" t="str">
        <f>B17</f>
        <v>交通便捷度</v>
      </c>
      <c r="R17" s="1572" t="s">
        <v>8</v>
      </c>
      <c r="S17" s="1573">
        <f>F17</f>
        <v>100</v>
      </c>
      <c r="T17" s="1572" t="s">
        <v>8</v>
      </c>
      <c r="U17" s="1573">
        <f>H17</f>
        <v>100</v>
      </c>
      <c r="V17" s="1572" t="s">
        <v>8</v>
      </c>
      <c r="W17" s="1573">
        <f>J17</f>
        <v>100</v>
      </c>
      <c r="X17" s="1566"/>
      <c r="Y17" s="373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736"/>
      <c r="Q18" s="1571"/>
      <c r="R18" s="1572"/>
      <c r="S18" s="1573"/>
      <c r="T18" s="1572"/>
      <c r="U18" s="1573"/>
      <c r="V18" s="1572"/>
      <c r="W18" s="1573"/>
      <c r="X18" s="1566"/>
      <c r="Y18" s="3736"/>
      <c r="Z18" s="1574"/>
      <c r="AA18" s="1575">
        <v>1</v>
      </c>
      <c r="AB18" s="1575">
        <v>1</v>
      </c>
      <c r="AC18" s="1575">
        <v>1</v>
      </c>
    </row>
    <row r="19" spans="1:29" ht="142.5">
      <c r="A19" s="531"/>
      <c r="B19" s="2623" t="s">
        <v>2546</v>
      </c>
      <c r="C19" s="871" t="str">
        <f>估价对象房地状况!C7</f>
        <v>1.5公里 西安市第三医院 中国工商银行(西安北二环东段支行) 中国农业银行(太华北路支行) 西安市未央区幼儿园 大明宫小学 陕西师范大学锦园国际中学 永辉超市</v>
      </c>
      <c r="D19" s="564">
        <v>100</v>
      </c>
      <c r="E19" s="569"/>
      <c r="F19" s="570">
        <f>SUMIF(80:80,E20,81:81)-SUMIF(80:80,C20,81:81)+100</f>
        <v>100</v>
      </c>
      <c r="G19" s="571"/>
      <c r="H19" s="558">
        <f>SUMIF(80:80,G20,81:81)-SUMIF(80:80,C20,81:81)+100</f>
        <v>100</v>
      </c>
      <c r="I19" s="569"/>
      <c r="J19" s="558">
        <f>SUMIF(80:80,I20,81:81)-SUMIF(80:80,C20,81:81)+100</f>
        <v>100</v>
      </c>
      <c r="K19" s="897"/>
      <c r="L19" s="2141"/>
      <c r="M19" s="2133"/>
      <c r="N19" s="2133"/>
      <c r="O19" s="2140"/>
      <c r="P19" s="3736"/>
      <c r="Q19" s="1571" t="str">
        <f>B19</f>
        <v>公共配套设施</v>
      </c>
      <c r="R19" s="1572" t="s">
        <v>8</v>
      </c>
      <c r="S19" s="1573">
        <f>F19</f>
        <v>100</v>
      </c>
      <c r="T19" s="1572" t="s">
        <v>8</v>
      </c>
      <c r="U19" s="1573">
        <f>H19</f>
        <v>100</v>
      </c>
      <c r="V19" s="1572" t="s">
        <v>8</v>
      </c>
      <c r="W19" s="1573">
        <f>J19</f>
        <v>100</v>
      </c>
      <c r="X19" s="1566"/>
      <c r="Y19" s="3736"/>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1"/>
      <c r="M20" s="2133"/>
      <c r="N20" s="2133"/>
      <c r="O20" s="2140"/>
      <c r="P20" s="3736"/>
      <c r="Q20" s="1571"/>
      <c r="R20" s="1572"/>
      <c r="S20" s="1573"/>
      <c r="T20" s="1572"/>
      <c r="U20" s="1573"/>
      <c r="V20" s="1572"/>
      <c r="W20" s="1573"/>
      <c r="X20" s="1566"/>
      <c r="Y20" s="3736"/>
      <c r="Z20" s="1574"/>
      <c r="AA20" s="1575">
        <v>1</v>
      </c>
      <c r="AB20" s="1575">
        <v>1</v>
      </c>
      <c r="AC20" s="1575">
        <v>1</v>
      </c>
    </row>
    <row r="21" spans="1:29" ht="15">
      <c r="A21" s="531"/>
      <c r="B21" s="2616" t="s">
        <v>2558</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41"/>
      <c r="M21" s="2133"/>
      <c r="N21" s="2133"/>
      <c r="O21" s="2140"/>
      <c r="P21" s="3736"/>
      <c r="Q21" s="2602" t="str">
        <f>B21</f>
        <v>基础设施水平</v>
      </c>
      <c r="R21" s="1572" t="s">
        <v>8</v>
      </c>
      <c r="S21" s="1573">
        <f>F21</f>
        <v>100</v>
      </c>
      <c r="T21" s="1572" t="s">
        <v>8</v>
      </c>
      <c r="U21" s="1573">
        <f>H21</f>
        <v>100</v>
      </c>
      <c r="V21" s="1572" t="s">
        <v>8</v>
      </c>
      <c r="W21" s="1573">
        <f>J21</f>
        <v>100</v>
      </c>
      <c r="X21" s="2604"/>
      <c r="Y21" s="3736"/>
      <c r="Z21" s="2603"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5"/>
      <c r="L22" s="2141"/>
      <c r="M22" s="2133"/>
      <c r="N22" s="2133"/>
      <c r="O22" s="2140"/>
      <c r="P22" s="3736"/>
      <c r="Q22" s="2602"/>
      <c r="R22" s="1572"/>
      <c r="S22" s="1573"/>
      <c r="T22" s="1572"/>
      <c r="U22" s="1573"/>
      <c r="V22" s="1572"/>
      <c r="W22" s="1573"/>
      <c r="X22" s="2604"/>
      <c r="Y22" s="3736"/>
      <c r="Z22" s="2603"/>
      <c r="AA22" s="1575">
        <v>1</v>
      </c>
      <c r="AB22" s="1575">
        <v>1</v>
      </c>
      <c r="AC22" s="1575">
        <v>1</v>
      </c>
    </row>
    <row r="23" spans="1:29" ht="28.5">
      <c r="A23" s="531"/>
      <c r="B23" s="870" t="s">
        <v>297</v>
      </c>
      <c r="C23" s="899" t="str">
        <f>估价对象房地状况!C9</f>
        <v>大明宫国家遗址公园</v>
      </c>
      <c r="D23" s="558">
        <v>100</v>
      </c>
      <c r="E23" s="561"/>
      <c r="F23" s="562">
        <f>SUMIF(84:84,E24,85:85)-SUMIF(84:84,C24,85:85)+100</f>
        <v>100</v>
      </c>
      <c r="G23" s="563"/>
      <c r="H23" s="558">
        <f>SUMIF(84:84,G24,85:85)-SUMIF(84:84,C24,85:85)+100</f>
        <v>100</v>
      </c>
      <c r="I23" s="561"/>
      <c r="J23" s="558">
        <f>SUMIF(84:84,I24,85:85)-SUMIF(84:84,C24,85:85)+100</f>
        <v>100</v>
      </c>
      <c r="K23" s="897"/>
      <c r="L23" s="2141"/>
      <c r="M23" s="2133"/>
      <c r="N23" s="2133"/>
      <c r="O23" s="2140"/>
      <c r="P23" s="3736"/>
      <c r="Q23" s="1571" t="str">
        <f>B23</f>
        <v>自然及人文环境</v>
      </c>
      <c r="R23" s="1572" t="s">
        <v>8</v>
      </c>
      <c r="S23" s="1573">
        <f>F23</f>
        <v>100</v>
      </c>
      <c r="T23" s="1572" t="s">
        <v>8</v>
      </c>
      <c r="U23" s="1573">
        <f>H23</f>
        <v>100</v>
      </c>
      <c r="V23" s="1572" t="s">
        <v>8</v>
      </c>
      <c r="W23" s="1573">
        <f>J23</f>
        <v>100</v>
      </c>
      <c r="X23" s="1566"/>
      <c r="Y23" s="3736"/>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1"/>
      <c r="M24" s="2133"/>
      <c r="N24" s="2133"/>
      <c r="O24" s="2140"/>
      <c r="P24" s="3736"/>
      <c r="Q24" s="1571"/>
      <c r="R24" s="1572"/>
      <c r="S24" s="1573"/>
      <c r="T24" s="1572"/>
      <c r="U24" s="1573"/>
      <c r="V24" s="1572"/>
      <c r="W24" s="1573"/>
      <c r="X24" s="1566"/>
      <c r="Y24" s="3736"/>
      <c r="Z24" s="1574"/>
      <c r="AA24" s="1575">
        <v>1</v>
      </c>
      <c r="AB24" s="1575">
        <v>1</v>
      </c>
      <c r="AC24" s="1575">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736"/>
      <c r="Q25" s="1571" t="str">
        <f t="shared" ref="Q25:Q46" si="11">B25</f>
        <v>临街状况</v>
      </c>
      <c r="R25" s="1572" t="s">
        <v>8</v>
      </c>
      <c r="S25" s="1573">
        <f>F25</f>
        <v>100</v>
      </c>
      <c r="T25" s="1572" t="s">
        <v>8</v>
      </c>
      <c r="U25" s="1573">
        <f>H25</f>
        <v>100</v>
      </c>
      <c r="V25" s="1572" t="s">
        <v>8</v>
      </c>
      <c r="W25" s="1573">
        <f>J25</f>
        <v>100</v>
      </c>
      <c r="X25" s="1566"/>
      <c r="Y25" s="3736"/>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736"/>
      <c r="Q26" s="1571" t="str">
        <f t="shared" si="11"/>
        <v>平面位置/可视性</v>
      </c>
      <c r="R26" s="1572" t="s">
        <v>8</v>
      </c>
      <c r="S26" s="1573">
        <f>F26</f>
        <v>100</v>
      </c>
      <c r="T26" s="1572" t="s">
        <v>8</v>
      </c>
      <c r="U26" s="1573">
        <f>H26</f>
        <v>100</v>
      </c>
      <c r="V26" s="1572" t="s">
        <v>8</v>
      </c>
      <c r="W26" s="1573">
        <f>J26</f>
        <v>100</v>
      </c>
      <c r="X26" s="1566"/>
      <c r="Y26" s="3736"/>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736"/>
      <c r="Q27" s="1150" t="str">
        <f t="shared" si="11"/>
        <v>人流量</v>
      </c>
      <c r="R27" s="1567" t="s">
        <v>8</v>
      </c>
      <c r="S27" s="1568">
        <f>F27</f>
        <v>100</v>
      </c>
      <c r="T27" s="1567" t="s">
        <v>8</v>
      </c>
      <c r="U27" s="1568">
        <f>H27</f>
        <v>100</v>
      </c>
      <c r="V27" s="1567" t="s">
        <v>8</v>
      </c>
      <c r="W27" s="1568">
        <f>J27</f>
        <v>100</v>
      </c>
      <c r="X27" s="1569"/>
      <c r="Y27" s="3736"/>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73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736"/>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736"/>
      <c r="Q29" s="1571">
        <f t="shared" si="11"/>
        <v>111</v>
      </c>
      <c r="R29" s="1572" t="s">
        <v>8</v>
      </c>
      <c r="S29" s="1573">
        <f t="shared" si="12"/>
        <v>100</v>
      </c>
      <c r="T29" s="1572" t="s">
        <v>8</v>
      </c>
      <c r="U29" s="1573">
        <f t="shared" si="13"/>
        <v>100</v>
      </c>
      <c r="V29" s="1572" t="s">
        <v>8</v>
      </c>
      <c r="W29" s="1573">
        <f t="shared" si="14"/>
        <v>100</v>
      </c>
      <c r="X29" s="1566"/>
      <c r="Y29" s="3736"/>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736"/>
      <c r="Q30" s="1571">
        <f t="shared" si="11"/>
        <v>111</v>
      </c>
      <c r="R30" s="1572" t="s">
        <v>8</v>
      </c>
      <c r="S30" s="1573">
        <f t="shared" si="12"/>
        <v>100</v>
      </c>
      <c r="T30" s="1572" t="s">
        <v>8</v>
      </c>
      <c r="U30" s="1573">
        <f t="shared" si="13"/>
        <v>100</v>
      </c>
      <c r="V30" s="1572" t="s">
        <v>8</v>
      </c>
      <c r="W30" s="1573">
        <f t="shared" si="14"/>
        <v>100</v>
      </c>
      <c r="X30" s="1566"/>
      <c r="Y30" s="3736"/>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736"/>
      <c r="Q31" s="1571">
        <f t="shared" si="11"/>
        <v>111</v>
      </c>
      <c r="R31" s="1572" t="s">
        <v>8</v>
      </c>
      <c r="S31" s="1573">
        <f t="shared" si="12"/>
        <v>100</v>
      </c>
      <c r="T31" s="1572" t="s">
        <v>8</v>
      </c>
      <c r="U31" s="1573">
        <f t="shared" si="13"/>
        <v>100</v>
      </c>
      <c r="V31" s="1572" t="s">
        <v>8</v>
      </c>
      <c r="W31" s="1573">
        <f t="shared" si="14"/>
        <v>100</v>
      </c>
      <c r="X31" s="1566"/>
      <c r="Y31" s="3736"/>
      <c r="Z31" s="1574">
        <f t="shared" si="15"/>
        <v>111</v>
      </c>
      <c r="AA31" s="1575">
        <f t="shared" si="3"/>
        <v>1</v>
      </c>
      <c r="AB31" s="1575">
        <f t="shared" si="4"/>
        <v>1</v>
      </c>
      <c r="AC31" s="1575">
        <f t="shared" si="5"/>
        <v>1</v>
      </c>
    </row>
    <row r="32" spans="1:29" ht="15">
      <c r="A32" s="2931"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737" t="s">
        <v>551</v>
      </c>
      <c r="Q32" s="1571" t="str">
        <f t="shared" si="11"/>
        <v>商业类型</v>
      </c>
      <c r="R32" s="1572" t="s">
        <v>8</v>
      </c>
      <c r="S32" s="1573">
        <f t="shared" si="12"/>
        <v>100</v>
      </c>
      <c r="T32" s="1572" t="s">
        <v>8</v>
      </c>
      <c r="U32" s="1573">
        <f t="shared" si="13"/>
        <v>100</v>
      </c>
      <c r="V32" s="1572" t="s">
        <v>8</v>
      </c>
      <c r="W32" s="1573">
        <f t="shared" si="14"/>
        <v>100</v>
      </c>
      <c r="X32" s="1566"/>
      <c r="Y32" s="3738" t="s">
        <v>551</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738"/>
      <c r="Q33" s="1604" t="str">
        <f t="shared" si="11"/>
        <v>项目建筑规模</v>
      </c>
      <c r="R33" s="1576" t="s">
        <v>8</v>
      </c>
      <c r="S33" s="1577" t="e">
        <f t="shared" si="12"/>
        <v>#N/A</v>
      </c>
      <c r="T33" s="1576" t="s">
        <v>8</v>
      </c>
      <c r="U33" s="1577" t="e">
        <f t="shared" si="13"/>
        <v>#N/A</v>
      </c>
      <c r="V33" s="1576" t="s">
        <v>8</v>
      </c>
      <c r="W33" s="1577" t="e">
        <f t="shared" si="14"/>
        <v>#N/A</v>
      </c>
      <c r="X33" s="1578"/>
      <c r="Y33" s="3738"/>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738"/>
      <c r="Q34" s="1571" t="str">
        <f t="shared" si="11"/>
        <v>建筑结构</v>
      </c>
      <c r="R34" s="1572" t="s">
        <v>8</v>
      </c>
      <c r="S34" s="1573">
        <f t="shared" si="12"/>
        <v>100</v>
      </c>
      <c r="T34" s="1572" t="s">
        <v>8</v>
      </c>
      <c r="U34" s="1573">
        <f t="shared" si="13"/>
        <v>100</v>
      </c>
      <c r="V34" s="1572" t="s">
        <v>8</v>
      </c>
      <c r="W34" s="1573">
        <f t="shared" si="14"/>
        <v>100</v>
      </c>
      <c r="X34" s="1566"/>
      <c r="Y34" s="3738"/>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738"/>
      <c r="Q35" s="1571" t="str">
        <f t="shared" si="11"/>
        <v>公共部分装修</v>
      </c>
      <c r="R35" s="1572" t="s">
        <v>8</v>
      </c>
      <c r="S35" s="1573">
        <f t="shared" si="12"/>
        <v>100</v>
      </c>
      <c r="T35" s="1572" t="s">
        <v>8</v>
      </c>
      <c r="U35" s="1573">
        <f t="shared" si="13"/>
        <v>100</v>
      </c>
      <c r="V35" s="1572" t="s">
        <v>8</v>
      </c>
      <c r="W35" s="1573">
        <f t="shared" si="14"/>
        <v>100</v>
      </c>
      <c r="X35" s="1566"/>
      <c r="Y35" s="3738"/>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738"/>
      <c r="Q36" s="1571" t="str">
        <f t="shared" si="11"/>
        <v>成新度</v>
      </c>
      <c r="R36" s="1572" t="s">
        <v>8</v>
      </c>
      <c r="S36" s="1573" t="e">
        <f t="shared" si="12"/>
        <v>#N/A</v>
      </c>
      <c r="T36" s="1572" t="s">
        <v>8</v>
      </c>
      <c r="U36" s="1573" t="e">
        <f t="shared" si="13"/>
        <v>#N/A</v>
      </c>
      <c r="V36" s="1572" t="s">
        <v>8</v>
      </c>
      <c r="W36" s="1573" t="e">
        <f t="shared" si="14"/>
        <v>#N/A</v>
      </c>
      <c r="X36" s="1566"/>
      <c r="Y36" s="3738"/>
      <c r="Z36" s="1574" t="str">
        <f t="shared" si="15"/>
        <v>成新度</v>
      </c>
      <c r="AA36" s="1575" t="e">
        <f t="shared" si="3"/>
        <v>#N/A</v>
      </c>
      <c r="AB36" s="1575" t="e">
        <f t="shared" si="4"/>
        <v>#N/A</v>
      </c>
      <c r="AC36" s="1575" t="e">
        <f t="shared" si="5"/>
        <v>#N/A</v>
      </c>
    </row>
    <row r="37" spans="1:29" s="1219" customFormat="1" ht="15">
      <c r="A37" s="599"/>
      <c r="B37" s="1894"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738"/>
      <c r="Q37" s="1150" t="str">
        <f t="shared" si="11"/>
        <v>市政基础设施</v>
      </c>
      <c r="R37" s="1567" t="s">
        <v>8</v>
      </c>
      <c r="S37" s="1568">
        <f t="shared" si="12"/>
        <v>100</v>
      </c>
      <c r="T37" s="1567" t="s">
        <v>8</v>
      </c>
      <c r="U37" s="1568">
        <f t="shared" si="13"/>
        <v>100</v>
      </c>
      <c r="V37" s="1567" t="s">
        <v>8</v>
      </c>
      <c r="W37" s="1568">
        <f t="shared" si="14"/>
        <v>100</v>
      </c>
      <c r="X37" s="1569"/>
      <c r="Y37" s="3738"/>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738" t="s">
        <v>766</v>
      </c>
      <c r="Q38" s="1571" t="str">
        <f t="shared" si="11"/>
        <v>业态</v>
      </c>
      <c r="R38" s="1572" t="s">
        <v>8</v>
      </c>
      <c r="S38" s="1573">
        <f t="shared" si="12"/>
        <v>100</v>
      </c>
      <c r="T38" s="1572" t="s">
        <v>8</v>
      </c>
      <c r="U38" s="1573">
        <f t="shared" si="13"/>
        <v>100</v>
      </c>
      <c r="V38" s="1572" t="s">
        <v>8</v>
      </c>
      <c r="W38" s="1573">
        <f t="shared" si="14"/>
        <v>100</v>
      </c>
      <c r="X38" s="1566"/>
      <c r="Y38" s="3738"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738"/>
      <c r="Q39" s="1571" t="str">
        <f t="shared" si="11"/>
        <v>层高</v>
      </c>
      <c r="R39" s="1572" t="s">
        <v>8</v>
      </c>
      <c r="S39" s="1573">
        <f t="shared" si="12"/>
        <v>100</v>
      </c>
      <c r="T39" s="1572" t="s">
        <v>8</v>
      </c>
      <c r="U39" s="1573">
        <f t="shared" si="13"/>
        <v>100</v>
      </c>
      <c r="V39" s="1572" t="s">
        <v>8</v>
      </c>
      <c r="W39" s="1573">
        <f t="shared" si="14"/>
        <v>100</v>
      </c>
      <c r="X39" s="1566"/>
      <c r="Y39" s="3738"/>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738"/>
      <c r="Q40" s="1571" t="str">
        <f t="shared" si="11"/>
        <v>单套建筑面积</v>
      </c>
      <c r="R40" s="1572" t="s">
        <v>8</v>
      </c>
      <c r="S40" s="1573">
        <f t="shared" si="12"/>
        <v>100</v>
      </c>
      <c r="T40" s="1572" t="s">
        <v>8</v>
      </c>
      <c r="U40" s="1573">
        <f t="shared" si="13"/>
        <v>100</v>
      </c>
      <c r="V40" s="1572" t="s">
        <v>8</v>
      </c>
      <c r="W40" s="1573">
        <f t="shared" si="14"/>
        <v>100</v>
      </c>
      <c r="X40" s="1566"/>
      <c r="Y40" s="3738"/>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738"/>
      <c r="Q41" s="1604" t="str">
        <f t="shared" si="11"/>
        <v>进深比</v>
      </c>
      <c r="R41" s="1576" t="s">
        <v>8</v>
      </c>
      <c r="S41" s="1577">
        <f t="shared" si="12"/>
        <v>100</v>
      </c>
      <c r="T41" s="1576" t="s">
        <v>8</v>
      </c>
      <c r="U41" s="1577">
        <f t="shared" si="13"/>
        <v>100</v>
      </c>
      <c r="V41" s="1576" t="s">
        <v>8</v>
      </c>
      <c r="W41" s="1577">
        <f t="shared" si="14"/>
        <v>100</v>
      </c>
      <c r="X41" s="1578"/>
      <c r="Y41" s="3738"/>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738"/>
      <c r="Q42" s="1571" t="str">
        <f t="shared" si="11"/>
        <v>内部装修</v>
      </c>
      <c r="R42" s="1572" t="s">
        <v>8</v>
      </c>
      <c r="S42" s="1573">
        <f t="shared" si="12"/>
        <v>100</v>
      </c>
      <c r="T42" s="1572" t="s">
        <v>8</v>
      </c>
      <c r="U42" s="1573">
        <f t="shared" si="13"/>
        <v>100</v>
      </c>
      <c r="V42" s="1572" t="s">
        <v>8</v>
      </c>
      <c r="W42" s="1573">
        <f t="shared" si="14"/>
        <v>100</v>
      </c>
      <c r="X42" s="1566"/>
      <c r="Y42" s="3738"/>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738"/>
      <c r="Q43" s="1571" t="str">
        <f t="shared" si="11"/>
        <v>内部装修维护情况</v>
      </c>
      <c r="R43" s="1572" t="s">
        <v>8</v>
      </c>
      <c r="S43" s="1573">
        <f t="shared" si="12"/>
        <v>100</v>
      </c>
      <c r="T43" s="1572" t="s">
        <v>8</v>
      </c>
      <c r="U43" s="1573">
        <f t="shared" si="13"/>
        <v>100</v>
      </c>
      <c r="V43" s="1572" t="s">
        <v>8</v>
      </c>
      <c r="W43" s="1573">
        <f t="shared" si="14"/>
        <v>100</v>
      </c>
      <c r="X43" s="1566"/>
      <c r="Y43" s="3738"/>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738"/>
      <c r="Q44" s="1150">
        <f t="shared" si="11"/>
        <v>111</v>
      </c>
      <c r="R44" s="1567" t="s">
        <v>8</v>
      </c>
      <c r="S44" s="1568">
        <f t="shared" si="12"/>
        <v>100</v>
      </c>
      <c r="T44" s="1567" t="s">
        <v>8</v>
      </c>
      <c r="U44" s="1568">
        <f t="shared" si="13"/>
        <v>100</v>
      </c>
      <c r="V44" s="1567" t="s">
        <v>8</v>
      </c>
      <c r="W44" s="1568">
        <f t="shared" si="14"/>
        <v>100</v>
      </c>
      <c r="X44" s="1569"/>
      <c r="Y44" s="3738"/>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738"/>
      <c r="Q45" s="1571">
        <f t="shared" si="11"/>
        <v>111</v>
      </c>
      <c r="R45" s="1572" t="s">
        <v>8</v>
      </c>
      <c r="S45" s="1573">
        <f t="shared" si="12"/>
        <v>100</v>
      </c>
      <c r="T45" s="1572" t="s">
        <v>8</v>
      </c>
      <c r="U45" s="1573">
        <f t="shared" si="13"/>
        <v>100</v>
      </c>
      <c r="V45" s="1572" t="s">
        <v>8</v>
      </c>
      <c r="W45" s="1573">
        <f t="shared" si="14"/>
        <v>100</v>
      </c>
      <c r="X45" s="1566"/>
      <c r="Y45" s="3738"/>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815"/>
      <c r="Q46" s="1571">
        <f t="shared" si="11"/>
        <v>111</v>
      </c>
      <c r="R46" s="1572" t="s">
        <v>8</v>
      </c>
      <c r="S46" s="1573">
        <f t="shared" si="12"/>
        <v>100</v>
      </c>
      <c r="T46" s="1572" t="s">
        <v>8</v>
      </c>
      <c r="U46" s="1573">
        <f t="shared" si="13"/>
        <v>100</v>
      </c>
      <c r="V46" s="1572" t="s">
        <v>8</v>
      </c>
      <c r="W46" s="1573">
        <f t="shared" si="14"/>
        <v>100</v>
      </c>
      <c r="X46" s="1566"/>
      <c r="Y46" s="3815"/>
      <c r="Z46" s="1574">
        <f t="shared" si="15"/>
        <v>111</v>
      </c>
      <c r="AA46" s="1575">
        <f t="shared" si="3"/>
        <v>1</v>
      </c>
      <c r="AB46" s="1575">
        <f t="shared" si="4"/>
        <v>1</v>
      </c>
      <c r="AC46" s="1575">
        <f t="shared" si="5"/>
        <v>1</v>
      </c>
    </row>
    <row r="47" spans="1:29" ht="15">
      <c r="A47" s="606" t="s">
        <v>736</v>
      </c>
      <c r="B47" s="886"/>
      <c r="C47" s="2650" t="s">
        <v>1</v>
      </c>
      <c r="D47" s="2651"/>
      <c r="E47" s="2652"/>
      <c r="F47" s="2653"/>
      <c r="G47" s="2654"/>
      <c r="H47" s="2655"/>
      <c r="I47" s="2652"/>
      <c r="J47" s="2655"/>
      <c r="K47" s="1610"/>
      <c r="L47" s="2143"/>
      <c r="M47" s="2144"/>
      <c r="N47" s="2133"/>
      <c r="O47" s="2144"/>
      <c r="P47" s="3733" t="str">
        <f>A47</f>
        <v>成交单价（元/平方米）</v>
      </c>
      <c r="Q47" s="3733"/>
      <c r="R47" s="3814">
        <f>E47</f>
        <v>0</v>
      </c>
      <c r="S47" s="3814"/>
      <c r="T47" s="3814">
        <f>G47</f>
        <v>0</v>
      </c>
      <c r="U47" s="3814"/>
      <c r="V47" s="3814">
        <f>I47</f>
        <v>0</v>
      </c>
      <c r="W47" s="3814"/>
      <c r="X47" s="1558"/>
      <c r="Y47" s="1580"/>
      <c r="Z47" s="1558"/>
      <c r="AA47" s="1558"/>
      <c r="AB47" s="1558"/>
      <c r="AC47" s="1558"/>
    </row>
    <row r="48" spans="1:29" ht="15.75" thickBot="1">
      <c r="A48" s="614" t="s">
        <v>2759</v>
      </c>
      <c r="B48" s="887"/>
      <c r="C48" s="2656" t="e">
        <f>R49</f>
        <v>#DIV/0!</v>
      </c>
      <c r="D48" s="2657"/>
      <c r="E48" s="2658" t="e">
        <f>R48</f>
        <v>#DIV/0!</v>
      </c>
      <c r="F48" s="2658"/>
      <c r="G48" s="2656" t="e">
        <f>T48</f>
        <v>#DIV/0!</v>
      </c>
      <c r="H48" s="2657"/>
      <c r="I48" s="2658" t="e">
        <f>V48</f>
        <v>#DIV/0!</v>
      </c>
      <c r="J48" s="2657"/>
      <c r="K48" s="1611"/>
      <c r="L48" s="2143"/>
      <c r="M48" s="2144"/>
      <c r="N48" s="2133"/>
      <c r="O48" s="2144"/>
      <c r="P48" s="3733" t="str">
        <f>A48</f>
        <v>比较价格（元/平方米）</v>
      </c>
      <c r="Q48" s="3733"/>
      <c r="R48" s="3814" t="e">
        <f>IF(F1="售价",ROUND(PRODUCT(R47,AA7:AA46),0),ROUND(PRODUCT(R47,AA7:AA46),1))</f>
        <v>#DIV/0!</v>
      </c>
      <c r="S48" s="3814"/>
      <c r="T48" s="3814" t="e">
        <f>IF(F1="售价",ROUND(PRODUCT(T47,AB7:AB46),0),ROUND(PRODUCT(T47,AB7:AB46),1))</f>
        <v>#DIV/0!</v>
      </c>
      <c r="U48" s="3814"/>
      <c r="V48" s="3814" t="e">
        <f>IF(F1="售价",ROUND(PRODUCT(V47,AC7:AC46),0),ROUND(PRODUCT(V47,AC7:AC46),1))</f>
        <v>#DIV/0!</v>
      </c>
      <c r="W48" s="3814"/>
      <c r="X48" s="1558"/>
      <c r="Y48" s="1558"/>
      <c r="Z48" s="1558"/>
      <c r="AA48" s="1558"/>
      <c r="AB48" s="1558"/>
      <c r="AC48" s="1558"/>
    </row>
    <row r="49" spans="1:29" ht="15.75" thickBot="1">
      <c r="A49" s="620" t="s">
        <v>2923</v>
      </c>
      <c r="B49" s="621"/>
      <c r="C49" s="2659" t="e">
        <f>R49</f>
        <v>#DIV/0!</v>
      </c>
      <c r="D49" s="2659"/>
      <c r="E49" s="2659"/>
      <c r="F49" s="2659"/>
      <c r="G49" s="2659"/>
      <c r="H49" s="2659"/>
      <c r="I49" s="2659"/>
      <c r="J49" s="2659"/>
      <c r="K49" s="1612"/>
      <c r="L49" s="2143"/>
      <c r="M49" s="2144"/>
      <c r="N49" s="2133"/>
      <c r="O49" s="2144"/>
      <c r="P49" s="3754" t="str">
        <f>A49</f>
        <v>估价对象XX用房的比较价格（楼面单价，元/平方米）</v>
      </c>
      <c r="Q49" s="3755"/>
      <c r="R49" s="3813" t="e">
        <f>IF(F1="售价",ROUND(AVERAGE(R48:V48),0),ROUND(AVERAGE(R48:V48),1))</f>
        <v>#DIV/0!</v>
      </c>
      <c r="S49" s="3813"/>
      <c r="T49" s="3813"/>
      <c r="U49" s="3813"/>
      <c r="V49" s="3813"/>
      <c r="W49" s="381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530</v>
      </c>
      <c r="B58" s="645"/>
      <c r="C58" s="2826" t="str">
        <f>YEAR(C7)&amp;"-"&amp;MONTH(C7)</f>
        <v>2018-2</v>
      </c>
      <c r="D58" s="2828">
        <f>EDATE(C58,-1)</f>
        <v>43101</v>
      </c>
      <c r="E58" s="2828">
        <f t="shared" ref="E58:O58" si="16">EDATE(D58,-1)</f>
        <v>43070</v>
      </c>
      <c r="F58" s="2828">
        <f t="shared" si="16"/>
        <v>43040</v>
      </c>
      <c r="G58" s="2828">
        <f t="shared" si="16"/>
        <v>43009</v>
      </c>
      <c r="H58" s="2828">
        <f t="shared" si="16"/>
        <v>42979</v>
      </c>
      <c r="I58" s="2828">
        <f t="shared" si="16"/>
        <v>42948</v>
      </c>
      <c r="J58" s="2828">
        <f t="shared" si="16"/>
        <v>42917</v>
      </c>
      <c r="K58" s="2828">
        <f t="shared" si="16"/>
        <v>42887</v>
      </c>
      <c r="L58" s="2828">
        <f t="shared" si="16"/>
        <v>42856</v>
      </c>
      <c r="M58" s="2828">
        <f t="shared" si="16"/>
        <v>42826</v>
      </c>
      <c r="N58" s="2828">
        <f t="shared" si="16"/>
        <v>42795</v>
      </c>
      <c r="O58" s="2828">
        <f t="shared" si="16"/>
        <v>42767</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9" customFormat="1" ht="15.75" thickBot="1">
      <c r="A60" s="652" t="s">
        <v>576</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532</v>
      </c>
      <c r="B61" s="647"/>
      <c r="C61" s="659" t="s">
        <v>577</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4"/>
    </row>
    <row r="63" spans="1:29">
      <c r="A63" s="663" t="s">
        <v>578</v>
      </c>
      <c r="B63" s="664" t="s">
        <v>535</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538</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540</v>
      </c>
      <c r="B76" s="664" t="s">
        <v>579</v>
      </c>
      <c r="C76" s="702" t="s">
        <v>580</v>
      </c>
      <c r="D76" s="702" t="s">
        <v>581</v>
      </c>
      <c r="E76" s="702" t="s">
        <v>582</v>
      </c>
      <c r="F76" s="702" t="s">
        <v>583</v>
      </c>
      <c r="G76" s="702" t="s">
        <v>584</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587</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2557</v>
      </c>
      <c r="C80" s="707" t="s">
        <v>580</v>
      </c>
      <c r="D80" s="707" t="s">
        <v>581</v>
      </c>
      <c r="E80" s="707" t="s">
        <v>582</v>
      </c>
      <c r="F80" s="707" t="s">
        <v>583</v>
      </c>
      <c r="G80" s="707" t="s">
        <v>584</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2558</v>
      </c>
      <c r="C82" s="2621" t="s">
        <v>2559</v>
      </c>
      <c r="D82" s="2621" t="s">
        <v>2560</v>
      </c>
      <c r="E82" s="2621" t="s">
        <v>2561</v>
      </c>
      <c r="F82" s="2621" t="s">
        <v>2562</v>
      </c>
      <c r="G82" s="2621" t="s">
        <v>2563</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580</v>
      </c>
      <c r="D84" s="707" t="s">
        <v>581</v>
      </c>
      <c r="E84" s="707" t="s">
        <v>582</v>
      </c>
      <c r="F84" s="707" t="s">
        <v>583</v>
      </c>
      <c r="G84" s="707" t="s">
        <v>584</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672" t="s">
        <v>771</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552</v>
      </c>
      <c r="B100" s="664" t="s">
        <v>772</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7"/>
      <c r="B112" s="1895" t="s">
        <v>2556</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773</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774</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775</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7"/>
      <c r="B120" s="672" t="s">
        <v>776</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580</v>
      </c>
      <c r="D124" s="707" t="s">
        <v>581</v>
      </c>
      <c r="E124" s="707" t="s">
        <v>582</v>
      </c>
      <c r="F124" s="707" t="s">
        <v>583</v>
      </c>
      <c r="G124" s="707" t="s">
        <v>584</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777</v>
      </c>
      <c r="C1" s="503" t="s">
        <v>721</v>
      </c>
      <c r="D1" s="848"/>
      <c r="E1" s="505"/>
      <c r="F1" s="2831"/>
      <c r="G1" s="1600" t="s">
        <v>722</v>
      </c>
      <c r="H1" s="505"/>
      <c r="I1" s="505"/>
      <c r="J1" s="505"/>
      <c r="K1" s="506"/>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8" t="s">
        <v>520</v>
      </c>
      <c r="B3" s="509" t="e">
        <f>C50</f>
        <v>#DIV/0!</v>
      </c>
      <c r="C3" s="851" t="s">
        <v>723</v>
      </c>
      <c r="D3" s="850">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1" t="s">
        <v>522</v>
      </c>
      <c r="B4" s="512"/>
      <c r="C4" s="3739" t="s">
        <v>523</v>
      </c>
      <c r="D4" s="3740"/>
      <c r="E4" s="3763" t="s">
        <v>524</v>
      </c>
      <c r="F4" s="3764"/>
      <c r="G4" s="3739" t="s">
        <v>525</v>
      </c>
      <c r="H4" s="3740"/>
      <c r="I4" s="3739" t="s">
        <v>526</v>
      </c>
      <c r="J4" s="3740"/>
      <c r="K4" s="513" t="s">
        <v>527</v>
      </c>
      <c r="L4" s="2132"/>
      <c r="M4" s="2133"/>
      <c r="N4" s="2133"/>
      <c r="O4" s="2133"/>
      <c r="P4" s="3839" t="s">
        <v>528</v>
      </c>
      <c r="Q4" s="3742"/>
      <c r="R4" s="3727" t="s">
        <v>524</v>
      </c>
      <c r="S4" s="3728"/>
      <c r="T4" s="3727" t="s">
        <v>525</v>
      </c>
      <c r="U4" s="3728"/>
      <c r="V4" s="3747" t="s">
        <v>526</v>
      </c>
      <c r="W4" s="3747"/>
      <c r="X4" s="1566"/>
      <c r="Y4" s="3727" t="s">
        <v>528</v>
      </c>
      <c r="Z4" s="3728"/>
      <c r="AA4" s="3722" t="s">
        <v>524</v>
      </c>
      <c r="AB4" s="3722" t="s">
        <v>525</v>
      </c>
      <c r="AC4" s="3722" t="s">
        <v>526</v>
      </c>
    </row>
    <row r="5" spans="1:29" ht="15">
      <c r="A5" s="514"/>
      <c r="B5" s="515"/>
      <c r="C5" s="3750" t="s">
        <v>2917</v>
      </c>
      <c r="D5" s="3751"/>
      <c r="E5" s="3765" t="s">
        <v>2918</v>
      </c>
      <c r="F5" s="3766"/>
      <c r="G5" s="3750" t="s">
        <v>2919</v>
      </c>
      <c r="H5" s="3751"/>
      <c r="I5" s="3750" t="s">
        <v>2920</v>
      </c>
      <c r="J5" s="3751"/>
      <c r="K5" s="513"/>
      <c r="L5" s="2132"/>
      <c r="M5" s="2133"/>
      <c r="N5" s="2133"/>
      <c r="O5" s="2133"/>
      <c r="P5" s="3840"/>
      <c r="Q5" s="3744"/>
      <c r="R5" s="3729"/>
      <c r="S5" s="3730"/>
      <c r="T5" s="3729"/>
      <c r="U5" s="3730"/>
      <c r="V5" s="3747"/>
      <c r="W5" s="3747"/>
      <c r="X5" s="1566"/>
      <c r="Y5" s="3729"/>
      <c r="Z5" s="3730"/>
      <c r="AA5" s="3723"/>
      <c r="AB5" s="3723"/>
      <c r="AC5" s="3723"/>
    </row>
    <row r="6" spans="1:29" ht="15.75" thickBot="1">
      <c r="A6" s="516"/>
      <c r="B6" s="517"/>
      <c r="C6" s="3748" t="s">
        <v>2921</v>
      </c>
      <c r="D6" s="3749"/>
      <c r="E6" s="3767" t="s">
        <v>2921</v>
      </c>
      <c r="F6" s="3768"/>
      <c r="G6" s="3748" t="s">
        <v>2921</v>
      </c>
      <c r="H6" s="3749"/>
      <c r="I6" s="3748" t="s">
        <v>2921</v>
      </c>
      <c r="J6" s="3749"/>
      <c r="K6" s="513" t="s">
        <v>529</v>
      </c>
      <c r="L6" s="2132"/>
      <c r="M6" s="2133"/>
      <c r="N6" s="2133"/>
      <c r="O6" s="2133"/>
      <c r="P6" s="3841"/>
      <c r="Q6" s="3746"/>
      <c r="R6" s="3729"/>
      <c r="S6" s="3730"/>
      <c r="T6" s="3731"/>
      <c r="U6" s="3732"/>
      <c r="V6" s="3747"/>
      <c r="W6" s="3747"/>
      <c r="X6" s="1566"/>
      <c r="Y6" s="3731"/>
      <c r="Z6" s="3732"/>
      <c r="AA6" s="3724"/>
      <c r="AB6" s="3724"/>
      <c r="AC6" s="3724"/>
    </row>
    <row r="7" spans="1:29" s="1219" customFormat="1" ht="15.75" thickBot="1">
      <c r="A7" s="2936"/>
      <c r="B7" s="2943" t="s">
        <v>530</v>
      </c>
      <c r="C7" s="518">
        <f>'数据-取费表'!B2</f>
        <v>43159</v>
      </c>
      <c r="D7" s="519">
        <v>100</v>
      </c>
      <c r="E7" s="520"/>
      <c r="F7" s="521">
        <f>SUMIF(59:59,YEAR(E7)&amp;"-"&amp;MONTH(E7),60:60)</f>
        <v>0</v>
      </c>
      <c r="G7" s="520"/>
      <c r="H7" s="519">
        <f>SUMIF(59:59,YEAR(G7)&amp;"-"&amp;MONTH(G7),60:60)</f>
        <v>0</v>
      </c>
      <c r="I7" s="520"/>
      <c r="J7" s="519">
        <f>SUMIF(59:59,YEAR(I7)&amp;"-"&amp;MONTH(I7),60:60)</f>
        <v>0</v>
      </c>
      <c r="K7" s="523"/>
      <c r="L7" s="2134"/>
      <c r="M7" s="2135"/>
      <c r="N7" s="2135"/>
      <c r="O7" s="2135"/>
      <c r="P7" s="3734" t="s">
        <v>531</v>
      </c>
      <c r="Q7" s="3734"/>
      <c r="R7" s="1567" t="s">
        <v>8</v>
      </c>
      <c r="S7" s="1568">
        <f t="shared" ref="S7:S15" si="0">F7</f>
        <v>0</v>
      </c>
      <c r="T7" s="1567" t="s">
        <v>8</v>
      </c>
      <c r="U7" s="1568">
        <f t="shared" ref="U7:U15" si="1">H7</f>
        <v>0</v>
      </c>
      <c r="V7" s="1567" t="s">
        <v>8</v>
      </c>
      <c r="W7" s="1568">
        <f t="shared" ref="W7:W15" si="2">J7</f>
        <v>0</v>
      </c>
      <c r="X7" s="1569"/>
      <c r="Y7" s="3725" t="s">
        <v>531</v>
      </c>
      <c r="Z7" s="3726"/>
      <c r="AA7" s="1570" t="e">
        <f>D7/F7</f>
        <v>#DIV/0!</v>
      </c>
      <c r="AB7" s="1570" t="e">
        <f>D7/H7</f>
        <v>#DIV/0!</v>
      </c>
      <c r="AC7" s="1570" t="e">
        <f>D7/J7</f>
        <v>#DIV/0!</v>
      </c>
    </row>
    <row r="8" spans="1:29" s="1219" customFormat="1" ht="15.75" thickBot="1">
      <c r="A8" s="2937"/>
      <c r="B8" s="2944" t="s">
        <v>532</v>
      </c>
      <c r="C8" s="524" t="s">
        <v>577</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734" t="s">
        <v>534</v>
      </c>
      <c r="Q8" s="3726"/>
      <c r="R8" s="1567" t="s">
        <v>8</v>
      </c>
      <c r="S8" s="1568">
        <f t="shared" si="0"/>
        <v>0</v>
      </c>
      <c r="T8" s="1567" t="s">
        <v>8</v>
      </c>
      <c r="U8" s="1568">
        <f t="shared" si="1"/>
        <v>0</v>
      </c>
      <c r="V8" s="1567" t="s">
        <v>8</v>
      </c>
      <c r="W8" s="1568">
        <f t="shared" si="2"/>
        <v>0</v>
      </c>
      <c r="X8" s="1569"/>
      <c r="Y8" s="3725" t="s">
        <v>534</v>
      </c>
      <c r="Z8" s="3726"/>
      <c r="AA8" s="1570" t="e">
        <f t="shared" ref="AA8:AA47" si="3">D8/F8</f>
        <v>#DIV/0!</v>
      </c>
      <c r="AB8" s="1570" t="e">
        <f t="shared" ref="AB8:AB47" si="4">D8/H8</f>
        <v>#DIV/0!</v>
      </c>
      <c r="AC8" s="1570" t="e">
        <f t="shared" ref="AC8:AC47" si="5">D8/J8</f>
        <v>#DIV/0!</v>
      </c>
    </row>
    <row r="9" spans="1:29" s="1219" customFormat="1" ht="15">
      <c r="A9" s="2938"/>
      <c r="B9" s="2945" t="s">
        <v>2755</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733" t="s">
        <v>536</v>
      </c>
      <c r="Q9" s="1150" t="str">
        <f t="shared" ref="Q9:Q15" si="6">B9</f>
        <v>用途</v>
      </c>
      <c r="R9" s="1567" t="s">
        <v>8</v>
      </c>
      <c r="S9" s="1568">
        <f t="shared" si="0"/>
        <v>100</v>
      </c>
      <c r="T9" s="1567" t="s">
        <v>8</v>
      </c>
      <c r="U9" s="1568">
        <f t="shared" si="1"/>
        <v>100</v>
      </c>
      <c r="V9" s="1567" t="s">
        <v>8</v>
      </c>
      <c r="W9" s="1568">
        <f t="shared" si="2"/>
        <v>100</v>
      </c>
      <c r="X9" s="1569"/>
      <c r="Y9" s="3686" t="s">
        <v>537</v>
      </c>
      <c r="Z9" s="1149" t="str">
        <f t="shared" ref="Z9:Z15" si="7">Q9</f>
        <v>用途</v>
      </c>
      <c r="AA9" s="1570">
        <f t="shared" si="3"/>
        <v>1</v>
      </c>
      <c r="AB9" s="1570">
        <f t="shared" si="4"/>
        <v>1</v>
      </c>
      <c r="AC9" s="1570">
        <f t="shared" si="5"/>
        <v>1</v>
      </c>
    </row>
    <row r="10" spans="1:29" s="1337" customFormat="1" ht="27">
      <c r="A10" s="2939"/>
      <c r="B10" s="2944" t="s">
        <v>2756</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733"/>
      <c r="Q10" s="1150" t="str">
        <f t="shared" si="6"/>
        <v>土地使用年限（年）</v>
      </c>
      <c r="R10" s="1567" t="s">
        <v>8</v>
      </c>
      <c r="S10" s="1568">
        <f t="shared" si="0"/>
        <v>100</v>
      </c>
      <c r="T10" s="1567" t="s">
        <v>8</v>
      </c>
      <c r="U10" s="1568">
        <f t="shared" si="1"/>
        <v>100</v>
      </c>
      <c r="V10" s="1567" t="s">
        <v>8</v>
      </c>
      <c r="W10" s="1568">
        <f t="shared" si="2"/>
        <v>100</v>
      </c>
      <c r="X10" s="1569"/>
      <c r="Y10" s="3686"/>
      <c r="Z10" s="1149" t="str">
        <f t="shared" si="7"/>
        <v>土地使用年限（年）</v>
      </c>
      <c r="AA10" s="1570">
        <f t="shared" si="3"/>
        <v>1</v>
      </c>
      <c r="AB10" s="1570">
        <f t="shared" si="4"/>
        <v>1</v>
      </c>
      <c r="AC10" s="1570">
        <f t="shared" si="5"/>
        <v>1</v>
      </c>
    </row>
    <row r="11" spans="1:29" ht="15">
      <c r="A11" s="2940"/>
      <c r="B11" s="2944"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733"/>
      <c r="Q11" s="1150" t="str">
        <f t="shared" si="6"/>
        <v>容积率</v>
      </c>
      <c r="R11" s="1567" t="s">
        <v>8</v>
      </c>
      <c r="S11" s="1568" t="e">
        <f t="shared" si="0"/>
        <v>#N/A</v>
      </c>
      <c r="T11" s="1567" t="s">
        <v>8</v>
      </c>
      <c r="U11" s="1568" t="e">
        <f t="shared" si="1"/>
        <v>#N/A</v>
      </c>
      <c r="V11" s="1567" t="s">
        <v>8</v>
      </c>
      <c r="W11" s="1568" t="e">
        <f t="shared" si="2"/>
        <v>#N/A</v>
      </c>
      <c r="X11" s="1569"/>
      <c r="Y11" s="3686"/>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4"/>
      <c r="M12" s="2135"/>
      <c r="N12" s="2135"/>
      <c r="O12" s="2135"/>
      <c r="P12" s="3733"/>
      <c r="Q12" s="1150">
        <f t="shared" si="6"/>
        <v>111</v>
      </c>
      <c r="R12" s="1567" t="s">
        <v>8</v>
      </c>
      <c r="S12" s="1568">
        <f t="shared" si="0"/>
        <v>100</v>
      </c>
      <c r="T12" s="1567" t="s">
        <v>8</v>
      </c>
      <c r="U12" s="1568">
        <f t="shared" si="1"/>
        <v>100</v>
      </c>
      <c r="V12" s="1567" t="s">
        <v>8</v>
      </c>
      <c r="W12" s="1568">
        <f t="shared" si="2"/>
        <v>100</v>
      </c>
      <c r="X12" s="1569"/>
      <c r="Y12" s="3686"/>
      <c r="Z12" s="1149">
        <f t="shared" si="7"/>
        <v>111</v>
      </c>
      <c r="AA12" s="1570">
        <f>D12/F12</f>
        <v>1</v>
      </c>
      <c r="AB12" s="1570">
        <f>D12/H12</f>
        <v>1</v>
      </c>
      <c r="AC12" s="1570">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1"/>
      <c r="M13" s="2133"/>
      <c r="N13" s="2133"/>
      <c r="O13" s="2133"/>
      <c r="P13" s="3733"/>
      <c r="Q13" s="1150">
        <f t="shared" si="6"/>
        <v>111</v>
      </c>
      <c r="R13" s="1567" t="s">
        <v>8</v>
      </c>
      <c r="S13" s="1568">
        <f t="shared" si="0"/>
        <v>100</v>
      </c>
      <c r="T13" s="1567" t="s">
        <v>8</v>
      </c>
      <c r="U13" s="1568">
        <f t="shared" si="1"/>
        <v>100</v>
      </c>
      <c r="V13" s="1567" t="s">
        <v>8</v>
      </c>
      <c r="W13" s="1568">
        <f t="shared" si="2"/>
        <v>100</v>
      </c>
      <c r="X13" s="1569"/>
      <c r="Y13" s="3686"/>
      <c r="Z13" s="1149">
        <f t="shared" si="7"/>
        <v>111</v>
      </c>
      <c r="AA13" s="1570">
        <f t="shared" si="3"/>
        <v>1</v>
      </c>
      <c r="AB13" s="1570">
        <f t="shared" si="4"/>
        <v>1</v>
      </c>
      <c r="AC13" s="1570">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1"/>
      <c r="M14" s="2133"/>
      <c r="N14" s="2133"/>
      <c r="O14" s="2133"/>
      <c r="P14" s="3733"/>
      <c r="Q14" s="1150">
        <f t="shared" si="6"/>
        <v>111</v>
      </c>
      <c r="R14" s="1567" t="s">
        <v>8</v>
      </c>
      <c r="S14" s="1568">
        <f t="shared" si="0"/>
        <v>100</v>
      </c>
      <c r="T14" s="1567" t="s">
        <v>8</v>
      </c>
      <c r="U14" s="1568">
        <f t="shared" si="1"/>
        <v>100</v>
      </c>
      <c r="V14" s="1567" t="s">
        <v>8</v>
      </c>
      <c r="W14" s="1568">
        <f t="shared" si="2"/>
        <v>100</v>
      </c>
      <c r="X14" s="1569"/>
      <c r="Y14" s="3686"/>
      <c r="Z14" s="1149">
        <f t="shared" si="7"/>
        <v>111</v>
      </c>
      <c r="AA14" s="1570">
        <f t="shared" si="3"/>
        <v>1</v>
      </c>
      <c r="AB14" s="1570">
        <f t="shared" si="4"/>
        <v>1</v>
      </c>
      <c r="AC14" s="1570">
        <f t="shared" si="5"/>
        <v>1</v>
      </c>
    </row>
    <row r="15" spans="1:29" ht="15">
      <c r="A15" s="2934" t="s">
        <v>2753</v>
      </c>
      <c r="B15" s="546" t="s">
        <v>543</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735" t="s">
        <v>541</v>
      </c>
      <c r="Q15" s="1571" t="str">
        <f t="shared" si="6"/>
        <v>办公集聚程度</v>
      </c>
      <c r="R15" s="1572" t="s">
        <v>8</v>
      </c>
      <c r="S15" s="1573">
        <f t="shared" si="0"/>
        <v>100</v>
      </c>
      <c r="T15" s="1572" t="s">
        <v>8</v>
      </c>
      <c r="U15" s="1573">
        <f t="shared" si="1"/>
        <v>100</v>
      </c>
      <c r="V15" s="1572" t="s">
        <v>8</v>
      </c>
      <c r="W15" s="1573">
        <f t="shared" si="2"/>
        <v>100</v>
      </c>
      <c r="X15" s="1566"/>
      <c r="Y15" s="3735" t="s">
        <v>541</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1"/>
      <c r="M16" s="2133"/>
      <c r="N16" s="2133"/>
      <c r="O16" s="2133"/>
      <c r="P16" s="3736"/>
      <c r="Q16" s="1571"/>
      <c r="R16" s="1572"/>
      <c r="S16" s="1573"/>
      <c r="T16" s="1572"/>
      <c r="U16" s="1573"/>
      <c r="V16" s="1572"/>
      <c r="W16" s="1573"/>
      <c r="X16" s="1566"/>
      <c r="Y16" s="3736"/>
      <c r="Z16" s="1574"/>
      <c r="AA16" s="1575">
        <v>1</v>
      </c>
      <c r="AB16" s="1575">
        <v>1</v>
      </c>
      <c r="AC16" s="1575">
        <v>1</v>
      </c>
    </row>
    <row r="17" spans="1:29" ht="99.75">
      <c r="A17" s="531"/>
      <c r="B17" s="559" t="s">
        <v>296</v>
      </c>
      <c r="C17" s="572" t="str">
        <f>估价对象房地状况!C6</f>
        <v>周边道路状况、公共交通通达情况、停车便捷程度（二环北路 17路 209路 245路 地铁3号线辛家庙站2公里</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736"/>
      <c r="Q17" s="1571" t="str">
        <f>B17</f>
        <v>交通便捷度</v>
      </c>
      <c r="R17" s="1572" t="s">
        <v>8</v>
      </c>
      <c r="S17" s="1573">
        <f>F17</f>
        <v>100</v>
      </c>
      <c r="T17" s="1572" t="s">
        <v>8</v>
      </c>
      <c r="U17" s="1573">
        <f>H17</f>
        <v>100</v>
      </c>
      <c r="V17" s="1572" t="s">
        <v>8</v>
      </c>
      <c r="W17" s="1573">
        <f>J17</f>
        <v>100</v>
      </c>
      <c r="X17" s="1566"/>
      <c r="Y17" s="3736"/>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1"/>
      <c r="M18" s="2133"/>
      <c r="N18" s="2133"/>
      <c r="O18" s="2133"/>
      <c r="P18" s="3736"/>
      <c r="Q18" s="1571"/>
      <c r="R18" s="1572"/>
      <c r="S18" s="1573"/>
      <c r="T18" s="1572"/>
      <c r="U18" s="1573"/>
      <c r="V18" s="1572"/>
      <c r="W18" s="1573"/>
      <c r="X18" s="1566"/>
      <c r="Y18" s="3736"/>
      <c r="Z18" s="1574"/>
      <c r="AA18" s="1575">
        <v>1</v>
      </c>
      <c r="AB18" s="1575">
        <v>1</v>
      </c>
      <c r="AC18" s="1575">
        <v>1</v>
      </c>
    </row>
    <row r="19" spans="1:29" ht="142.5">
      <c r="A19" s="531"/>
      <c r="B19" s="2626" t="s">
        <v>2546</v>
      </c>
      <c r="C19" s="572" t="str">
        <f>估价对象房地状况!C7</f>
        <v>1.5公里 西安市第三医院 中国工商银行(西安北二环东段支行) 中国农业银行(太华北路支行) 西安市未央区幼儿园 大明宫小学 陕西师范大学锦园国际中学 永辉超市</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736"/>
      <c r="Q19" s="1571" t="str">
        <f>B19</f>
        <v>公共配套设施</v>
      </c>
      <c r="R19" s="1572" t="s">
        <v>8</v>
      </c>
      <c r="S19" s="1573">
        <f>F19</f>
        <v>100</v>
      </c>
      <c r="T19" s="1572" t="s">
        <v>8</v>
      </c>
      <c r="U19" s="1573">
        <f>H19</f>
        <v>100</v>
      </c>
      <c r="V19" s="1572" t="s">
        <v>8</v>
      </c>
      <c r="W19" s="1573">
        <f>J19</f>
        <v>100</v>
      </c>
      <c r="X19" s="1566"/>
      <c r="Y19" s="3736"/>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1"/>
      <c r="M20" s="2133"/>
      <c r="N20" s="2133"/>
      <c r="O20" s="2133"/>
      <c r="P20" s="3736"/>
      <c r="Q20" s="1571"/>
      <c r="R20" s="1572"/>
      <c r="S20" s="1573"/>
      <c r="T20" s="1572"/>
      <c r="U20" s="1573"/>
      <c r="V20" s="1572"/>
      <c r="W20" s="1573"/>
      <c r="X20" s="1566"/>
      <c r="Y20" s="3736"/>
      <c r="Z20" s="1574"/>
      <c r="AA20" s="1575">
        <v>1</v>
      </c>
      <c r="AB20" s="1575">
        <v>1</v>
      </c>
      <c r="AC20" s="1575">
        <v>1</v>
      </c>
    </row>
    <row r="21" spans="1:29" ht="15">
      <c r="A21" s="531"/>
      <c r="B21" s="2614" t="s">
        <v>2558</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736"/>
      <c r="Q21" s="2602" t="str">
        <f>B21</f>
        <v>基础设施水平</v>
      </c>
      <c r="R21" s="1572" t="s">
        <v>8</v>
      </c>
      <c r="S21" s="1573">
        <f>F21</f>
        <v>100</v>
      </c>
      <c r="T21" s="1572" t="s">
        <v>8</v>
      </c>
      <c r="U21" s="1573">
        <f>H21</f>
        <v>100</v>
      </c>
      <c r="V21" s="1572" t="s">
        <v>8</v>
      </c>
      <c r="W21" s="1573">
        <f>J21</f>
        <v>100</v>
      </c>
      <c r="X21" s="2604"/>
      <c r="Y21" s="3736"/>
      <c r="Z21" s="2603"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5"/>
      <c r="L22" s="2141"/>
      <c r="M22" s="2133"/>
      <c r="N22" s="2133"/>
      <c r="O22" s="2133"/>
      <c r="P22" s="3736"/>
      <c r="Q22" s="2602"/>
      <c r="R22" s="1572"/>
      <c r="S22" s="1573"/>
      <c r="T22" s="1572"/>
      <c r="U22" s="1573"/>
      <c r="V22" s="1572"/>
      <c r="W22" s="1573"/>
      <c r="X22" s="2604"/>
      <c r="Y22" s="3736"/>
      <c r="Z22" s="2603"/>
      <c r="AA22" s="1575">
        <v>1</v>
      </c>
      <c r="AB22" s="1575">
        <v>1</v>
      </c>
      <c r="AC22" s="1575">
        <v>1</v>
      </c>
    </row>
    <row r="23" spans="1:29" ht="28.5">
      <c r="A23" s="531"/>
      <c r="B23" s="559" t="s">
        <v>778</v>
      </c>
      <c r="C23" s="572" t="str">
        <f>估价对象房地状况!C9</f>
        <v>大明宫国家遗址公园</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736"/>
      <c r="Q23" s="1571" t="str">
        <f>B23</f>
        <v>环境质量</v>
      </c>
      <c r="R23" s="1572" t="s">
        <v>8</v>
      </c>
      <c r="S23" s="1573">
        <f>F23</f>
        <v>100</v>
      </c>
      <c r="T23" s="1572" t="s">
        <v>8</v>
      </c>
      <c r="U23" s="1573">
        <f>H23</f>
        <v>100</v>
      </c>
      <c r="V23" s="1572" t="s">
        <v>8</v>
      </c>
      <c r="W23" s="1573">
        <f>J23</f>
        <v>100</v>
      </c>
      <c r="X23" s="1566"/>
      <c r="Y23" s="3736"/>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1"/>
      <c r="M24" s="2133"/>
      <c r="N24" s="2133"/>
      <c r="O24" s="2133"/>
      <c r="P24" s="3736"/>
      <c r="Q24" s="1571"/>
      <c r="R24" s="1572"/>
      <c r="S24" s="1573"/>
      <c r="T24" s="1572"/>
      <c r="U24" s="1573"/>
      <c r="V24" s="1572"/>
      <c r="W24" s="1573"/>
      <c r="X24" s="1566"/>
      <c r="Y24" s="3736"/>
      <c r="Z24" s="1574"/>
      <c r="AA24" s="1575">
        <v>1</v>
      </c>
      <c r="AB24" s="1575">
        <v>1</v>
      </c>
      <c r="AC24" s="1575">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736"/>
      <c r="Q25" s="1571" t="str">
        <f>B25</f>
        <v>毗邻道路的类型与等级</v>
      </c>
      <c r="R25" s="1572" t="s">
        <v>8</v>
      </c>
      <c r="S25" s="1573">
        <f>F25</f>
        <v>100</v>
      </c>
      <c r="T25" s="1572" t="s">
        <v>8</v>
      </c>
      <c r="U25" s="1573">
        <f>H25</f>
        <v>100</v>
      </c>
      <c r="V25" s="1572" t="s">
        <v>8</v>
      </c>
      <c r="W25" s="1573">
        <f>J25</f>
        <v>100</v>
      </c>
      <c r="X25" s="1566"/>
      <c r="Y25" s="3736"/>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1"/>
      <c r="M26" s="2133"/>
      <c r="N26" s="2133"/>
      <c r="O26" s="2133"/>
      <c r="P26" s="3736"/>
      <c r="Q26" s="1571"/>
      <c r="R26" s="1572"/>
      <c r="S26" s="1573"/>
      <c r="T26" s="1572"/>
      <c r="U26" s="1573"/>
      <c r="V26" s="1572"/>
      <c r="W26" s="1573"/>
      <c r="X26" s="1566"/>
      <c r="Y26" s="3736"/>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736"/>
      <c r="Q27" s="1571" t="str">
        <f t="shared" ref="Q27:Q47" si="11">B27</f>
        <v>楼层</v>
      </c>
      <c r="R27" s="1572" t="s">
        <v>8</v>
      </c>
      <c r="S27" s="1573">
        <f>F27</f>
        <v>100</v>
      </c>
      <c r="T27" s="1572" t="s">
        <v>8</v>
      </c>
      <c r="U27" s="1573">
        <f>H27</f>
        <v>100</v>
      </c>
      <c r="V27" s="1572" t="s">
        <v>8</v>
      </c>
      <c r="W27" s="1573">
        <f>J27</f>
        <v>100</v>
      </c>
      <c r="X27" s="1566"/>
      <c r="Y27" s="3736"/>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736"/>
      <c r="Q28" s="1150" t="str">
        <f t="shared" si="11"/>
        <v>朝向</v>
      </c>
      <c r="R28" s="1567" t="s">
        <v>8</v>
      </c>
      <c r="S28" s="1568">
        <f>F28</f>
        <v>100</v>
      </c>
      <c r="T28" s="1567" t="s">
        <v>8</v>
      </c>
      <c r="U28" s="1568">
        <f>H28</f>
        <v>100</v>
      </c>
      <c r="V28" s="1567" t="s">
        <v>8</v>
      </c>
      <c r="W28" s="1568">
        <f>J28</f>
        <v>100</v>
      </c>
      <c r="X28" s="1569"/>
      <c r="Y28" s="3736"/>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1"/>
      <c r="M29" s="2133"/>
      <c r="N29" s="2133"/>
      <c r="O29" s="2133"/>
      <c r="P29" s="3736"/>
      <c r="Q29" s="1571">
        <f t="shared" si="11"/>
        <v>111</v>
      </c>
      <c r="R29" s="1572" t="s">
        <v>8</v>
      </c>
      <c r="S29" s="1573">
        <f t="shared" ref="S29:S47" si="12">F29</f>
        <v>100</v>
      </c>
      <c r="T29" s="1572" t="s">
        <v>8</v>
      </c>
      <c r="U29" s="1573">
        <f t="shared" ref="U29:U47" si="13">H29</f>
        <v>100</v>
      </c>
      <c r="V29" s="1572" t="s">
        <v>8</v>
      </c>
      <c r="W29" s="1573">
        <f t="shared" ref="W29:W47" si="14">J29</f>
        <v>100</v>
      </c>
      <c r="X29" s="1566"/>
      <c r="Y29" s="3736"/>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1"/>
      <c r="M30" s="2133"/>
      <c r="N30" s="2133"/>
      <c r="O30" s="2133"/>
      <c r="P30" s="3736"/>
      <c r="Q30" s="1571">
        <f t="shared" si="11"/>
        <v>111</v>
      </c>
      <c r="R30" s="1572" t="s">
        <v>8</v>
      </c>
      <c r="S30" s="1573">
        <f t="shared" si="12"/>
        <v>100</v>
      </c>
      <c r="T30" s="1572" t="s">
        <v>8</v>
      </c>
      <c r="U30" s="1573">
        <f t="shared" si="13"/>
        <v>100</v>
      </c>
      <c r="V30" s="1572" t="s">
        <v>8</v>
      </c>
      <c r="W30" s="1573">
        <f t="shared" si="14"/>
        <v>100</v>
      </c>
      <c r="X30" s="1566"/>
      <c r="Y30" s="3736"/>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1"/>
      <c r="M31" s="2133"/>
      <c r="N31" s="2133"/>
      <c r="O31" s="2133"/>
      <c r="P31" s="3736"/>
      <c r="Q31" s="1571">
        <f t="shared" si="11"/>
        <v>111</v>
      </c>
      <c r="R31" s="1572" t="s">
        <v>8</v>
      </c>
      <c r="S31" s="1573">
        <f t="shared" si="12"/>
        <v>100</v>
      </c>
      <c r="T31" s="1572" t="s">
        <v>8</v>
      </c>
      <c r="U31" s="1573">
        <f t="shared" si="13"/>
        <v>100</v>
      </c>
      <c r="V31" s="1572" t="s">
        <v>8</v>
      </c>
      <c r="W31" s="1573">
        <f t="shared" si="14"/>
        <v>100</v>
      </c>
      <c r="X31" s="1566"/>
      <c r="Y31" s="3736"/>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1"/>
      <c r="M32" s="2133"/>
      <c r="N32" s="2133"/>
      <c r="O32" s="2133"/>
      <c r="P32" s="3736"/>
      <c r="Q32" s="1571">
        <f t="shared" si="11"/>
        <v>111</v>
      </c>
      <c r="R32" s="1572" t="s">
        <v>8</v>
      </c>
      <c r="S32" s="1573">
        <f t="shared" si="12"/>
        <v>100</v>
      </c>
      <c r="T32" s="1572" t="s">
        <v>8</v>
      </c>
      <c r="U32" s="1573">
        <f t="shared" si="13"/>
        <v>100</v>
      </c>
      <c r="V32" s="1572" t="s">
        <v>8</v>
      </c>
      <c r="W32" s="1573">
        <f t="shared" si="14"/>
        <v>100</v>
      </c>
      <c r="X32" s="1566"/>
      <c r="Y32" s="3736"/>
      <c r="Z32" s="1574">
        <f t="shared" si="15"/>
        <v>111</v>
      </c>
      <c r="AA32" s="1575">
        <f t="shared" si="3"/>
        <v>1</v>
      </c>
      <c r="AB32" s="1575">
        <f t="shared" si="4"/>
        <v>1</v>
      </c>
      <c r="AC32" s="1575">
        <f t="shared" si="5"/>
        <v>1</v>
      </c>
    </row>
    <row r="33" spans="1:29" ht="15">
      <c r="A33" s="2931" t="s">
        <v>2754</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737" t="s">
        <v>551</v>
      </c>
      <c r="Q33" s="1571" t="str">
        <f t="shared" si="11"/>
        <v>建筑类型</v>
      </c>
      <c r="R33" s="1572" t="s">
        <v>8</v>
      </c>
      <c r="S33" s="1573">
        <f t="shared" si="12"/>
        <v>100</v>
      </c>
      <c r="T33" s="1572" t="s">
        <v>8</v>
      </c>
      <c r="U33" s="1573">
        <f t="shared" si="13"/>
        <v>100</v>
      </c>
      <c r="V33" s="1572" t="s">
        <v>8</v>
      </c>
      <c r="W33" s="1573">
        <f t="shared" si="14"/>
        <v>100</v>
      </c>
      <c r="X33" s="1566"/>
      <c r="Y33" s="3738" t="s">
        <v>551</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738"/>
      <c r="Q34" s="1604" t="str">
        <f t="shared" si="11"/>
        <v>项目建筑规模</v>
      </c>
      <c r="R34" s="1576" t="s">
        <v>8</v>
      </c>
      <c r="S34" s="1577" t="e">
        <f t="shared" si="12"/>
        <v>#N/A</v>
      </c>
      <c r="T34" s="1576" t="s">
        <v>8</v>
      </c>
      <c r="U34" s="1577" t="e">
        <f t="shared" si="13"/>
        <v>#N/A</v>
      </c>
      <c r="V34" s="1576" t="s">
        <v>8</v>
      </c>
      <c r="W34" s="1577" t="e">
        <f t="shared" si="14"/>
        <v>#N/A</v>
      </c>
      <c r="X34" s="1578"/>
      <c r="Y34" s="3738"/>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738"/>
      <c r="Q35" s="1571" t="str">
        <f t="shared" si="11"/>
        <v>建筑结构</v>
      </c>
      <c r="R35" s="1572" t="s">
        <v>8</v>
      </c>
      <c r="S35" s="1573">
        <f t="shared" si="12"/>
        <v>100</v>
      </c>
      <c r="T35" s="1572" t="s">
        <v>8</v>
      </c>
      <c r="U35" s="1573">
        <f t="shared" si="13"/>
        <v>100</v>
      </c>
      <c r="V35" s="1572" t="s">
        <v>8</v>
      </c>
      <c r="W35" s="1573">
        <f t="shared" si="14"/>
        <v>100</v>
      </c>
      <c r="X35" s="1566"/>
      <c r="Y35" s="3738"/>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738"/>
      <c r="Q36" s="1571" t="str">
        <f t="shared" si="11"/>
        <v>公共部分装修</v>
      </c>
      <c r="R36" s="1572" t="s">
        <v>8</v>
      </c>
      <c r="S36" s="1573">
        <f t="shared" si="12"/>
        <v>100</v>
      </c>
      <c r="T36" s="1572" t="s">
        <v>8</v>
      </c>
      <c r="U36" s="1573">
        <f t="shared" si="13"/>
        <v>100</v>
      </c>
      <c r="V36" s="1572" t="s">
        <v>8</v>
      </c>
      <c r="W36" s="1573">
        <f t="shared" si="14"/>
        <v>100</v>
      </c>
      <c r="X36" s="1566"/>
      <c r="Y36" s="3738"/>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738"/>
      <c r="Q37" s="1571" t="str">
        <f t="shared" si="11"/>
        <v>成新度</v>
      </c>
      <c r="R37" s="1572" t="s">
        <v>8</v>
      </c>
      <c r="S37" s="1573" t="e">
        <f t="shared" si="12"/>
        <v>#N/A</v>
      </c>
      <c r="T37" s="1572" t="s">
        <v>8</v>
      </c>
      <c r="U37" s="1573" t="e">
        <f t="shared" si="13"/>
        <v>#N/A</v>
      </c>
      <c r="V37" s="1572" t="s">
        <v>8</v>
      </c>
      <c r="W37" s="1573" t="e">
        <f t="shared" si="14"/>
        <v>#N/A</v>
      </c>
      <c r="X37" s="1566"/>
      <c r="Y37" s="3738"/>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738"/>
      <c r="Q38" s="1150" t="str">
        <f t="shared" si="11"/>
        <v>写字楼等级</v>
      </c>
      <c r="R38" s="1567" t="s">
        <v>8</v>
      </c>
      <c r="S38" s="1568">
        <f t="shared" si="12"/>
        <v>100</v>
      </c>
      <c r="T38" s="1567" t="s">
        <v>8</v>
      </c>
      <c r="U38" s="1568">
        <f t="shared" si="13"/>
        <v>100</v>
      </c>
      <c r="V38" s="1567" t="s">
        <v>8</v>
      </c>
      <c r="W38" s="1568">
        <f t="shared" si="14"/>
        <v>100</v>
      </c>
      <c r="X38" s="1569"/>
      <c r="Y38" s="3738"/>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738" t="s">
        <v>551</v>
      </c>
      <c r="Q39" s="1571" t="str">
        <f t="shared" si="11"/>
        <v>物业管理</v>
      </c>
      <c r="R39" s="1572" t="s">
        <v>8</v>
      </c>
      <c r="S39" s="1573">
        <f t="shared" si="12"/>
        <v>100</v>
      </c>
      <c r="T39" s="1572" t="s">
        <v>8</v>
      </c>
      <c r="U39" s="1573">
        <f t="shared" si="13"/>
        <v>100</v>
      </c>
      <c r="V39" s="1572" t="s">
        <v>8</v>
      </c>
      <c r="W39" s="1573">
        <f t="shared" si="14"/>
        <v>100</v>
      </c>
      <c r="X39" s="1566"/>
      <c r="Y39" s="3738" t="s">
        <v>551</v>
      </c>
      <c r="Z39" s="1574" t="str">
        <f t="shared" si="15"/>
        <v>物业管理</v>
      </c>
      <c r="AA39" s="1575">
        <f t="shared" si="3"/>
        <v>1</v>
      </c>
      <c r="AB39" s="1575">
        <f t="shared" si="4"/>
        <v>1</v>
      </c>
      <c r="AC39" s="1575">
        <f t="shared" si="5"/>
        <v>1</v>
      </c>
    </row>
    <row r="40" spans="1:29" ht="15">
      <c r="A40" s="593"/>
      <c r="B40" s="1894"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738"/>
      <c r="Q40" s="1571" t="str">
        <f t="shared" si="11"/>
        <v>市政基础设施</v>
      </c>
      <c r="R40" s="1572" t="s">
        <v>8</v>
      </c>
      <c r="S40" s="1573">
        <f t="shared" si="12"/>
        <v>100</v>
      </c>
      <c r="T40" s="1572" t="s">
        <v>8</v>
      </c>
      <c r="U40" s="1573">
        <f t="shared" si="13"/>
        <v>100</v>
      </c>
      <c r="V40" s="1572" t="s">
        <v>8</v>
      </c>
      <c r="W40" s="1573">
        <f t="shared" si="14"/>
        <v>100</v>
      </c>
      <c r="X40" s="1566"/>
      <c r="Y40" s="3738"/>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738"/>
      <c r="Q41" s="1571" t="str">
        <f t="shared" si="11"/>
        <v>层高</v>
      </c>
      <c r="R41" s="1572" t="s">
        <v>8</v>
      </c>
      <c r="S41" s="1573">
        <f t="shared" si="12"/>
        <v>100</v>
      </c>
      <c r="T41" s="1572" t="s">
        <v>8</v>
      </c>
      <c r="U41" s="1573">
        <f t="shared" si="13"/>
        <v>100</v>
      </c>
      <c r="V41" s="1572" t="s">
        <v>8</v>
      </c>
      <c r="W41" s="1573">
        <f t="shared" si="14"/>
        <v>100</v>
      </c>
      <c r="X41" s="1566"/>
      <c r="Y41" s="3738"/>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738"/>
      <c r="Q42" s="1604" t="str">
        <f t="shared" si="11"/>
        <v>单套建筑面积</v>
      </c>
      <c r="R42" s="1576" t="s">
        <v>8</v>
      </c>
      <c r="S42" s="1577">
        <f t="shared" si="12"/>
        <v>100</v>
      </c>
      <c r="T42" s="1576" t="s">
        <v>8</v>
      </c>
      <c r="U42" s="1577">
        <f t="shared" si="13"/>
        <v>100</v>
      </c>
      <c r="V42" s="1576" t="s">
        <v>8</v>
      </c>
      <c r="W42" s="1577">
        <f t="shared" si="14"/>
        <v>100</v>
      </c>
      <c r="X42" s="1578"/>
      <c r="Y42" s="3738"/>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738"/>
      <c r="Q43" s="1571" t="str">
        <f t="shared" si="11"/>
        <v>内部装修</v>
      </c>
      <c r="R43" s="1572" t="s">
        <v>8</v>
      </c>
      <c r="S43" s="1573">
        <f t="shared" si="12"/>
        <v>100</v>
      </c>
      <c r="T43" s="1572" t="s">
        <v>8</v>
      </c>
      <c r="U43" s="1573">
        <f t="shared" si="13"/>
        <v>100</v>
      </c>
      <c r="V43" s="1572" t="s">
        <v>8</v>
      </c>
      <c r="W43" s="1573">
        <f t="shared" si="14"/>
        <v>100</v>
      </c>
      <c r="X43" s="1566"/>
      <c r="Y43" s="3738"/>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738"/>
      <c r="Q44" s="1571" t="str">
        <f t="shared" si="11"/>
        <v>内部装修维护情况</v>
      </c>
      <c r="R44" s="1572" t="s">
        <v>8</v>
      </c>
      <c r="S44" s="1573">
        <f t="shared" si="12"/>
        <v>100</v>
      </c>
      <c r="T44" s="1572" t="s">
        <v>8</v>
      </c>
      <c r="U44" s="1573">
        <f t="shared" si="13"/>
        <v>100</v>
      </c>
      <c r="V44" s="1572" t="s">
        <v>8</v>
      </c>
      <c r="W44" s="1573">
        <f t="shared" si="14"/>
        <v>100</v>
      </c>
      <c r="X44" s="1566"/>
      <c r="Y44" s="3738"/>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738"/>
      <c r="Q45" s="1150">
        <f t="shared" si="11"/>
        <v>111</v>
      </c>
      <c r="R45" s="1567" t="s">
        <v>8</v>
      </c>
      <c r="S45" s="1568">
        <f t="shared" si="12"/>
        <v>100</v>
      </c>
      <c r="T45" s="1567" t="s">
        <v>8</v>
      </c>
      <c r="U45" s="1568">
        <f t="shared" si="13"/>
        <v>100</v>
      </c>
      <c r="V45" s="1567" t="s">
        <v>8</v>
      </c>
      <c r="W45" s="1568">
        <f t="shared" si="14"/>
        <v>100</v>
      </c>
      <c r="X45" s="1569"/>
      <c r="Y45" s="3738"/>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738"/>
      <c r="Q46" s="1571">
        <f t="shared" si="11"/>
        <v>111</v>
      </c>
      <c r="R46" s="1572" t="s">
        <v>8</v>
      </c>
      <c r="S46" s="1573">
        <f t="shared" si="12"/>
        <v>100</v>
      </c>
      <c r="T46" s="1572" t="s">
        <v>8</v>
      </c>
      <c r="U46" s="1573">
        <f t="shared" si="13"/>
        <v>100</v>
      </c>
      <c r="V46" s="1572" t="s">
        <v>8</v>
      </c>
      <c r="W46" s="1573">
        <f t="shared" si="14"/>
        <v>100</v>
      </c>
      <c r="X46" s="1566"/>
      <c r="Y46" s="3738"/>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815"/>
      <c r="Q47" s="1571">
        <f t="shared" si="11"/>
        <v>111</v>
      </c>
      <c r="R47" s="1572" t="s">
        <v>8</v>
      </c>
      <c r="S47" s="1573">
        <f t="shared" si="12"/>
        <v>100</v>
      </c>
      <c r="T47" s="1572" t="s">
        <v>8</v>
      </c>
      <c r="U47" s="1573">
        <f t="shared" si="13"/>
        <v>100</v>
      </c>
      <c r="V47" s="1572" t="s">
        <v>8</v>
      </c>
      <c r="W47" s="1573">
        <f t="shared" si="14"/>
        <v>100</v>
      </c>
      <c r="X47" s="1566"/>
      <c r="Y47" s="3815"/>
      <c r="Z47" s="1574">
        <f t="shared" si="15"/>
        <v>111</v>
      </c>
      <c r="AA47" s="1575">
        <f t="shared" si="3"/>
        <v>1</v>
      </c>
      <c r="AB47" s="1575">
        <f t="shared" si="4"/>
        <v>1</v>
      </c>
      <c r="AC47" s="1575">
        <f t="shared" si="5"/>
        <v>1</v>
      </c>
    </row>
    <row r="48" spans="1:29" ht="15">
      <c r="A48" s="606" t="s">
        <v>736</v>
      </c>
      <c r="B48" s="886"/>
      <c r="C48" s="2650" t="s">
        <v>1</v>
      </c>
      <c r="D48" s="2651"/>
      <c r="E48" s="2652"/>
      <c r="F48" s="2653"/>
      <c r="G48" s="2654"/>
      <c r="H48" s="2655"/>
      <c r="I48" s="2652"/>
      <c r="J48" s="2655"/>
      <c r="K48" s="1610"/>
      <c r="L48" s="2143"/>
      <c r="M48" s="2133"/>
      <c r="N48" s="2133"/>
      <c r="O48" s="2133"/>
      <c r="P48" s="3755" t="str">
        <f>A48</f>
        <v>成交单价（元/平方米）</v>
      </c>
      <c r="Q48" s="3733"/>
      <c r="R48" s="3814">
        <f>E48</f>
        <v>0</v>
      </c>
      <c r="S48" s="3814"/>
      <c r="T48" s="3814">
        <f>G48</f>
        <v>0</v>
      </c>
      <c r="U48" s="3814"/>
      <c r="V48" s="3814">
        <f>I48</f>
        <v>0</v>
      </c>
      <c r="W48" s="3814"/>
      <c r="X48" s="1558"/>
      <c r="Y48" s="1580"/>
      <c r="Z48" s="1558"/>
      <c r="AA48" s="1558"/>
      <c r="AB48" s="1558"/>
      <c r="AC48" s="1558"/>
    </row>
    <row r="49" spans="1:29" ht="15.75" thickBot="1">
      <c r="A49" s="614" t="s">
        <v>2759</v>
      </c>
      <c r="B49" s="887"/>
      <c r="C49" s="2656" t="e">
        <f>R50</f>
        <v>#DIV/0!</v>
      </c>
      <c r="D49" s="2657"/>
      <c r="E49" s="2658" t="e">
        <f>R49</f>
        <v>#DIV/0!</v>
      </c>
      <c r="F49" s="2658"/>
      <c r="G49" s="2656" t="e">
        <f>T49</f>
        <v>#DIV/0!</v>
      </c>
      <c r="H49" s="2657"/>
      <c r="I49" s="2658" t="e">
        <f>V49</f>
        <v>#DIV/0!</v>
      </c>
      <c r="J49" s="2657"/>
      <c r="K49" s="1611"/>
      <c r="L49" s="2143"/>
      <c r="M49" s="2133"/>
      <c r="N49" s="2133"/>
      <c r="O49" s="2133"/>
      <c r="P49" s="3755" t="str">
        <f>A49</f>
        <v>比较价格（元/平方米）</v>
      </c>
      <c r="Q49" s="3733"/>
      <c r="R49" s="3814" t="e">
        <f>IF(F1="售价",ROUND(PRODUCT(R48,AA7:AA47),0),ROUND(PRODUCT(R48,AA7:AA47),1))</f>
        <v>#DIV/0!</v>
      </c>
      <c r="S49" s="3814"/>
      <c r="T49" s="3814" t="e">
        <f>IF(F1="售价",ROUND(PRODUCT(T48,AB7:AB47),0),ROUND(PRODUCT(T48,AB7:AB47),1))</f>
        <v>#DIV/0!</v>
      </c>
      <c r="U49" s="3814"/>
      <c r="V49" s="3814" t="e">
        <f>IF(F1="售价",ROUND(PRODUCT(V48,AC7:AC47),0),ROUND(PRODUCT(V48,AC7:AC47),1))</f>
        <v>#DIV/0!</v>
      </c>
      <c r="W49" s="3814"/>
      <c r="X49" s="1558"/>
      <c r="Y49" s="1558"/>
      <c r="Z49" s="1558"/>
      <c r="AA49" s="1558"/>
      <c r="AB49" s="1558"/>
      <c r="AC49" s="1558"/>
    </row>
    <row r="50" spans="1:29" ht="15.75" thickBot="1">
      <c r="A50" s="620" t="s">
        <v>2923</v>
      </c>
      <c r="B50" s="621"/>
      <c r="C50" s="2659" t="e">
        <f>R50</f>
        <v>#DIV/0!</v>
      </c>
      <c r="D50" s="2659"/>
      <c r="E50" s="2659"/>
      <c r="F50" s="2659"/>
      <c r="G50" s="2659"/>
      <c r="H50" s="2659"/>
      <c r="I50" s="2659"/>
      <c r="J50" s="2659"/>
      <c r="K50" s="1612"/>
      <c r="L50" s="2143"/>
      <c r="M50" s="2133"/>
      <c r="N50" s="2133"/>
      <c r="O50" s="2133"/>
      <c r="P50" s="3842" t="str">
        <f>A50</f>
        <v>估价对象XX用房的比较价格（楼面单价，元/平方米）</v>
      </c>
      <c r="Q50" s="3755"/>
      <c r="R50" s="3813" t="e">
        <f>IF(F1="售价",ROUND(AVERAGE(R49:V49),0),ROUND(AVERAGE(R49:V49),1))</f>
        <v>#DIV/0!</v>
      </c>
      <c r="S50" s="3813"/>
      <c r="T50" s="3813"/>
      <c r="U50" s="3813"/>
      <c r="V50" s="3813"/>
      <c r="W50" s="3813"/>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575</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4" t="s">
        <v>530</v>
      </c>
      <c r="B59" s="645"/>
      <c r="C59" s="2826" t="str">
        <f>YEAR(C7)&amp;"-"&amp;MONTH(C7)</f>
        <v>2018-2</v>
      </c>
      <c r="D59" s="2828">
        <f>EDATE(C59,-1)</f>
        <v>43101</v>
      </c>
      <c r="E59" s="2828">
        <f t="shared" ref="E59:O59" si="16">EDATE(D59,-1)</f>
        <v>43070</v>
      </c>
      <c r="F59" s="2828">
        <f t="shared" si="16"/>
        <v>43040</v>
      </c>
      <c r="G59" s="2828">
        <f t="shared" si="16"/>
        <v>43009</v>
      </c>
      <c r="H59" s="2828">
        <f t="shared" si="16"/>
        <v>42979</v>
      </c>
      <c r="I59" s="2828">
        <f t="shared" si="16"/>
        <v>42948</v>
      </c>
      <c r="J59" s="2828">
        <f t="shared" si="16"/>
        <v>42917</v>
      </c>
      <c r="K59" s="2828">
        <f t="shared" si="16"/>
        <v>42887</v>
      </c>
      <c r="L59" s="2828">
        <f t="shared" si="16"/>
        <v>42856</v>
      </c>
      <c r="M59" s="2828">
        <f t="shared" si="16"/>
        <v>42826</v>
      </c>
      <c r="N59" s="2828">
        <f t="shared" si="16"/>
        <v>42795</v>
      </c>
      <c r="O59" s="2828">
        <f t="shared" si="16"/>
        <v>42767</v>
      </c>
      <c r="P59" s="2210"/>
      <c r="Q59" s="2160"/>
      <c r="R59" s="2160"/>
      <c r="S59" s="2160"/>
      <c r="T59" s="2160"/>
      <c r="U59" s="2160"/>
      <c r="V59" s="2160"/>
      <c r="W59" s="2160"/>
      <c r="X59" s="2160"/>
      <c r="Y59" s="2160"/>
      <c r="Z59" s="2160"/>
      <c r="AA59" s="2160"/>
      <c r="AB59" s="2160"/>
      <c r="AC59" s="2160"/>
    </row>
    <row r="60" spans="1:29" s="1219"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9" customFormat="1" ht="15.75" thickBot="1">
      <c r="A61" s="652" t="s">
        <v>576</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9" customFormat="1" ht="15">
      <c r="A62" s="658" t="s">
        <v>532</v>
      </c>
      <c r="B62" s="647"/>
      <c r="C62" s="659" t="s">
        <v>577</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578</v>
      </c>
      <c r="B64" s="664" t="s">
        <v>535</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538</v>
      </c>
      <c r="C66" s="673" t="s">
        <v>737</v>
      </c>
      <c r="D66" s="673" t="s">
        <v>738</v>
      </c>
      <c r="E66" s="673" t="s">
        <v>739</v>
      </c>
      <c r="F66" s="673" t="s">
        <v>740</v>
      </c>
      <c r="G66" s="673" t="s">
        <v>741</v>
      </c>
      <c r="H66" s="673" t="s">
        <v>742</v>
      </c>
      <c r="I66" s="673" t="s">
        <v>743</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540</v>
      </c>
      <c r="B77" s="664" t="s">
        <v>586</v>
      </c>
      <c r="C77" s="702" t="s">
        <v>580</v>
      </c>
      <c r="D77" s="702" t="s">
        <v>581</v>
      </c>
      <c r="E77" s="702" t="s">
        <v>582</v>
      </c>
      <c r="F77" s="702" t="s">
        <v>583</v>
      </c>
      <c r="G77" s="702" t="s">
        <v>584</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587</v>
      </c>
      <c r="C79" s="707" t="s">
        <v>580</v>
      </c>
      <c r="D79" s="707" t="s">
        <v>581</v>
      </c>
      <c r="E79" s="707" t="s">
        <v>582</v>
      </c>
      <c r="F79" s="707" t="s">
        <v>583</v>
      </c>
      <c r="G79" s="707" t="s">
        <v>584</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2557</v>
      </c>
      <c r="C81" s="707" t="s">
        <v>580</v>
      </c>
      <c r="D81" s="707" t="s">
        <v>581</v>
      </c>
      <c r="E81" s="707" t="s">
        <v>582</v>
      </c>
      <c r="F81" s="707" t="s">
        <v>583</v>
      </c>
      <c r="G81" s="707" t="s">
        <v>584</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20" t="s">
        <v>2558</v>
      </c>
      <c r="C83" s="2621" t="s">
        <v>2559</v>
      </c>
      <c r="D83" s="2621" t="s">
        <v>2560</v>
      </c>
      <c r="E83" s="2621" t="s">
        <v>2561</v>
      </c>
      <c r="F83" s="2621" t="s">
        <v>2562</v>
      </c>
      <c r="G83" s="2621" t="s">
        <v>2563</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784</v>
      </c>
      <c r="C85" s="707" t="s">
        <v>580</v>
      </c>
      <c r="D85" s="707" t="s">
        <v>581</v>
      </c>
      <c r="E85" s="707" t="s">
        <v>582</v>
      </c>
      <c r="F85" s="707" t="s">
        <v>583</v>
      </c>
      <c r="G85" s="707" t="s">
        <v>584</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8"/>
      <c r="B87" s="672" t="s">
        <v>785</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552</v>
      </c>
      <c r="B101" s="664" t="s">
        <v>747</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749</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751</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7"/>
      <c r="B113" s="672" t="s">
        <v>786</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753</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2556</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787</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7"/>
      <c r="B121" s="672" t="s">
        <v>775</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755</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756</v>
      </c>
      <c r="C125" s="707" t="s">
        <v>580</v>
      </c>
      <c r="D125" s="707" t="s">
        <v>581</v>
      </c>
      <c r="E125" s="707" t="s">
        <v>582</v>
      </c>
      <c r="F125" s="707" t="s">
        <v>583</v>
      </c>
      <c r="G125" s="707" t="s">
        <v>584</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788</v>
      </c>
      <c r="C1" s="503" t="s">
        <v>721</v>
      </c>
      <c r="D1" s="848"/>
      <c r="E1" s="505"/>
      <c r="F1" s="2831"/>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7"/>
    </row>
    <row r="3" spans="1:29" s="1335" customFormat="1" ht="28.5" customHeight="1" thickBot="1">
      <c r="A3" s="508" t="s">
        <v>520</v>
      </c>
      <c r="B3" s="509" t="e">
        <f>C43</f>
        <v>#DIV/0!</v>
      </c>
      <c r="C3" s="851" t="s">
        <v>723</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522</v>
      </c>
      <c r="B4" s="512"/>
      <c r="C4" s="3739" t="s">
        <v>523</v>
      </c>
      <c r="D4" s="3740"/>
      <c r="E4" s="3763" t="s">
        <v>524</v>
      </c>
      <c r="F4" s="3764"/>
      <c r="G4" s="3739" t="s">
        <v>525</v>
      </c>
      <c r="H4" s="3740"/>
      <c r="I4" s="3739" t="s">
        <v>526</v>
      </c>
      <c r="J4" s="3740"/>
      <c r="K4" s="513" t="s">
        <v>527</v>
      </c>
      <c r="L4" s="2132"/>
      <c r="M4" s="2133"/>
      <c r="N4" s="2133"/>
      <c r="O4" s="2133"/>
      <c r="P4" s="3741" t="s">
        <v>528</v>
      </c>
      <c r="Q4" s="3742"/>
      <c r="R4" s="3727" t="s">
        <v>524</v>
      </c>
      <c r="S4" s="3728"/>
      <c r="T4" s="3727" t="s">
        <v>525</v>
      </c>
      <c r="U4" s="3728"/>
      <c r="V4" s="3747" t="s">
        <v>526</v>
      </c>
      <c r="W4" s="3747"/>
      <c r="X4" s="1566"/>
      <c r="Y4" s="3727" t="s">
        <v>528</v>
      </c>
      <c r="Z4" s="3728"/>
      <c r="AA4" s="3722" t="s">
        <v>524</v>
      </c>
      <c r="AB4" s="3723" t="s">
        <v>525</v>
      </c>
      <c r="AC4" s="3722" t="s">
        <v>526</v>
      </c>
    </row>
    <row r="5" spans="1:29" ht="15">
      <c r="A5" s="514"/>
      <c r="B5" s="515"/>
      <c r="C5" s="3750" t="s">
        <v>2917</v>
      </c>
      <c r="D5" s="3751"/>
      <c r="E5" s="3765" t="s">
        <v>2918</v>
      </c>
      <c r="F5" s="3766"/>
      <c r="G5" s="3750" t="s">
        <v>2919</v>
      </c>
      <c r="H5" s="3751"/>
      <c r="I5" s="3750" t="s">
        <v>2920</v>
      </c>
      <c r="J5" s="3751"/>
      <c r="K5" s="513"/>
      <c r="L5" s="2132"/>
      <c r="M5" s="2133"/>
      <c r="N5" s="2133"/>
      <c r="O5" s="2133"/>
      <c r="P5" s="3743"/>
      <c r="Q5" s="3744"/>
      <c r="R5" s="3729"/>
      <c r="S5" s="3730"/>
      <c r="T5" s="3729"/>
      <c r="U5" s="3730"/>
      <c r="V5" s="3747"/>
      <c r="W5" s="3747"/>
      <c r="X5" s="1566"/>
      <c r="Y5" s="3729"/>
      <c r="Z5" s="3730"/>
      <c r="AA5" s="3723"/>
      <c r="AB5" s="3723"/>
      <c r="AC5" s="3723"/>
    </row>
    <row r="6" spans="1:29" ht="15.75" thickBot="1">
      <c r="A6" s="516"/>
      <c r="B6" s="517"/>
      <c r="C6" s="3748" t="s">
        <v>2921</v>
      </c>
      <c r="D6" s="3749"/>
      <c r="E6" s="3767" t="s">
        <v>2921</v>
      </c>
      <c r="F6" s="3768"/>
      <c r="G6" s="3748" t="s">
        <v>2921</v>
      </c>
      <c r="H6" s="3749"/>
      <c r="I6" s="3748" t="s">
        <v>2921</v>
      </c>
      <c r="J6" s="3749"/>
      <c r="K6" s="513" t="s">
        <v>529</v>
      </c>
      <c r="L6" s="2132"/>
      <c r="M6" s="2133"/>
      <c r="N6" s="2133"/>
      <c r="O6" s="2133"/>
      <c r="P6" s="3745"/>
      <c r="Q6" s="3746"/>
      <c r="R6" s="3729"/>
      <c r="S6" s="3730"/>
      <c r="T6" s="3731"/>
      <c r="U6" s="3732"/>
      <c r="V6" s="3747"/>
      <c r="W6" s="3747"/>
      <c r="X6" s="1566"/>
      <c r="Y6" s="3731"/>
      <c r="Z6" s="3732"/>
      <c r="AA6" s="3724"/>
      <c r="AB6" s="3724"/>
      <c r="AC6" s="3724"/>
    </row>
    <row r="7" spans="1:29" s="1219" customFormat="1" ht="15.75" thickBot="1">
      <c r="A7" s="2936"/>
      <c r="B7" s="2943" t="s">
        <v>530</v>
      </c>
      <c r="C7" s="518">
        <f>'数据-取费表'!B2</f>
        <v>43159</v>
      </c>
      <c r="D7" s="519">
        <v>100</v>
      </c>
      <c r="E7" s="520"/>
      <c r="F7" s="521">
        <f>SUMIF(52:52,YEAR(E7)&amp;"-"&amp;MONTH(E7),53:53)</f>
        <v>0</v>
      </c>
      <c r="G7" s="520"/>
      <c r="H7" s="519">
        <f>SUMIF(52:52,YEAR(G7)&amp;"-"&amp;MONTH(G7),53:53)</f>
        <v>0</v>
      </c>
      <c r="I7" s="520"/>
      <c r="J7" s="519">
        <f>SUMIF(52:52,YEAR(I7)&amp;"-"&amp;MONTH(I7),53:53)</f>
        <v>0</v>
      </c>
      <c r="K7" s="523"/>
      <c r="L7" s="2134"/>
      <c r="M7" s="2135"/>
      <c r="N7" s="2135"/>
      <c r="O7" s="2135"/>
      <c r="P7" s="3725" t="s">
        <v>531</v>
      </c>
      <c r="Q7" s="3734"/>
      <c r="R7" s="1567" t="s">
        <v>8</v>
      </c>
      <c r="S7" s="1568">
        <f t="shared" ref="S7:S15" si="0">F7</f>
        <v>0</v>
      </c>
      <c r="T7" s="1567" t="s">
        <v>8</v>
      </c>
      <c r="U7" s="1568">
        <f t="shared" ref="U7:U15" si="1">H7</f>
        <v>0</v>
      </c>
      <c r="V7" s="1567" t="s">
        <v>8</v>
      </c>
      <c r="W7" s="1568">
        <f t="shared" ref="W7:W15" si="2">J7</f>
        <v>0</v>
      </c>
      <c r="X7" s="1569"/>
      <c r="Y7" s="3725" t="s">
        <v>531</v>
      </c>
      <c r="Z7" s="3726"/>
      <c r="AA7" s="1570" t="e">
        <f>D7/F7</f>
        <v>#DIV/0!</v>
      </c>
      <c r="AB7" s="1570" t="e">
        <f>D7/H7</f>
        <v>#DIV/0!</v>
      </c>
      <c r="AC7" s="1570" t="e">
        <f>D7/J7</f>
        <v>#DIV/0!</v>
      </c>
    </row>
    <row r="8" spans="1:29" s="1219" customFormat="1" ht="15.75" thickBot="1">
      <c r="A8" s="2937"/>
      <c r="B8" s="2944" t="s">
        <v>532</v>
      </c>
      <c r="C8" s="524" t="s">
        <v>577</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725" t="s">
        <v>534</v>
      </c>
      <c r="Q8" s="3726"/>
      <c r="R8" s="1567" t="s">
        <v>8</v>
      </c>
      <c r="S8" s="1568">
        <f t="shared" si="0"/>
        <v>0</v>
      </c>
      <c r="T8" s="1567" t="s">
        <v>8</v>
      </c>
      <c r="U8" s="1568">
        <f t="shared" si="1"/>
        <v>0</v>
      </c>
      <c r="V8" s="1567" t="s">
        <v>8</v>
      </c>
      <c r="W8" s="1568">
        <f t="shared" si="2"/>
        <v>0</v>
      </c>
      <c r="X8" s="1569"/>
      <c r="Y8" s="3725" t="s">
        <v>534</v>
      </c>
      <c r="Z8" s="3726"/>
      <c r="AA8" s="1570" t="e">
        <f t="shared" ref="AA8:AA40" si="3">D8/F8</f>
        <v>#DIV/0!</v>
      </c>
      <c r="AB8" s="1570" t="e">
        <f t="shared" ref="AB8:AB40" si="4">D8/H8</f>
        <v>#DIV/0!</v>
      </c>
      <c r="AC8" s="1570" t="e">
        <f t="shared" ref="AC8:AC40" si="5">D8/J8</f>
        <v>#DIV/0!</v>
      </c>
    </row>
    <row r="9" spans="1:29" s="1219" customFormat="1" ht="15">
      <c r="A9" s="2938"/>
      <c r="B9" s="2945" t="s">
        <v>2755</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733" t="s">
        <v>536</v>
      </c>
      <c r="Q9" s="1150" t="str">
        <f t="shared" ref="Q9:Q15" si="6">B9</f>
        <v>用途</v>
      </c>
      <c r="R9" s="1567" t="s">
        <v>8</v>
      </c>
      <c r="S9" s="1568">
        <f t="shared" si="0"/>
        <v>100</v>
      </c>
      <c r="T9" s="1567" t="s">
        <v>8</v>
      </c>
      <c r="U9" s="1568">
        <f t="shared" si="1"/>
        <v>100</v>
      </c>
      <c r="V9" s="1567" t="s">
        <v>8</v>
      </c>
      <c r="W9" s="1568">
        <f t="shared" si="2"/>
        <v>100</v>
      </c>
      <c r="X9" s="1569"/>
      <c r="Y9" s="3686" t="s">
        <v>537</v>
      </c>
      <c r="Z9" s="1149" t="str">
        <f t="shared" ref="Z9:Z15" si="7">Q9</f>
        <v>用途</v>
      </c>
      <c r="AA9" s="1570">
        <f t="shared" si="3"/>
        <v>1</v>
      </c>
      <c r="AB9" s="1570">
        <f t="shared" si="4"/>
        <v>1</v>
      </c>
      <c r="AC9" s="1570">
        <f t="shared" si="5"/>
        <v>1</v>
      </c>
    </row>
    <row r="10" spans="1:29" s="1337" customFormat="1" ht="27">
      <c r="A10" s="2939"/>
      <c r="B10" s="2944" t="s">
        <v>2756</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733"/>
      <c r="Q10" s="1150" t="str">
        <f t="shared" si="6"/>
        <v>土地使用年限（年）</v>
      </c>
      <c r="R10" s="1567" t="s">
        <v>8</v>
      </c>
      <c r="S10" s="1568">
        <f t="shared" si="0"/>
        <v>100</v>
      </c>
      <c r="T10" s="1567" t="s">
        <v>8</v>
      </c>
      <c r="U10" s="1568">
        <f t="shared" si="1"/>
        <v>100</v>
      </c>
      <c r="V10" s="1567" t="s">
        <v>8</v>
      </c>
      <c r="W10" s="1568">
        <f t="shared" si="2"/>
        <v>100</v>
      </c>
      <c r="X10" s="1569"/>
      <c r="Y10" s="3686"/>
      <c r="Z10" s="1149" t="str">
        <f t="shared" si="7"/>
        <v>土地使用年限（年）</v>
      </c>
      <c r="AA10" s="1570">
        <f t="shared" si="3"/>
        <v>1</v>
      </c>
      <c r="AB10" s="1570">
        <f t="shared" si="4"/>
        <v>1</v>
      </c>
      <c r="AC10" s="1570">
        <f t="shared" si="5"/>
        <v>1</v>
      </c>
    </row>
    <row r="11" spans="1:29" ht="15">
      <c r="A11" s="2940"/>
      <c r="B11" s="2944"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733"/>
      <c r="Q11" s="1150" t="str">
        <f t="shared" si="6"/>
        <v>容积率</v>
      </c>
      <c r="R11" s="1567" t="s">
        <v>8</v>
      </c>
      <c r="S11" s="1568" t="e">
        <f t="shared" si="0"/>
        <v>#N/A</v>
      </c>
      <c r="T11" s="1567" t="s">
        <v>8</v>
      </c>
      <c r="U11" s="1568" t="e">
        <f t="shared" si="1"/>
        <v>#N/A</v>
      </c>
      <c r="V11" s="1567" t="s">
        <v>8</v>
      </c>
      <c r="W11" s="1568" t="e">
        <f t="shared" si="2"/>
        <v>#N/A</v>
      </c>
      <c r="X11" s="1569"/>
      <c r="Y11" s="3686"/>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4"/>
      <c r="M12" s="2135"/>
      <c r="N12" s="2135"/>
      <c r="O12" s="2136"/>
      <c r="P12" s="3733"/>
      <c r="Q12" s="1150">
        <f t="shared" si="6"/>
        <v>111</v>
      </c>
      <c r="R12" s="1567" t="s">
        <v>8</v>
      </c>
      <c r="S12" s="1568">
        <f t="shared" si="0"/>
        <v>100</v>
      </c>
      <c r="T12" s="1567" t="s">
        <v>8</v>
      </c>
      <c r="U12" s="1568">
        <f t="shared" si="1"/>
        <v>100</v>
      </c>
      <c r="V12" s="1567" t="s">
        <v>8</v>
      </c>
      <c r="W12" s="1568">
        <f t="shared" si="2"/>
        <v>100</v>
      </c>
      <c r="X12" s="1569"/>
      <c r="Y12" s="3686"/>
      <c r="Z12" s="1149">
        <f t="shared" si="7"/>
        <v>111</v>
      </c>
      <c r="AA12" s="1570">
        <f>D12/F12</f>
        <v>1</v>
      </c>
      <c r="AB12" s="1570">
        <f>D12/H12</f>
        <v>1</v>
      </c>
      <c r="AC12" s="1570">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1"/>
      <c r="M13" s="2133"/>
      <c r="N13" s="2133"/>
      <c r="O13" s="2140"/>
      <c r="P13" s="3733"/>
      <c r="Q13" s="1150">
        <f t="shared" si="6"/>
        <v>111</v>
      </c>
      <c r="R13" s="1567" t="s">
        <v>8</v>
      </c>
      <c r="S13" s="1568">
        <f t="shared" si="0"/>
        <v>100</v>
      </c>
      <c r="T13" s="1567" t="s">
        <v>8</v>
      </c>
      <c r="U13" s="1568">
        <f t="shared" si="1"/>
        <v>100</v>
      </c>
      <c r="V13" s="1567" t="s">
        <v>8</v>
      </c>
      <c r="W13" s="1568">
        <f t="shared" si="2"/>
        <v>100</v>
      </c>
      <c r="X13" s="1569"/>
      <c r="Y13" s="3686"/>
      <c r="Z13" s="1149">
        <f t="shared" si="7"/>
        <v>111</v>
      </c>
      <c r="AA13" s="1570">
        <f t="shared" si="3"/>
        <v>1</v>
      </c>
      <c r="AB13" s="1570">
        <f t="shared" si="4"/>
        <v>1</v>
      </c>
      <c r="AC13" s="1570">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733"/>
      <c r="Q14" s="1150">
        <f t="shared" si="6"/>
        <v>111</v>
      </c>
      <c r="R14" s="1567" t="s">
        <v>8</v>
      </c>
      <c r="S14" s="1568">
        <f t="shared" si="0"/>
        <v>100</v>
      </c>
      <c r="T14" s="1567" t="s">
        <v>8</v>
      </c>
      <c r="U14" s="1568">
        <f t="shared" si="1"/>
        <v>100</v>
      </c>
      <c r="V14" s="1567" t="s">
        <v>8</v>
      </c>
      <c r="W14" s="1568">
        <f t="shared" si="2"/>
        <v>100</v>
      </c>
      <c r="X14" s="1569"/>
      <c r="Y14" s="3686"/>
      <c r="Z14" s="1149">
        <f t="shared" si="7"/>
        <v>111</v>
      </c>
      <c r="AA14" s="1570">
        <f t="shared" si="3"/>
        <v>1</v>
      </c>
      <c r="AB14" s="1570">
        <f t="shared" si="4"/>
        <v>1</v>
      </c>
      <c r="AC14" s="1570">
        <f t="shared" si="5"/>
        <v>1</v>
      </c>
    </row>
    <row r="15" spans="1:29" ht="15">
      <c r="A15" s="2934" t="s">
        <v>2753</v>
      </c>
      <c r="B15" s="166" t="s">
        <v>789</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735" t="s">
        <v>541</v>
      </c>
      <c r="Q15" s="1571" t="str">
        <f t="shared" si="6"/>
        <v>产业集聚程度</v>
      </c>
      <c r="R15" s="1572" t="s">
        <v>8</v>
      </c>
      <c r="S15" s="1573">
        <f t="shared" si="0"/>
        <v>100</v>
      </c>
      <c r="T15" s="1572" t="s">
        <v>8</v>
      </c>
      <c r="U15" s="1573">
        <f t="shared" si="1"/>
        <v>100</v>
      </c>
      <c r="V15" s="1572" t="s">
        <v>8</v>
      </c>
      <c r="W15" s="1573">
        <f t="shared" si="2"/>
        <v>100</v>
      </c>
      <c r="X15" s="1566"/>
      <c r="Y15" s="3735" t="s">
        <v>541</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736"/>
      <c r="Q16" s="1571"/>
      <c r="R16" s="1572"/>
      <c r="S16" s="1573"/>
      <c r="T16" s="1572"/>
      <c r="U16" s="1573"/>
      <c r="V16" s="1572"/>
      <c r="W16" s="1573"/>
      <c r="X16" s="1566"/>
      <c r="Y16" s="3736"/>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736"/>
      <c r="Q17" s="1571" t="str">
        <f>B17</f>
        <v>交通便捷度</v>
      </c>
      <c r="R17" s="1572" t="s">
        <v>8</v>
      </c>
      <c r="S17" s="1573">
        <f>F17</f>
        <v>100</v>
      </c>
      <c r="T17" s="1572" t="s">
        <v>8</v>
      </c>
      <c r="U17" s="1573">
        <f>H17</f>
        <v>100</v>
      </c>
      <c r="V17" s="1572" t="s">
        <v>8</v>
      </c>
      <c r="W17" s="1573">
        <f>J17</f>
        <v>100</v>
      </c>
      <c r="X17" s="1566"/>
      <c r="Y17" s="373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736"/>
      <c r="Q18" s="1571"/>
      <c r="R18" s="1572"/>
      <c r="S18" s="1573"/>
      <c r="T18" s="1572"/>
      <c r="U18" s="1573"/>
      <c r="V18" s="1572"/>
      <c r="W18" s="1573"/>
      <c r="X18" s="1566"/>
      <c r="Y18" s="3736"/>
      <c r="Z18" s="1574"/>
      <c r="AA18" s="1575">
        <v>1</v>
      </c>
      <c r="AB18" s="1575">
        <v>1</v>
      </c>
      <c r="AC18" s="1575">
        <v>1</v>
      </c>
    </row>
    <row r="19" spans="1:29" ht="15">
      <c r="A19" s="531"/>
      <c r="B19" s="2626" t="s">
        <v>2546</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736"/>
      <c r="Q19" s="1571" t="str">
        <f>B19</f>
        <v>公共配套设施</v>
      </c>
      <c r="R19" s="1572" t="s">
        <v>8</v>
      </c>
      <c r="S19" s="1573">
        <f>F19</f>
        <v>100</v>
      </c>
      <c r="T19" s="1572" t="s">
        <v>8</v>
      </c>
      <c r="U19" s="1573">
        <f>H19</f>
        <v>100</v>
      </c>
      <c r="V19" s="1572" t="s">
        <v>8</v>
      </c>
      <c r="W19" s="1573">
        <f>J19</f>
        <v>100</v>
      </c>
      <c r="X19" s="1566"/>
      <c r="Y19" s="3736"/>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1"/>
      <c r="M20" s="2133"/>
      <c r="N20" s="2133"/>
      <c r="O20" s="2140"/>
      <c r="P20" s="3736"/>
      <c r="Q20" s="1571"/>
      <c r="R20" s="1572"/>
      <c r="S20" s="1573"/>
      <c r="T20" s="1572"/>
      <c r="U20" s="1573"/>
      <c r="V20" s="1572"/>
      <c r="W20" s="1573"/>
      <c r="X20" s="1566"/>
      <c r="Y20" s="3736"/>
      <c r="Z20" s="1574"/>
      <c r="AA20" s="1575">
        <v>1</v>
      </c>
      <c r="AB20" s="1575">
        <v>1</v>
      </c>
      <c r="AC20" s="1575">
        <v>1</v>
      </c>
    </row>
    <row r="21" spans="1:29" ht="15">
      <c r="A21" s="531"/>
      <c r="B21" s="2614" t="s">
        <v>2558</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736"/>
      <c r="Q21" s="2602" t="str">
        <f>B21</f>
        <v>基础设施水平</v>
      </c>
      <c r="R21" s="1572" t="s">
        <v>8</v>
      </c>
      <c r="S21" s="1573">
        <f>F21</f>
        <v>100</v>
      </c>
      <c r="T21" s="1572" t="s">
        <v>8</v>
      </c>
      <c r="U21" s="1573">
        <f>H21</f>
        <v>100</v>
      </c>
      <c r="V21" s="1572" t="s">
        <v>8</v>
      </c>
      <c r="W21" s="1573">
        <f>J21</f>
        <v>100</v>
      </c>
      <c r="X21" s="2604"/>
      <c r="Y21" s="3736"/>
      <c r="Z21" s="2603"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5"/>
      <c r="L22" s="2141"/>
      <c r="M22" s="2133"/>
      <c r="N22" s="2133"/>
      <c r="O22" s="2140"/>
      <c r="P22" s="3736"/>
      <c r="Q22" s="2602"/>
      <c r="R22" s="1572"/>
      <c r="S22" s="1573"/>
      <c r="T22" s="1572"/>
      <c r="U22" s="1573"/>
      <c r="V22" s="1572"/>
      <c r="W22" s="1573"/>
      <c r="X22" s="2604"/>
      <c r="Y22" s="3736"/>
      <c r="Z22" s="2603"/>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736"/>
      <c r="Q23" s="1571" t="str">
        <f>B23</f>
        <v>环境质量</v>
      </c>
      <c r="R23" s="1572" t="s">
        <v>8</v>
      </c>
      <c r="S23" s="1573">
        <f>F23</f>
        <v>100</v>
      </c>
      <c r="T23" s="1572" t="s">
        <v>8</v>
      </c>
      <c r="U23" s="1573">
        <f>H23</f>
        <v>100</v>
      </c>
      <c r="V23" s="1572" t="s">
        <v>8</v>
      </c>
      <c r="W23" s="1573">
        <f>J23</f>
        <v>100</v>
      </c>
      <c r="X23" s="1566"/>
      <c r="Y23" s="3736"/>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1"/>
      <c r="M24" s="2133"/>
      <c r="N24" s="2133"/>
      <c r="O24" s="2140"/>
      <c r="P24" s="3736"/>
      <c r="Q24" s="1571"/>
      <c r="R24" s="1572"/>
      <c r="S24" s="1573"/>
      <c r="T24" s="1572"/>
      <c r="U24" s="1573"/>
      <c r="V24" s="1572"/>
      <c r="W24" s="1573"/>
      <c r="X24" s="1566"/>
      <c r="Y24" s="3736"/>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736"/>
      <c r="Q25" s="1571">
        <f>B25</f>
        <v>111</v>
      </c>
      <c r="R25" s="1572" t="s">
        <v>8</v>
      </c>
      <c r="S25" s="1573">
        <f>F25</f>
        <v>100</v>
      </c>
      <c r="T25" s="1572" t="s">
        <v>8</v>
      </c>
      <c r="U25" s="1573">
        <f>H25</f>
        <v>100</v>
      </c>
      <c r="V25" s="1572" t="s">
        <v>8</v>
      </c>
      <c r="W25" s="1573">
        <f>J25</f>
        <v>100</v>
      </c>
      <c r="X25" s="1566"/>
      <c r="Y25" s="3736"/>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736"/>
      <c r="Q26" s="1571">
        <f t="shared" ref="Q26:Q40" si="11">B26</f>
        <v>111</v>
      </c>
      <c r="R26" s="1572" t="s">
        <v>8</v>
      </c>
      <c r="S26" s="1573">
        <f>F26</f>
        <v>100</v>
      </c>
      <c r="T26" s="1572" t="s">
        <v>8</v>
      </c>
      <c r="U26" s="1573">
        <f>H26</f>
        <v>100</v>
      </c>
      <c r="V26" s="1572" t="s">
        <v>8</v>
      </c>
      <c r="W26" s="1573">
        <f>J26</f>
        <v>100</v>
      </c>
      <c r="X26" s="1566"/>
      <c r="Y26" s="3736"/>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736"/>
      <c r="Q27" s="1150">
        <f t="shared" si="11"/>
        <v>111</v>
      </c>
      <c r="R27" s="1567" t="s">
        <v>8</v>
      </c>
      <c r="S27" s="1568">
        <f>F27</f>
        <v>100</v>
      </c>
      <c r="T27" s="1567" t="s">
        <v>8</v>
      </c>
      <c r="U27" s="1568">
        <f>H27</f>
        <v>100</v>
      </c>
      <c r="V27" s="1567" t="s">
        <v>8</v>
      </c>
      <c r="W27" s="1568">
        <f>J27</f>
        <v>100</v>
      </c>
      <c r="X27" s="1569"/>
      <c r="Y27" s="3736"/>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736"/>
      <c r="Q28" s="1571">
        <f t="shared" si="11"/>
        <v>111</v>
      </c>
      <c r="R28" s="1572" t="s">
        <v>8</v>
      </c>
      <c r="S28" s="1573">
        <f t="shared" ref="S28:S40" si="12">F28</f>
        <v>100</v>
      </c>
      <c r="T28" s="1572" t="s">
        <v>8</v>
      </c>
      <c r="U28" s="1573">
        <f t="shared" ref="U28:U40" si="13">H28</f>
        <v>100</v>
      </c>
      <c r="V28" s="1572" t="s">
        <v>8</v>
      </c>
      <c r="W28" s="1573">
        <f t="shared" ref="W28:W40" si="14">J28</f>
        <v>100</v>
      </c>
      <c r="X28" s="1566"/>
      <c r="Y28" s="3736"/>
      <c r="Z28" s="1574">
        <f t="shared" ref="Z28:Z40" si="15">Q28</f>
        <v>111</v>
      </c>
      <c r="AA28" s="1575">
        <f t="shared" si="3"/>
        <v>1</v>
      </c>
      <c r="AB28" s="1575">
        <f t="shared" si="4"/>
        <v>1</v>
      </c>
      <c r="AC28" s="1575">
        <f t="shared" si="5"/>
        <v>1</v>
      </c>
    </row>
    <row r="29" spans="1:29" ht="15">
      <c r="A29" s="2931"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737" t="s">
        <v>551</v>
      </c>
      <c r="Q29" s="1571" t="str">
        <f t="shared" si="11"/>
        <v>建筑类型</v>
      </c>
      <c r="R29" s="1572" t="s">
        <v>8</v>
      </c>
      <c r="S29" s="1573">
        <f t="shared" si="12"/>
        <v>100</v>
      </c>
      <c r="T29" s="1572" t="s">
        <v>8</v>
      </c>
      <c r="U29" s="1573">
        <f t="shared" si="13"/>
        <v>100</v>
      </c>
      <c r="V29" s="1572" t="s">
        <v>8</v>
      </c>
      <c r="W29" s="1573">
        <f t="shared" si="14"/>
        <v>100</v>
      </c>
      <c r="X29" s="1566"/>
      <c r="Y29" s="3738" t="s">
        <v>551</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738"/>
      <c r="Q30" s="1604" t="str">
        <f t="shared" si="11"/>
        <v>项目建筑规模</v>
      </c>
      <c r="R30" s="1576" t="s">
        <v>8</v>
      </c>
      <c r="S30" s="1577" t="e">
        <f t="shared" si="12"/>
        <v>#N/A</v>
      </c>
      <c r="T30" s="1576" t="s">
        <v>8</v>
      </c>
      <c r="U30" s="1577" t="e">
        <f t="shared" si="13"/>
        <v>#N/A</v>
      </c>
      <c r="V30" s="1576" t="s">
        <v>8</v>
      </c>
      <c r="W30" s="1577" t="e">
        <f t="shared" si="14"/>
        <v>#N/A</v>
      </c>
      <c r="X30" s="1578"/>
      <c r="Y30" s="3738"/>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738"/>
      <c r="Q31" s="1571" t="str">
        <f t="shared" si="11"/>
        <v>建筑结构</v>
      </c>
      <c r="R31" s="1572" t="s">
        <v>8</v>
      </c>
      <c r="S31" s="1573">
        <f t="shared" si="12"/>
        <v>100</v>
      </c>
      <c r="T31" s="1572" t="s">
        <v>8</v>
      </c>
      <c r="U31" s="1573">
        <f t="shared" si="13"/>
        <v>100</v>
      </c>
      <c r="V31" s="1572" t="s">
        <v>8</v>
      </c>
      <c r="W31" s="1573">
        <f t="shared" si="14"/>
        <v>100</v>
      </c>
      <c r="X31" s="1566"/>
      <c r="Y31" s="3738"/>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738"/>
      <c r="Q32" s="1571" t="str">
        <f t="shared" si="11"/>
        <v>公共部分装修</v>
      </c>
      <c r="R32" s="1572" t="s">
        <v>8</v>
      </c>
      <c r="S32" s="1573">
        <f t="shared" si="12"/>
        <v>100</v>
      </c>
      <c r="T32" s="1572" t="s">
        <v>8</v>
      </c>
      <c r="U32" s="1573">
        <f t="shared" si="13"/>
        <v>100</v>
      </c>
      <c r="V32" s="1572" t="s">
        <v>8</v>
      </c>
      <c r="W32" s="1573">
        <f t="shared" si="14"/>
        <v>100</v>
      </c>
      <c r="X32" s="1566"/>
      <c r="Y32" s="3738"/>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738"/>
      <c r="Q33" s="1571" t="str">
        <f t="shared" si="11"/>
        <v>成新度</v>
      </c>
      <c r="R33" s="1572" t="s">
        <v>8</v>
      </c>
      <c r="S33" s="1573" t="e">
        <f t="shared" si="12"/>
        <v>#N/A</v>
      </c>
      <c r="T33" s="1572" t="s">
        <v>8</v>
      </c>
      <c r="U33" s="1573" t="e">
        <f t="shared" si="13"/>
        <v>#N/A</v>
      </c>
      <c r="V33" s="1572" t="s">
        <v>8</v>
      </c>
      <c r="W33" s="1573" t="e">
        <f t="shared" si="14"/>
        <v>#N/A</v>
      </c>
      <c r="X33" s="1566"/>
      <c r="Y33" s="3738"/>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738"/>
      <c r="Q34" s="1150" t="str">
        <f t="shared" si="11"/>
        <v>物业管理</v>
      </c>
      <c r="R34" s="1567" t="s">
        <v>8</v>
      </c>
      <c r="S34" s="1568">
        <f t="shared" si="12"/>
        <v>100</v>
      </c>
      <c r="T34" s="1567" t="s">
        <v>8</v>
      </c>
      <c r="U34" s="1568">
        <f t="shared" si="13"/>
        <v>100</v>
      </c>
      <c r="V34" s="1567" t="s">
        <v>8</v>
      </c>
      <c r="W34" s="1568">
        <f t="shared" si="14"/>
        <v>100</v>
      </c>
      <c r="X34" s="1569"/>
      <c r="Y34" s="3738"/>
      <c r="Z34" s="1149" t="str">
        <f t="shared" si="15"/>
        <v>物业管理</v>
      </c>
      <c r="AA34" s="1570">
        <f t="shared" si="3"/>
        <v>1</v>
      </c>
      <c r="AB34" s="1570">
        <f t="shared" si="4"/>
        <v>1</v>
      </c>
      <c r="AC34" s="1570">
        <f t="shared" si="5"/>
        <v>1</v>
      </c>
    </row>
    <row r="35" spans="1:29" ht="15">
      <c r="A35" s="593"/>
      <c r="B35" s="1894"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738" t="s">
        <v>551</v>
      </c>
      <c r="Q35" s="1571" t="str">
        <f t="shared" si="11"/>
        <v>市政基础设施</v>
      </c>
      <c r="R35" s="1572" t="s">
        <v>8</v>
      </c>
      <c r="S35" s="1573">
        <f t="shared" si="12"/>
        <v>100</v>
      </c>
      <c r="T35" s="1572" t="s">
        <v>8</v>
      </c>
      <c r="U35" s="1573">
        <f t="shared" si="13"/>
        <v>100</v>
      </c>
      <c r="V35" s="1572" t="s">
        <v>8</v>
      </c>
      <c r="W35" s="1573">
        <f t="shared" si="14"/>
        <v>100</v>
      </c>
      <c r="X35" s="1566"/>
      <c r="Y35" s="3738" t="s">
        <v>551</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738"/>
      <c r="Q36" s="1571" t="str">
        <f t="shared" si="11"/>
        <v>内部装修</v>
      </c>
      <c r="R36" s="1572" t="s">
        <v>8</v>
      </c>
      <c r="S36" s="1573">
        <f t="shared" si="12"/>
        <v>100</v>
      </c>
      <c r="T36" s="1572" t="s">
        <v>8</v>
      </c>
      <c r="U36" s="1573">
        <f t="shared" si="13"/>
        <v>100</v>
      </c>
      <c r="V36" s="1572" t="s">
        <v>8</v>
      </c>
      <c r="W36" s="1573">
        <f t="shared" si="14"/>
        <v>100</v>
      </c>
      <c r="X36" s="1566"/>
      <c r="Y36" s="3738"/>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738"/>
      <c r="Q37" s="1571" t="str">
        <f t="shared" si="11"/>
        <v>内部装修状况</v>
      </c>
      <c r="R37" s="1572" t="s">
        <v>8</v>
      </c>
      <c r="S37" s="1573">
        <f t="shared" si="12"/>
        <v>100</v>
      </c>
      <c r="T37" s="1572" t="s">
        <v>8</v>
      </c>
      <c r="U37" s="1573">
        <f t="shared" si="13"/>
        <v>100</v>
      </c>
      <c r="V37" s="1572" t="s">
        <v>8</v>
      </c>
      <c r="W37" s="1573">
        <f t="shared" si="14"/>
        <v>100</v>
      </c>
      <c r="X37" s="1566"/>
      <c r="Y37" s="3738"/>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738"/>
      <c r="Q38" s="1604">
        <f t="shared" si="11"/>
        <v>111</v>
      </c>
      <c r="R38" s="1576" t="s">
        <v>8</v>
      </c>
      <c r="S38" s="1577">
        <f t="shared" si="12"/>
        <v>100</v>
      </c>
      <c r="T38" s="1576" t="s">
        <v>8</v>
      </c>
      <c r="U38" s="1577">
        <f t="shared" si="13"/>
        <v>100</v>
      </c>
      <c r="V38" s="1576" t="s">
        <v>8</v>
      </c>
      <c r="W38" s="1577">
        <f t="shared" si="14"/>
        <v>100</v>
      </c>
      <c r="X38" s="1578"/>
      <c r="Y38" s="3738"/>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738"/>
      <c r="Q39" s="1571">
        <f t="shared" si="11"/>
        <v>111</v>
      </c>
      <c r="R39" s="1572" t="s">
        <v>8</v>
      </c>
      <c r="S39" s="1573">
        <f t="shared" si="12"/>
        <v>100</v>
      </c>
      <c r="T39" s="1572" t="s">
        <v>8</v>
      </c>
      <c r="U39" s="1573">
        <f t="shared" si="13"/>
        <v>100</v>
      </c>
      <c r="V39" s="1572" t="s">
        <v>8</v>
      </c>
      <c r="W39" s="1573">
        <f t="shared" si="14"/>
        <v>100</v>
      </c>
      <c r="X39" s="1566"/>
      <c r="Y39" s="3738"/>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815"/>
      <c r="Q40" s="1571">
        <f t="shared" si="11"/>
        <v>111</v>
      </c>
      <c r="R40" s="1572" t="s">
        <v>8</v>
      </c>
      <c r="S40" s="1573">
        <f t="shared" si="12"/>
        <v>100</v>
      </c>
      <c r="T40" s="1572" t="s">
        <v>8</v>
      </c>
      <c r="U40" s="1573">
        <f t="shared" si="13"/>
        <v>100</v>
      </c>
      <c r="V40" s="1572" t="s">
        <v>8</v>
      </c>
      <c r="W40" s="1573">
        <f t="shared" si="14"/>
        <v>100</v>
      </c>
      <c r="X40" s="1566"/>
      <c r="Y40" s="3815"/>
      <c r="Z40" s="1574">
        <f t="shared" si="15"/>
        <v>111</v>
      </c>
      <c r="AA40" s="1575">
        <f t="shared" si="3"/>
        <v>1</v>
      </c>
      <c r="AB40" s="1575">
        <f t="shared" si="4"/>
        <v>1</v>
      </c>
      <c r="AC40" s="1575">
        <f t="shared" si="5"/>
        <v>1</v>
      </c>
    </row>
    <row r="41" spans="1:29" ht="15">
      <c r="A41" s="606" t="s">
        <v>736</v>
      </c>
      <c r="B41" s="886"/>
      <c r="C41" s="2650" t="s">
        <v>1</v>
      </c>
      <c r="D41" s="2651"/>
      <c r="E41" s="2652"/>
      <c r="F41" s="2653"/>
      <c r="G41" s="2654"/>
      <c r="H41" s="2655"/>
      <c r="I41" s="2652"/>
      <c r="J41" s="2655"/>
      <c r="K41" s="1610"/>
      <c r="L41" s="2143"/>
      <c r="M41" s="2144"/>
      <c r="N41" s="2133"/>
      <c r="O41" s="2144"/>
      <c r="P41" s="3733" t="str">
        <f>A41</f>
        <v>成交单价（元/平方米）</v>
      </c>
      <c r="Q41" s="3733"/>
      <c r="R41" s="3814">
        <f>E41</f>
        <v>0</v>
      </c>
      <c r="S41" s="3814"/>
      <c r="T41" s="3814">
        <f>G41</f>
        <v>0</v>
      </c>
      <c r="U41" s="3814"/>
      <c r="V41" s="3814">
        <f>I41</f>
        <v>0</v>
      </c>
      <c r="W41" s="3814"/>
      <c r="X41" s="1558"/>
      <c r="Y41" s="1580"/>
      <c r="Z41" s="1558"/>
      <c r="AA41" s="1558"/>
      <c r="AB41" s="1558"/>
      <c r="AC41" s="1558"/>
    </row>
    <row r="42" spans="1:29" ht="15.75" thickBot="1">
      <c r="A42" s="614" t="s">
        <v>2759</v>
      </c>
      <c r="B42" s="887"/>
      <c r="C42" s="2656" t="e">
        <f>R43</f>
        <v>#DIV/0!</v>
      </c>
      <c r="D42" s="2657"/>
      <c r="E42" s="2658" t="e">
        <f>R42</f>
        <v>#DIV/0!</v>
      </c>
      <c r="F42" s="2658"/>
      <c r="G42" s="2656" t="e">
        <f>T42</f>
        <v>#DIV/0!</v>
      </c>
      <c r="H42" s="2657"/>
      <c r="I42" s="2658" t="e">
        <f>V42</f>
        <v>#DIV/0!</v>
      </c>
      <c r="J42" s="2657"/>
      <c r="K42" s="1611"/>
      <c r="L42" s="2143"/>
      <c r="M42" s="2144"/>
      <c r="N42" s="2133"/>
      <c r="O42" s="2144"/>
      <c r="P42" s="3733" t="str">
        <f>A42</f>
        <v>比较价格（元/平方米）</v>
      </c>
      <c r="Q42" s="3733"/>
      <c r="R42" s="3814" t="e">
        <f>IF(F1="售价",ROUND(PRODUCT(R41,AA7:AA40),0),ROUND(PRODUCT(R41,AA7:AA40),1))</f>
        <v>#DIV/0!</v>
      </c>
      <c r="S42" s="3814"/>
      <c r="T42" s="3814" t="e">
        <f>IF(F1="售价",ROUND(PRODUCT(T41,AB7:AB40),0),ROUND(PRODUCT(T41,AB7:AB40),1))</f>
        <v>#DIV/0!</v>
      </c>
      <c r="U42" s="3814"/>
      <c r="V42" s="3814" t="e">
        <f>IF(F1="售价",ROUND(PRODUCT(V41,AC7:AC40),0),ROUND(PRODUCT(V41,AC7:AC40),1))</f>
        <v>#DIV/0!</v>
      </c>
      <c r="W42" s="3814"/>
      <c r="X42" s="1558"/>
      <c r="Y42" s="1558"/>
      <c r="Z42" s="1558"/>
      <c r="AA42" s="1558"/>
      <c r="AB42" s="1558"/>
      <c r="AC42" s="1558"/>
    </row>
    <row r="43" spans="1:29" ht="15.75" thickBot="1">
      <c r="A43" s="620" t="s">
        <v>2923</v>
      </c>
      <c r="B43" s="621"/>
      <c r="C43" s="2659" t="e">
        <f>R43</f>
        <v>#DIV/0!</v>
      </c>
      <c r="D43" s="2659"/>
      <c r="E43" s="2659"/>
      <c r="F43" s="2659"/>
      <c r="G43" s="2659"/>
      <c r="H43" s="2659"/>
      <c r="I43" s="2659"/>
      <c r="J43" s="2659"/>
      <c r="K43" s="1612"/>
      <c r="L43" s="2143"/>
      <c r="M43" s="2144"/>
      <c r="N43" s="2144"/>
      <c r="O43" s="2144"/>
      <c r="P43" s="3754" t="str">
        <f>A43</f>
        <v>估价对象XX用房的比较价格（楼面单价，元/平方米）</v>
      </c>
      <c r="Q43" s="3755"/>
      <c r="R43" s="3813" t="e">
        <f>IF(F1="售价",ROUND(AVERAGE(R42:V42),0),ROUND(AVERAGE(R42:V42),1))</f>
        <v>#DIV/0!</v>
      </c>
      <c r="S43" s="3813"/>
      <c r="T43" s="3813"/>
      <c r="U43" s="3813"/>
      <c r="V43" s="3813"/>
      <c r="W43" s="3813"/>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575</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4" t="s">
        <v>530</v>
      </c>
      <c r="B52" s="645"/>
      <c r="C52" s="2826" t="str">
        <f>YEAR(C7)&amp;"-"&amp;MONTH(C7)</f>
        <v>2018-2</v>
      </c>
      <c r="D52" s="2828">
        <f>EDATE(C52,-1)</f>
        <v>43101</v>
      </c>
      <c r="E52" s="2828">
        <f t="shared" ref="E52:O52" si="16">EDATE(D52,-1)</f>
        <v>43070</v>
      </c>
      <c r="F52" s="2828">
        <f t="shared" si="16"/>
        <v>43040</v>
      </c>
      <c r="G52" s="2828">
        <f t="shared" si="16"/>
        <v>43009</v>
      </c>
      <c r="H52" s="2828">
        <f t="shared" si="16"/>
        <v>42979</v>
      </c>
      <c r="I52" s="2828">
        <f t="shared" si="16"/>
        <v>42948</v>
      </c>
      <c r="J52" s="2828">
        <f t="shared" si="16"/>
        <v>42917</v>
      </c>
      <c r="K52" s="2828">
        <f t="shared" si="16"/>
        <v>42887</v>
      </c>
      <c r="L52" s="2828">
        <f t="shared" si="16"/>
        <v>42856</v>
      </c>
      <c r="M52" s="2828">
        <f t="shared" si="16"/>
        <v>42826</v>
      </c>
      <c r="N52" s="2828">
        <f t="shared" si="16"/>
        <v>42795</v>
      </c>
      <c r="O52" s="2828">
        <f t="shared" si="16"/>
        <v>42767</v>
      </c>
      <c r="P52" s="2159"/>
      <c r="Q52" s="2160"/>
      <c r="R52" s="2160"/>
      <c r="S52" s="2160"/>
      <c r="T52" s="2160"/>
      <c r="U52" s="2160"/>
      <c r="V52" s="2160"/>
      <c r="W52" s="2160"/>
      <c r="X52" s="2160"/>
      <c r="Y52" s="2160"/>
      <c r="Z52" s="2160"/>
      <c r="AA52" s="2160"/>
      <c r="AB52" s="2160"/>
      <c r="AC52" s="2160"/>
    </row>
    <row r="53" spans="1:29" s="1219"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9" customFormat="1" ht="15.75" thickBot="1">
      <c r="A54" s="652" t="s">
        <v>576</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9" customFormat="1" ht="15">
      <c r="A55" s="658" t="s">
        <v>532</v>
      </c>
      <c r="B55" s="647"/>
      <c r="C55" s="659" t="s">
        <v>577</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578</v>
      </c>
      <c r="B57" s="664" t="s">
        <v>535</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538</v>
      </c>
      <c r="C59" s="673" t="s">
        <v>737</v>
      </c>
      <c r="D59" s="673" t="s">
        <v>738</v>
      </c>
      <c r="E59" s="673" t="s">
        <v>739</v>
      </c>
      <c r="F59" s="673" t="s">
        <v>740</v>
      </c>
      <c r="G59" s="673" t="s">
        <v>741</v>
      </c>
      <c r="H59" s="673" t="s">
        <v>742</v>
      </c>
      <c r="I59" s="673" t="s">
        <v>743</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540</v>
      </c>
      <c r="B70" s="664" t="s">
        <v>586</v>
      </c>
      <c r="C70" s="702" t="s">
        <v>580</v>
      </c>
      <c r="D70" s="702" t="s">
        <v>581</v>
      </c>
      <c r="E70" s="702" t="s">
        <v>582</v>
      </c>
      <c r="F70" s="702" t="s">
        <v>583</v>
      </c>
      <c r="G70" s="702" t="s">
        <v>584</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587</v>
      </c>
      <c r="C72" s="707" t="s">
        <v>580</v>
      </c>
      <c r="D72" s="707" t="s">
        <v>581</v>
      </c>
      <c r="E72" s="707" t="s">
        <v>582</v>
      </c>
      <c r="F72" s="707" t="s">
        <v>583</v>
      </c>
      <c r="G72" s="707" t="s">
        <v>584</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2557</v>
      </c>
      <c r="C74" s="707" t="s">
        <v>580</v>
      </c>
      <c r="D74" s="707" t="s">
        <v>581</v>
      </c>
      <c r="E74" s="707" t="s">
        <v>582</v>
      </c>
      <c r="F74" s="707" t="s">
        <v>583</v>
      </c>
      <c r="G74" s="707" t="s">
        <v>584</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20" t="s">
        <v>2558</v>
      </c>
      <c r="C76" s="2621" t="s">
        <v>2559</v>
      </c>
      <c r="D76" s="2621" t="s">
        <v>2560</v>
      </c>
      <c r="E76" s="2621" t="s">
        <v>2561</v>
      </c>
      <c r="F76" s="2621" t="s">
        <v>2562</v>
      </c>
      <c r="G76" s="2621" t="s">
        <v>2563</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784</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552</v>
      </c>
      <c r="B88" s="664" t="s">
        <v>747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751</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7"/>
      <c r="B100" s="672" t="s">
        <v>753</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2556</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755</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791</v>
      </c>
      <c r="C106" s="707" t="s">
        <v>580</v>
      </c>
      <c r="D106" s="707" t="s">
        <v>581</v>
      </c>
      <c r="E106" s="707" t="s">
        <v>582</v>
      </c>
      <c r="F106" s="707" t="s">
        <v>583</v>
      </c>
      <c r="G106" s="707" t="s">
        <v>584</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7" t="s">
        <v>2076</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797</v>
      </c>
      <c r="B4" s="512"/>
      <c r="C4" s="3739" t="s">
        <v>798</v>
      </c>
      <c r="D4" s="3740"/>
      <c r="E4" s="3739" t="s">
        <v>799</v>
      </c>
      <c r="F4" s="3740"/>
      <c r="G4" s="3739" t="s">
        <v>800</v>
      </c>
      <c r="H4" s="3740"/>
      <c r="I4" s="3739" t="s">
        <v>801</v>
      </c>
      <c r="J4" s="3740"/>
      <c r="K4" s="513" t="s">
        <v>802</v>
      </c>
      <c r="L4" s="2132"/>
      <c r="M4" s="2133"/>
      <c r="N4" s="2133"/>
      <c r="O4" s="2133"/>
      <c r="P4" s="3741" t="s">
        <v>803</v>
      </c>
      <c r="Q4" s="3742"/>
      <c r="R4" s="3727" t="s">
        <v>799</v>
      </c>
      <c r="S4" s="3728"/>
      <c r="T4" s="3727" t="s">
        <v>800</v>
      </c>
      <c r="U4" s="3728"/>
      <c r="V4" s="3747" t="s">
        <v>801</v>
      </c>
      <c r="W4" s="3747"/>
      <c r="X4" s="1566"/>
      <c r="Y4" s="3727" t="s">
        <v>803</v>
      </c>
      <c r="Z4" s="3728"/>
      <c r="AA4" s="3722" t="s">
        <v>799</v>
      </c>
      <c r="AB4" s="3723" t="s">
        <v>800</v>
      </c>
      <c r="AC4" s="3722" t="s">
        <v>801</v>
      </c>
    </row>
    <row r="5" spans="1:29" ht="15">
      <c r="A5" s="514"/>
      <c r="B5" s="515"/>
      <c r="C5" s="3750" t="s">
        <v>2917</v>
      </c>
      <c r="D5" s="3751"/>
      <c r="E5" s="3750" t="s">
        <v>2918</v>
      </c>
      <c r="F5" s="3751"/>
      <c r="G5" s="3750" t="s">
        <v>2919</v>
      </c>
      <c r="H5" s="3751"/>
      <c r="I5" s="3750" t="s">
        <v>2920</v>
      </c>
      <c r="J5" s="3751"/>
      <c r="K5" s="513"/>
      <c r="L5" s="2132"/>
      <c r="M5" s="2133"/>
      <c r="N5" s="2133"/>
      <c r="O5" s="2133"/>
      <c r="P5" s="3743"/>
      <c r="Q5" s="3744"/>
      <c r="R5" s="3729"/>
      <c r="S5" s="3730"/>
      <c r="T5" s="3729"/>
      <c r="U5" s="3730"/>
      <c r="V5" s="3747"/>
      <c r="W5" s="3747"/>
      <c r="X5" s="1566"/>
      <c r="Y5" s="3729"/>
      <c r="Z5" s="3730"/>
      <c r="AA5" s="3723"/>
      <c r="AB5" s="3723"/>
      <c r="AC5" s="3723"/>
    </row>
    <row r="6" spans="1:29" ht="15.75" thickBot="1">
      <c r="A6" s="516"/>
      <c r="B6" s="517"/>
      <c r="C6" s="3748" t="s">
        <v>2921</v>
      </c>
      <c r="D6" s="3749"/>
      <c r="E6" s="3752" t="s">
        <v>2921</v>
      </c>
      <c r="F6" s="3753"/>
      <c r="G6" s="3748" t="s">
        <v>2921</v>
      </c>
      <c r="H6" s="3749"/>
      <c r="I6" s="3748" t="s">
        <v>2921</v>
      </c>
      <c r="J6" s="3749"/>
      <c r="K6" s="513" t="s">
        <v>529</v>
      </c>
      <c r="L6" s="2132"/>
      <c r="M6" s="2133"/>
      <c r="N6" s="2133"/>
      <c r="O6" s="2133"/>
      <c r="P6" s="3745"/>
      <c r="Q6" s="3746"/>
      <c r="R6" s="3729"/>
      <c r="S6" s="3730"/>
      <c r="T6" s="3731"/>
      <c r="U6" s="3732"/>
      <c r="V6" s="3747"/>
      <c r="W6" s="3747"/>
      <c r="X6" s="1566"/>
      <c r="Y6" s="3731"/>
      <c r="Z6" s="3732"/>
      <c r="AA6" s="3724"/>
      <c r="AB6" s="3724"/>
      <c r="AC6" s="3724"/>
    </row>
    <row r="7" spans="1:29" s="1219" customFormat="1" ht="15.75" thickBot="1">
      <c r="A7" s="2936"/>
      <c r="B7" s="2943" t="s">
        <v>530</v>
      </c>
      <c r="C7" s="518">
        <f>'数据-取费表'!B2</f>
        <v>43159</v>
      </c>
      <c r="D7" s="519">
        <v>100</v>
      </c>
      <c r="E7" s="520"/>
      <c r="F7" s="521">
        <f>SUMIF(48:48,YEAR(E7)&amp;"-"&amp;MONTH(E7),49:49)</f>
        <v>0</v>
      </c>
      <c r="G7" s="522"/>
      <c r="H7" s="519">
        <f>SUMIF(48:48,YEAR(G7)&amp;"-"&amp;MONTH(G7),49:49)</f>
        <v>0</v>
      </c>
      <c r="I7" s="522"/>
      <c r="J7" s="519">
        <f>SUMIF(48:48,YEAR(I7)&amp;"-"&amp;MONTH(I7),49:49)</f>
        <v>0</v>
      </c>
      <c r="K7" s="523"/>
      <c r="L7" s="2134"/>
      <c r="M7" s="2135"/>
      <c r="N7" s="2135"/>
      <c r="O7" s="2135"/>
      <c r="P7" s="3725" t="s">
        <v>531</v>
      </c>
      <c r="Q7" s="3734"/>
      <c r="R7" s="1567" t="s">
        <v>8</v>
      </c>
      <c r="S7" s="1568">
        <f t="shared" ref="S7:S14" si="0">F7</f>
        <v>0</v>
      </c>
      <c r="T7" s="1567" t="s">
        <v>8</v>
      </c>
      <c r="U7" s="1568">
        <f t="shared" ref="U7:U14" si="1">H7</f>
        <v>0</v>
      </c>
      <c r="V7" s="1567" t="s">
        <v>8</v>
      </c>
      <c r="W7" s="1568">
        <f t="shared" ref="W7:W14" si="2">J7</f>
        <v>0</v>
      </c>
      <c r="X7" s="1569"/>
      <c r="Y7" s="3725" t="s">
        <v>531</v>
      </c>
      <c r="Z7" s="3726"/>
      <c r="AA7" s="1570" t="e">
        <f>D7/F7</f>
        <v>#DIV/0!</v>
      </c>
      <c r="AB7" s="1570" t="e">
        <f>D7/H7</f>
        <v>#DIV/0!</v>
      </c>
      <c r="AC7" s="1570" t="e">
        <f>D7/J7</f>
        <v>#DIV/0!</v>
      </c>
    </row>
    <row r="8" spans="1:29" s="1219" customFormat="1" ht="15.75" thickBot="1">
      <c r="A8" s="2937"/>
      <c r="B8" s="2944" t="s">
        <v>532</v>
      </c>
      <c r="C8" s="524" t="s">
        <v>577</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725" t="s">
        <v>534</v>
      </c>
      <c r="Q8" s="3726"/>
      <c r="R8" s="1567" t="s">
        <v>8</v>
      </c>
      <c r="S8" s="1568">
        <f t="shared" si="0"/>
        <v>0</v>
      </c>
      <c r="T8" s="1567" t="s">
        <v>8</v>
      </c>
      <c r="U8" s="1568">
        <f t="shared" si="1"/>
        <v>0</v>
      </c>
      <c r="V8" s="1567" t="s">
        <v>8</v>
      </c>
      <c r="W8" s="1568">
        <f t="shared" si="2"/>
        <v>0</v>
      </c>
      <c r="X8" s="1569"/>
      <c r="Y8" s="3725" t="s">
        <v>534</v>
      </c>
      <c r="Z8" s="3726"/>
      <c r="AA8" s="1570" t="e">
        <f t="shared" ref="AA8:AA36" si="3">D8/F8</f>
        <v>#DIV/0!</v>
      </c>
      <c r="AB8" s="1570" t="e">
        <f t="shared" ref="AB8:AB36" si="4">D8/H8</f>
        <v>#DIV/0!</v>
      </c>
      <c r="AC8" s="1570" t="e">
        <f t="shared" ref="AC8:AC36" si="5">D8/J8</f>
        <v>#DIV/0!</v>
      </c>
    </row>
    <row r="9" spans="1:29" s="1219" customFormat="1" ht="15">
      <c r="A9" s="2938"/>
      <c r="B9" s="2945" t="s">
        <v>2755</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733" t="s">
        <v>536</v>
      </c>
      <c r="Q9" s="1150" t="str">
        <f t="shared" ref="Q9:Q14" si="6">B9</f>
        <v>用途</v>
      </c>
      <c r="R9" s="1567" t="s">
        <v>8</v>
      </c>
      <c r="S9" s="1568">
        <f t="shared" si="0"/>
        <v>100</v>
      </c>
      <c r="T9" s="1567" t="s">
        <v>8</v>
      </c>
      <c r="U9" s="1568">
        <f t="shared" si="1"/>
        <v>100</v>
      </c>
      <c r="V9" s="1567" t="s">
        <v>8</v>
      </c>
      <c r="W9" s="1568">
        <f t="shared" si="2"/>
        <v>100</v>
      </c>
      <c r="X9" s="1569"/>
      <c r="Y9" s="3686" t="s">
        <v>537</v>
      </c>
      <c r="Z9" s="1149" t="str">
        <f t="shared" ref="Z9:Z14" si="7">Q9</f>
        <v>用途</v>
      </c>
      <c r="AA9" s="1570">
        <f t="shared" si="3"/>
        <v>1</v>
      </c>
      <c r="AB9" s="1570">
        <f t="shared" si="4"/>
        <v>1</v>
      </c>
      <c r="AC9" s="1570">
        <f t="shared" si="5"/>
        <v>1</v>
      </c>
    </row>
    <row r="10" spans="1:29" s="1337" customFormat="1" ht="27">
      <c r="A10" s="2939"/>
      <c r="B10" s="2944" t="s">
        <v>2756</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733"/>
      <c r="Q10" s="1150" t="str">
        <f t="shared" si="6"/>
        <v>土地使用年限（年）</v>
      </c>
      <c r="R10" s="1567" t="s">
        <v>8</v>
      </c>
      <c r="S10" s="1568">
        <f t="shared" si="0"/>
        <v>100</v>
      </c>
      <c r="T10" s="1567" t="s">
        <v>8</v>
      </c>
      <c r="U10" s="1568">
        <f t="shared" si="1"/>
        <v>100</v>
      </c>
      <c r="V10" s="1567" t="s">
        <v>8</v>
      </c>
      <c r="W10" s="1568">
        <f t="shared" si="2"/>
        <v>100</v>
      </c>
      <c r="X10" s="1569"/>
      <c r="Y10" s="3686"/>
      <c r="Z10" s="1149" t="str">
        <f t="shared" si="7"/>
        <v>土地使用年限（年）</v>
      </c>
      <c r="AA10" s="1570">
        <f t="shared" si="3"/>
        <v>1</v>
      </c>
      <c r="AB10" s="1570">
        <f t="shared" si="4"/>
        <v>1</v>
      </c>
      <c r="AC10" s="1570">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733"/>
      <c r="Q11" s="1150">
        <f t="shared" si="6"/>
        <v>111</v>
      </c>
      <c r="R11" s="1567" t="s">
        <v>8</v>
      </c>
      <c r="S11" s="1568">
        <f t="shared" si="0"/>
        <v>100</v>
      </c>
      <c r="T11" s="1567" t="s">
        <v>8</v>
      </c>
      <c r="U11" s="1568">
        <f t="shared" si="1"/>
        <v>100</v>
      </c>
      <c r="V11" s="1567" t="s">
        <v>8</v>
      </c>
      <c r="W11" s="1568">
        <f t="shared" si="2"/>
        <v>100</v>
      </c>
      <c r="X11" s="1569"/>
      <c r="Y11" s="3686"/>
      <c r="Z11" s="1149">
        <f t="shared" si="7"/>
        <v>111</v>
      </c>
      <c r="AA11" s="1570">
        <f t="shared" si="3"/>
        <v>1</v>
      </c>
      <c r="AB11" s="1570">
        <f t="shared" si="4"/>
        <v>1</v>
      </c>
      <c r="AC11" s="1570">
        <f t="shared" si="5"/>
        <v>1</v>
      </c>
    </row>
    <row r="12" spans="1:29" s="1219"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733"/>
      <c r="Q12" s="1150">
        <f t="shared" si="6"/>
        <v>111</v>
      </c>
      <c r="R12" s="1567" t="s">
        <v>8</v>
      </c>
      <c r="S12" s="1568">
        <f t="shared" si="0"/>
        <v>100</v>
      </c>
      <c r="T12" s="1567" t="s">
        <v>8</v>
      </c>
      <c r="U12" s="1568">
        <f t="shared" si="1"/>
        <v>100</v>
      </c>
      <c r="V12" s="1567" t="s">
        <v>8</v>
      </c>
      <c r="W12" s="1568">
        <f t="shared" si="2"/>
        <v>100</v>
      </c>
      <c r="X12" s="1569"/>
      <c r="Y12" s="3686"/>
      <c r="Z12" s="1149">
        <f t="shared" si="7"/>
        <v>111</v>
      </c>
      <c r="AA12" s="1570">
        <f>D12/F12</f>
        <v>1</v>
      </c>
      <c r="AB12" s="1570">
        <f>D12/H12</f>
        <v>1</v>
      </c>
      <c r="AC12" s="1570">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733"/>
      <c r="Q13" s="1150">
        <f t="shared" si="6"/>
        <v>111</v>
      </c>
      <c r="R13" s="1567" t="s">
        <v>8</v>
      </c>
      <c r="S13" s="1568">
        <f t="shared" si="0"/>
        <v>100</v>
      </c>
      <c r="T13" s="1567" t="s">
        <v>8</v>
      </c>
      <c r="U13" s="1568">
        <f t="shared" si="1"/>
        <v>100</v>
      </c>
      <c r="V13" s="1567" t="s">
        <v>8</v>
      </c>
      <c r="W13" s="1568">
        <f t="shared" si="2"/>
        <v>100</v>
      </c>
      <c r="X13" s="1569"/>
      <c r="Y13" s="3686"/>
      <c r="Z13" s="1149">
        <f t="shared" si="7"/>
        <v>111</v>
      </c>
      <c r="AA13" s="1570">
        <f t="shared" si="3"/>
        <v>1</v>
      </c>
      <c r="AB13" s="1570">
        <f t="shared" si="4"/>
        <v>1</v>
      </c>
      <c r="AC13" s="1570">
        <f t="shared" si="5"/>
        <v>1</v>
      </c>
    </row>
    <row r="14" spans="1:29" ht="99.75">
      <c r="A14" s="2934" t="s">
        <v>2753</v>
      </c>
      <c r="B14" s="546" t="s">
        <v>544</v>
      </c>
      <c r="C14" s="920" t="str">
        <f>IF(B1="工业",估价对象房地状况!G4,估价对象房地状况!C6)</f>
        <v>周边道路状况、公共交通通达情况、停车便捷程度（二环北路 17路 209路 245路 地铁3号线辛家庙站2公里</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735" t="s">
        <v>541</v>
      </c>
      <c r="Q14" s="1571" t="str">
        <f t="shared" si="6"/>
        <v>交通便捷度</v>
      </c>
      <c r="R14" s="1572" t="s">
        <v>8</v>
      </c>
      <c r="S14" s="1573">
        <f t="shared" si="0"/>
        <v>100</v>
      </c>
      <c r="T14" s="1572" t="s">
        <v>8</v>
      </c>
      <c r="U14" s="1573">
        <f t="shared" si="1"/>
        <v>100</v>
      </c>
      <c r="V14" s="1572" t="s">
        <v>8</v>
      </c>
      <c r="W14" s="1573">
        <f t="shared" si="2"/>
        <v>100</v>
      </c>
      <c r="X14" s="1566"/>
      <c r="Y14" s="3735" t="s">
        <v>541</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1"/>
      <c r="M15" s="2133"/>
      <c r="N15" s="2133"/>
      <c r="O15" s="2140"/>
      <c r="P15" s="3736"/>
      <c r="Q15" s="1571"/>
      <c r="R15" s="1572"/>
      <c r="S15" s="1573"/>
      <c r="T15" s="1572"/>
      <c r="U15" s="1573"/>
      <c r="V15" s="1572"/>
      <c r="W15" s="1573"/>
      <c r="X15" s="1566"/>
      <c r="Y15" s="3736"/>
      <c r="Z15" s="1574"/>
      <c r="AA15" s="1575">
        <v>1</v>
      </c>
      <c r="AB15" s="1575">
        <v>1</v>
      </c>
      <c r="AC15" s="1575">
        <v>1</v>
      </c>
    </row>
    <row r="16" spans="1:29" ht="142.5">
      <c r="A16" s="514"/>
      <c r="B16" s="2626" t="s">
        <v>2546</v>
      </c>
      <c r="C16" s="871" t="str">
        <f>IF(B1="工业",估价对象房地状况!G5,估价对象房地状况!C7)</f>
        <v>1.5公里 西安市第三医院 中国工商银行(西安北二环东段支行) 中国农业银行(太华北路支行) 西安市未央区幼儿园 大明宫小学 陕西师范大学锦园国际中学 永辉超市</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736"/>
      <c r="Q16" s="1571" t="str">
        <f>B16</f>
        <v>公共配套设施</v>
      </c>
      <c r="R16" s="1572" t="s">
        <v>8</v>
      </c>
      <c r="S16" s="1573">
        <f>F16</f>
        <v>100</v>
      </c>
      <c r="T16" s="1572" t="s">
        <v>8</v>
      </c>
      <c r="U16" s="1573">
        <f>H16</f>
        <v>100</v>
      </c>
      <c r="V16" s="1572" t="s">
        <v>8</v>
      </c>
      <c r="W16" s="1573">
        <f>J16</f>
        <v>100</v>
      </c>
      <c r="X16" s="1566"/>
      <c r="Y16" s="3736"/>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1"/>
      <c r="M17" s="2133"/>
      <c r="N17" s="2133"/>
      <c r="O17" s="2140"/>
      <c r="P17" s="3736"/>
      <c r="Q17" s="1571"/>
      <c r="R17" s="1572"/>
      <c r="S17" s="1573"/>
      <c r="T17" s="1572"/>
      <c r="U17" s="1573"/>
      <c r="V17" s="1572"/>
      <c r="W17" s="1573"/>
      <c r="X17" s="1566"/>
      <c r="Y17" s="3736"/>
      <c r="Z17" s="1574"/>
      <c r="AA17" s="1575">
        <v>1</v>
      </c>
      <c r="AB17" s="1575">
        <v>1</v>
      </c>
      <c r="AC17" s="1575">
        <v>1</v>
      </c>
    </row>
    <row r="18" spans="1:29" ht="15">
      <c r="A18" s="514"/>
      <c r="B18" s="2614" t="s">
        <v>2558</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736"/>
      <c r="Q18" s="2602" t="str">
        <f>B18</f>
        <v>基础设施水平</v>
      </c>
      <c r="R18" s="1572" t="s">
        <v>8</v>
      </c>
      <c r="S18" s="1573">
        <f>F18</f>
        <v>100</v>
      </c>
      <c r="T18" s="1572" t="s">
        <v>8</v>
      </c>
      <c r="U18" s="1573">
        <f>H18</f>
        <v>100</v>
      </c>
      <c r="V18" s="1572" t="s">
        <v>8</v>
      </c>
      <c r="W18" s="1573">
        <f>J18</f>
        <v>100</v>
      </c>
      <c r="X18" s="2604"/>
      <c r="Y18" s="3736"/>
      <c r="Z18" s="2603"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5"/>
      <c r="L19" s="2141"/>
      <c r="M19" s="2133"/>
      <c r="N19" s="2133"/>
      <c r="O19" s="2140"/>
      <c r="P19" s="3736"/>
      <c r="Q19" s="2602"/>
      <c r="R19" s="1572"/>
      <c r="S19" s="1573"/>
      <c r="T19" s="1572"/>
      <c r="U19" s="1573"/>
      <c r="V19" s="1572"/>
      <c r="W19" s="1573"/>
      <c r="X19" s="2604"/>
      <c r="Y19" s="3736"/>
      <c r="Z19" s="2603"/>
      <c r="AA19" s="1575">
        <v>1</v>
      </c>
      <c r="AB19" s="1575">
        <v>1</v>
      </c>
      <c r="AC19" s="1575">
        <v>1</v>
      </c>
    </row>
    <row r="20" spans="1:29" ht="28.5">
      <c r="A20" s="514"/>
      <c r="B20" s="559" t="s">
        <v>804</v>
      </c>
      <c r="C20" s="871" t="str">
        <f>IF(B1="工业",估价对象房地状况!G7,估价对象房地状况!C9)</f>
        <v>大明宫国家遗址公园</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736"/>
      <c r="Q20" s="1571" t="str">
        <f>B20</f>
        <v>自然及人文环境</v>
      </c>
      <c r="R20" s="1572" t="s">
        <v>8</v>
      </c>
      <c r="S20" s="1573">
        <f>F20</f>
        <v>100</v>
      </c>
      <c r="T20" s="1572" t="s">
        <v>8</v>
      </c>
      <c r="U20" s="1573">
        <f>H20</f>
        <v>100</v>
      </c>
      <c r="V20" s="1572" t="s">
        <v>8</v>
      </c>
      <c r="W20" s="1573">
        <f>J20</f>
        <v>100</v>
      </c>
      <c r="X20" s="1566"/>
      <c r="Y20" s="3736"/>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1"/>
      <c r="M21" s="2133"/>
      <c r="N21" s="2133"/>
      <c r="O21" s="2140"/>
      <c r="P21" s="3736"/>
      <c r="Q21" s="1571"/>
      <c r="R21" s="1572"/>
      <c r="S21" s="1573"/>
      <c r="T21" s="1572"/>
      <c r="U21" s="1573"/>
      <c r="V21" s="1572"/>
      <c r="W21" s="1573"/>
      <c r="X21" s="1566"/>
      <c r="Y21" s="3736"/>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736"/>
      <c r="Q22" s="1571" t="str">
        <f>B22</f>
        <v>楼层</v>
      </c>
      <c r="R22" s="1572" t="s">
        <v>8</v>
      </c>
      <c r="S22" s="1573">
        <f>F22</f>
        <v>100</v>
      </c>
      <c r="T22" s="1572" t="s">
        <v>8</v>
      </c>
      <c r="U22" s="1573">
        <f>H22</f>
        <v>100</v>
      </c>
      <c r="V22" s="1572" t="s">
        <v>8</v>
      </c>
      <c r="W22" s="1573">
        <f>J22</f>
        <v>100</v>
      </c>
      <c r="X22" s="1566"/>
      <c r="Y22" s="3736"/>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736"/>
      <c r="Q23" s="1571">
        <f>B23</f>
        <v>111</v>
      </c>
      <c r="R23" s="1572" t="s">
        <v>8</v>
      </c>
      <c r="S23" s="1573">
        <f>F23</f>
        <v>100</v>
      </c>
      <c r="T23" s="1572" t="s">
        <v>8</v>
      </c>
      <c r="U23" s="1573">
        <f>H23</f>
        <v>100</v>
      </c>
      <c r="V23" s="1572" t="s">
        <v>8</v>
      </c>
      <c r="W23" s="1573">
        <f>J23</f>
        <v>100</v>
      </c>
      <c r="X23" s="1566"/>
      <c r="Y23" s="3736"/>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736"/>
      <c r="Q24" s="1571">
        <f t="shared" ref="Q24:Q36" si="11">B24</f>
        <v>111</v>
      </c>
      <c r="R24" s="1572" t="s">
        <v>8</v>
      </c>
      <c r="S24" s="1573">
        <f>F24</f>
        <v>100</v>
      </c>
      <c r="T24" s="1572" t="s">
        <v>8</v>
      </c>
      <c r="U24" s="1573">
        <f>H24</f>
        <v>100</v>
      </c>
      <c r="V24" s="1572" t="s">
        <v>8</v>
      </c>
      <c r="W24" s="1573">
        <f>J24</f>
        <v>100</v>
      </c>
      <c r="X24" s="1566"/>
      <c r="Y24" s="3736"/>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736"/>
      <c r="Q25" s="1150">
        <f t="shared" si="11"/>
        <v>111</v>
      </c>
      <c r="R25" s="1567" t="s">
        <v>8</v>
      </c>
      <c r="S25" s="1568">
        <f>F25</f>
        <v>100</v>
      </c>
      <c r="T25" s="1567" t="s">
        <v>8</v>
      </c>
      <c r="U25" s="1568">
        <f>H25</f>
        <v>100</v>
      </c>
      <c r="V25" s="1567" t="s">
        <v>8</v>
      </c>
      <c r="W25" s="1568">
        <f>J25</f>
        <v>100</v>
      </c>
      <c r="X25" s="1569"/>
      <c r="Y25" s="3736"/>
      <c r="Z25" s="1149">
        <f>Q25</f>
        <v>111</v>
      </c>
      <c r="AA25" s="1575">
        <f>D25/F25</f>
        <v>1</v>
      </c>
      <c r="AB25" s="1575">
        <f>D25/H25</f>
        <v>1</v>
      </c>
      <c r="AC25" s="1575">
        <f>D25/J25</f>
        <v>1</v>
      </c>
    </row>
    <row r="26" spans="1:29" ht="15">
      <c r="A26" s="2931"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737"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738" t="s">
        <v>551</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738"/>
      <c r="Q27" s="1604" t="str">
        <f t="shared" si="11"/>
        <v>项目停车位配比</v>
      </c>
      <c r="R27" s="1576" t="s">
        <v>8</v>
      </c>
      <c r="S27" s="1577">
        <f t="shared" si="12"/>
        <v>100</v>
      </c>
      <c r="T27" s="1576" t="s">
        <v>8</v>
      </c>
      <c r="U27" s="1577">
        <f t="shared" si="13"/>
        <v>100</v>
      </c>
      <c r="V27" s="1576" t="s">
        <v>8</v>
      </c>
      <c r="W27" s="1577">
        <f t="shared" si="14"/>
        <v>100</v>
      </c>
      <c r="X27" s="1578"/>
      <c r="Y27" s="3738"/>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738"/>
      <c r="Q28" s="1571" t="str">
        <f t="shared" si="11"/>
        <v>公共部分装修</v>
      </c>
      <c r="R28" s="1572" t="s">
        <v>8</v>
      </c>
      <c r="S28" s="1573">
        <f t="shared" si="12"/>
        <v>100</v>
      </c>
      <c r="T28" s="1572" t="s">
        <v>8</v>
      </c>
      <c r="U28" s="1573">
        <f t="shared" si="13"/>
        <v>100</v>
      </c>
      <c r="V28" s="1572" t="s">
        <v>8</v>
      </c>
      <c r="W28" s="1573">
        <f t="shared" si="14"/>
        <v>100</v>
      </c>
      <c r="X28" s="1566"/>
      <c r="Y28" s="3738"/>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738"/>
      <c r="Q29" s="1571" t="str">
        <f t="shared" si="11"/>
        <v>成新率</v>
      </c>
      <c r="R29" s="1572" t="s">
        <v>8</v>
      </c>
      <c r="S29" s="1573" t="e">
        <f t="shared" si="12"/>
        <v>#N/A</v>
      </c>
      <c r="T29" s="1572" t="s">
        <v>8</v>
      </c>
      <c r="U29" s="1573" t="e">
        <f t="shared" si="13"/>
        <v>#N/A</v>
      </c>
      <c r="V29" s="1572" t="s">
        <v>8</v>
      </c>
      <c r="W29" s="1573" t="e">
        <f t="shared" si="14"/>
        <v>#N/A</v>
      </c>
      <c r="X29" s="1566"/>
      <c r="Y29" s="3738"/>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738"/>
      <c r="Q30" s="1571" t="str">
        <f t="shared" si="11"/>
        <v>物业等级</v>
      </c>
      <c r="R30" s="1572" t="s">
        <v>8</v>
      </c>
      <c r="S30" s="1573">
        <f t="shared" si="12"/>
        <v>100</v>
      </c>
      <c r="T30" s="1572" t="s">
        <v>8</v>
      </c>
      <c r="U30" s="1573">
        <f t="shared" si="13"/>
        <v>100</v>
      </c>
      <c r="V30" s="1572" t="s">
        <v>8</v>
      </c>
      <c r="W30" s="1573">
        <f t="shared" si="14"/>
        <v>100</v>
      </c>
      <c r="X30" s="1566"/>
      <c r="Y30" s="3738"/>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738"/>
      <c r="Q31" s="1150" t="str">
        <f t="shared" si="11"/>
        <v>停车位面积</v>
      </c>
      <c r="R31" s="1567" t="s">
        <v>8</v>
      </c>
      <c r="S31" s="1568" t="e">
        <f t="shared" si="12"/>
        <v>#N/A</v>
      </c>
      <c r="T31" s="1567" t="s">
        <v>8</v>
      </c>
      <c r="U31" s="1568" t="e">
        <f t="shared" si="13"/>
        <v>#N/A</v>
      </c>
      <c r="V31" s="1567" t="s">
        <v>8</v>
      </c>
      <c r="W31" s="1568" t="e">
        <f t="shared" si="14"/>
        <v>#N/A</v>
      </c>
      <c r="X31" s="1569"/>
      <c r="Y31" s="3738"/>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738" t="s">
        <v>551</v>
      </c>
      <c r="Q32" s="1571" t="str">
        <f t="shared" si="11"/>
        <v>车位类型</v>
      </c>
      <c r="R32" s="1572" t="s">
        <v>8</v>
      </c>
      <c r="S32" s="1573">
        <f t="shared" si="12"/>
        <v>100</v>
      </c>
      <c r="T32" s="1572" t="s">
        <v>8</v>
      </c>
      <c r="U32" s="1573">
        <f t="shared" si="13"/>
        <v>100</v>
      </c>
      <c r="V32" s="1572" t="s">
        <v>8</v>
      </c>
      <c r="W32" s="1573">
        <f t="shared" si="14"/>
        <v>100</v>
      </c>
      <c r="X32" s="1566"/>
      <c r="Y32" s="3738" t="s">
        <v>551</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738"/>
      <c r="Q33" s="1571" t="str">
        <f t="shared" si="11"/>
        <v>是否直接入户</v>
      </c>
      <c r="R33" s="1572" t="s">
        <v>8</v>
      </c>
      <c r="S33" s="1573">
        <f t="shared" si="12"/>
        <v>100</v>
      </c>
      <c r="T33" s="1572" t="s">
        <v>8</v>
      </c>
      <c r="U33" s="1573">
        <f t="shared" si="13"/>
        <v>100</v>
      </c>
      <c r="V33" s="1572" t="s">
        <v>8</v>
      </c>
      <c r="W33" s="1573">
        <f t="shared" si="14"/>
        <v>100</v>
      </c>
      <c r="X33" s="1566"/>
      <c r="Y33" s="3738"/>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738"/>
      <c r="Q34" s="1571">
        <f t="shared" si="11"/>
        <v>111</v>
      </c>
      <c r="R34" s="1572" t="s">
        <v>8</v>
      </c>
      <c r="S34" s="1573">
        <f t="shared" si="12"/>
        <v>100</v>
      </c>
      <c r="T34" s="1572" t="s">
        <v>8</v>
      </c>
      <c r="U34" s="1573">
        <f t="shared" si="13"/>
        <v>100</v>
      </c>
      <c r="V34" s="1572" t="s">
        <v>8</v>
      </c>
      <c r="W34" s="1573">
        <f t="shared" si="14"/>
        <v>100</v>
      </c>
      <c r="X34" s="1566"/>
      <c r="Y34" s="3738"/>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738"/>
      <c r="Q35" s="1604">
        <f t="shared" si="11"/>
        <v>111</v>
      </c>
      <c r="R35" s="1576" t="s">
        <v>8</v>
      </c>
      <c r="S35" s="1577">
        <f t="shared" si="12"/>
        <v>100</v>
      </c>
      <c r="T35" s="1576" t="s">
        <v>8</v>
      </c>
      <c r="U35" s="1577">
        <f t="shared" si="13"/>
        <v>100</v>
      </c>
      <c r="V35" s="1576" t="s">
        <v>8</v>
      </c>
      <c r="W35" s="1577">
        <f t="shared" si="14"/>
        <v>100</v>
      </c>
      <c r="X35" s="1578"/>
      <c r="Y35" s="3738"/>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738"/>
      <c r="Q36" s="1571">
        <f t="shared" si="11"/>
        <v>111</v>
      </c>
      <c r="R36" s="1572" t="s">
        <v>8</v>
      </c>
      <c r="S36" s="1573">
        <f t="shared" si="12"/>
        <v>100</v>
      </c>
      <c r="T36" s="1572" t="s">
        <v>8</v>
      </c>
      <c r="U36" s="1573">
        <f t="shared" si="13"/>
        <v>100</v>
      </c>
      <c r="V36" s="1572" t="s">
        <v>8</v>
      </c>
      <c r="W36" s="1573">
        <f t="shared" si="14"/>
        <v>100</v>
      </c>
      <c r="X36" s="1566"/>
      <c r="Y36" s="3738"/>
      <c r="Z36" s="1574">
        <f t="shared" si="15"/>
        <v>111</v>
      </c>
      <c r="AA36" s="1575">
        <f t="shared" si="3"/>
        <v>1</v>
      </c>
      <c r="AB36" s="1575">
        <f t="shared" si="4"/>
        <v>1</v>
      </c>
      <c r="AC36" s="1575">
        <f t="shared" si="5"/>
        <v>1</v>
      </c>
    </row>
    <row r="37" spans="1:29" ht="15">
      <c r="A37" s="1845" t="s">
        <v>2077</v>
      </c>
      <c r="B37" s="1846" t="s">
        <v>2078</v>
      </c>
      <c r="C37" s="2650" t="s">
        <v>1</v>
      </c>
      <c r="D37" s="2651"/>
      <c r="E37" s="2652"/>
      <c r="F37" s="2653"/>
      <c r="G37" s="2654"/>
      <c r="H37" s="2655"/>
      <c r="I37" s="2652"/>
      <c r="J37" s="2655"/>
      <c r="K37" s="1610"/>
      <c r="L37" s="2143"/>
      <c r="M37" s="2144"/>
      <c r="N37" s="2133"/>
      <c r="O37" s="2144"/>
      <c r="P37" s="3733" t="str">
        <f>A37</f>
        <v>成交单价</v>
      </c>
      <c r="Q37" s="3733"/>
      <c r="R37" s="3814">
        <f>E37</f>
        <v>0</v>
      </c>
      <c r="S37" s="3814"/>
      <c r="T37" s="3814">
        <f>G37</f>
        <v>0</v>
      </c>
      <c r="U37" s="3814"/>
      <c r="V37" s="3814">
        <f>I37</f>
        <v>0</v>
      </c>
      <c r="W37" s="3814"/>
      <c r="X37" s="1558"/>
      <c r="Y37" s="1580"/>
      <c r="Z37" s="1558"/>
      <c r="AA37" s="1558"/>
      <c r="AB37" s="1558"/>
      <c r="AC37" s="1558"/>
    </row>
    <row r="38" spans="1:29" ht="15.75" thickBot="1">
      <c r="A38" s="614" t="s">
        <v>2759</v>
      </c>
      <c r="B38" s="887"/>
      <c r="C38" s="2656" t="e">
        <f>R39</f>
        <v>#DIV/0!</v>
      </c>
      <c r="D38" s="2657"/>
      <c r="E38" s="2658" t="e">
        <f>R38</f>
        <v>#DIV/0!</v>
      </c>
      <c r="F38" s="2658"/>
      <c r="G38" s="2656" t="e">
        <f>T38</f>
        <v>#DIV/0!</v>
      </c>
      <c r="H38" s="2657"/>
      <c r="I38" s="2658" t="e">
        <f>V38</f>
        <v>#DIV/0!</v>
      </c>
      <c r="J38" s="2657"/>
      <c r="K38" s="1611"/>
      <c r="L38" s="2143"/>
      <c r="M38" s="2144"/>
      <c r="N38" s="2144"/>
      <c r="O38" s="2144"/>
      <c r="P38" s="3733" t="str">
        <f>A38</f>
        <v>比较价格（元/平方米）</v>
      </c>
      <c r="Q38" s="3733"/>
      <c r="R38" s="3814" t="e">
        <f>IF(F1="售价",ROUND(PRODUCT(R37,AA7:AA36),0),ROUND(PRODUCT(R37,AA7:AA36),1))</f>
        <v>#DIV/0!</v>
      </c>
      <c r="S38" s="3814"/>
      <c r="T38" s="3814" t="e">
        <f>IF(F1="售价",ROUND(PRODUCT(T37,AB7:AB36),0),ROUND(PRODUCT(T37,AB7:AB36),1))</f>
        <v>#DIV/0!</v>
      </c>
      <c r="U38" s="3814"/>
      <c r="V38" s="3814" t="e">
        <f>IF(F1="售价",ROUND(PRODUCT(V37,AC7:AC36),0),ROUND(PRODUCT(V37,AC7:AC36),1))</f>
        <v>#DIV/0!</v>
      </c>
      <c r="W38" s="3814"/>
      <c r="X38" s="1558"/>
      <c r="Y38" s="1558"/>
      <c r="Z38" s="1558"/>
      <c r="AA38" s="1558"/>
      <c r="AB38" s="1558"/>
      <c r="AC38" s="1558"/>
    </row>
    <row r="39" spans="1:29" ht="15.75" thickBot="1">
      <c r="A39" s="620" t="s">
        <v>2923</v>
      </c>
      <c r="B39" s="621"/>
      <c r="C39" s="2659" t="e">
        <f>R39</f>
        <v>#DIV/0!</v>
      </c>
      <c r="D39" s="2659"/>
      <c r="E39" s="2659"/>
      <c r="F39" s="2659"/>
      <c r="G39" s="2659"/>
      <c r="H39" s="2659"/>
      <c r="I39" s="2659"/>
      <c r="J39" s="2659"/>
      <c r="K39" s="1612"/>
      <c r="L39" s="2143"/>
      <c r="M39" s="2144"/>
      <c r="N39" s="2144"/>
      <c r="O39" s="2144"/>
      <c r="P39" s="3754" t="str">
        <f>A39</f>
        <v>估价对象XX用房的比较价格（楼面单价，元/平方米）</v>
      </c>
      <c r="Q39" s="3755"/>
      <c r="R39" s="3813" t="e">
        <f>IF(F1="售价",ROUND(AVERAGE(R38:V38),0),ROUND(AVERAGE(R38:V38),1))</f>
        <v>#DIV/0!</v>
      </c>
      <c r="S39" s="3813"/>
      <c r="T39" s="3813"/>
      <c r="U39" s="3813"/>
      <c r="V39" s="3813"/>
      <c r="W39" s="3813"/>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575</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4" t="s">
        <v>530</v>
      </c>
      <c r="B48" s="645"/>
      <c r="C48" s="2826" t="str">
        <f>YEAR(C7)&amp;"-"&amp;MONTH(C7)</f>
        <v>2018-2</v>
      </c>
      <c r="D48" s="2828">
        <f>EDATE(C48,-1)</f>
        <v>43101</v>
      </c>
      <c r="E48" s="2828">
        <f t="shared" ref="E48:O48" si="16">EDATE(D48,-1)</f>
        <v>43070</v>
      </c>
      <c r="F48" s="2828">
        <f t="shared" si="16"/>
        <v>43040</v>
      </c>
      <c r="G48" s="2828">
        <f t="shared" si="16"/>
        <v>43009</v>
      </c>
      <c r="H48" s="2828">
        <f t="shared" si="16"/>
        <v>42979</v>
      </c>
      <c r="I48" s="2828">
        <f t="shared" si="16"/>
        <v>42948</v>
      </c>
      <c r="J48" s="2828">
        <f t="shared" si="16"/>
        <v>42917</v>
      </c>
      <c r="K48" s="2828">
        <f t="shared" si="16"/>
        <v>42887</v>
      </c>
      <c r="L48" s="2828">
        <f t="shared" si="16"/>
        <v>42856</v>
      </c>
      <c r="M48" s="2828">
        <f t="shared" si="16"/>
        <v>42826</v>
      </c>
      <c r="N48" s="2828">
        <f t="shared" si="16"/>
        <v>42795</v>
      </c>
      <c r="O48" s="2828">
        <f t="shared" si="16"/>
        <v>42767</v>
      </c>
      <c r="P48" s="2159"/>
      <c r="Q48" s="2160"/>
      <c r="R48" s="2160"/>
      <c r="S48" s="2160"/>
      <c r="T48" s="2160"/>
      <c r="U48" s="2160"/>
      <c r="V48" s="2160"/>
      <c r="W48" s="2160"/>
      <c r="X48" s="2160"/>
      <c r="Y48" s="2160"/>
      <c r="Z48" s="2160"/>
      <c r="AA48" s="2160"/>
      <c r="AB48" s="2160"/>
      <c r="AC48" s="2160"/>
    </row>
    <row r="49" spans="1:29" s="1219" customFormat="1" ht="15">
      <c r="A49" s="646"/>
      <c r="B49" s="647"/>
      <c r="C49" s="2827">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9" customFormat="1" ht="15.75" thickBot="1">
      <c r="A50" s="652" t="s">
        <v>576</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9" customFormat="1" ht="15">
      <c r="A51" s="658" t="s">
        <v>532</v>
      </c>
      <c r="B51" s="647"/>
      <c r="C51" s="659" t="s">
        <v>577</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578</v>
      </c>
      <c r="B53" s="664" t="s">
        <v>535</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538</v>
      </c>
      <c r="C55" s="673" t="s">
        <v>737</v>
      </c>
      <c r="D55" s="673" t="s">
        <v>738</v>
      </c>
      <c r="E55" s="673" t="s">
        <v>739</v>
      </c>
      <c r="F55" s="673" t="s">
        <v>740</v>
      </c>
      <c r="G55" s="673" t="s">
        <v>741</v>
      </c>
      <c r="H55" s="673" t="s">
        <v>742</v>
      </c>
      <c r="I55" s="673" t="s">
        <v>743</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2557</v>
      </c>
      <c r="C65" s="707" t="s">
        <v>580</v>
      </c>
      <c r="D65" s="707" t="s">
        <v>581</v>
      </c>
      <c r="E65" s="707" t="s">
        <v>582</v>
      </c>
      <c r="F65" s="707" t="s">
        <v>583</v>
      </c>
      <c r="G65" s="707" t="s">
        <v>584</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20" t="s">
        <v>2558</v>
      </c>
      <c r="C67" s="2621" t="s">
        <v>2559</v>
      </c>
      <c r="D67" s="2621" t="s">
        <v>2560</v>
      </c>
      <c r="E67" s="2621" t="s">
        <v>2561</v>
      </c>
      <c r="F67" s="2621" t="s">
        <v>2562</v>
      </c>
      <c r="G67" s="2621" t="s">
        <v>2563</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744</v>
      </c>
      <c r="C69" s="707" t="s">
        <v>580</v>
      </c>
      <c r="D69" s="707" t="s">
        <v>581</v>
      </c>
      <c r="E69" s="707" t="s">
        <v>582</v>
      </c>
      <c r="F69" s="707" t="s">
        <v>583</v>
      </c>
      <c r="G69" s="707" t="s">
        <v>584</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745</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552</v>
      </c>
      <c r="B79" s="664" t="s">
        <v>814</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751</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820</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8"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797</v>
      </c>
      <c r="B4" s="512"/>
      <c r="C4" s="3739" t="s">
        <v>798</v>
      </c>
      <c r="D4" s="3740"/>
      <c r="E4" s="3763" t="s">
        <v>799</v>
      </c>
      <c r="F4" s="3764"/>
      <c r="G4" s="3739" t="s">
        <v>800</v>
      </c>
      <c r="H4" s="3740"/>
      <c r="I4" s="3739" t="s">
        <v>801</v>
      </c>
      <c r="J4" s="3740"/>
      <c r="K4" s="513" t="s">
        <v>802</v>
      </c>
      <c r="L4" s="2132"/>
      <c r="M4" s="2133"/>
      <c r="N4" s="2133"/>
      <c r="O4" s="2133"/>
      <c r="P4" s="3741" t="s">
        <v>803</v>
      </c>
      <c r="Q4" s="3742"/>
      <c r="R4" s="3727" t="s">
        <v>799</v>
      </c>
      <c r="S4" s="3728"/>
      <c r="T4" s="3727" t="s">
        <v>800</v>
      </c>
      <c r="U4" s="3728"/>
      <c r="V4" s="3747" t="s">
        <v>801</v>
      </c>
      <c r="W4" s="3747"/>
      <c r="X4" s="1566"/>
      <c r="Y4" s="3727" t="s">
        <v>803</v>
      </c>
      <c r="Z4" s="3728"/>
      <c r="AA4" s="3722" t="s">
        <v>799</v>
      </c>
      <c r="AB4" s="3723" t="s">
        <v>800</v>
      </c>
      <c r="AC4" s="3722" t="s">
        <v>801</v>
      </c>
    </row>
    <row r="5" spans="1:29" ht="15">
      <c r="A5" s="514"/>
      <c r="B5" s="515"/>
      <c r="C5" s="3750" t="s">
        <v>2917</v>
      </c>
      <c r="D5" s="3751"/>
      <c r="E5" s="3765" t="s">
        <v>2918</v>
      </c>
      <c r="F5" s="3766"/>
      <c r="G5" s="3750" t="s">
        <v>2919</v>
      </c>
      <c r="H5" s="3751"/>
      <c r="I5" s="3750" t="s">
        <v>2920</v>
      </c>
      <c r="J5" s="3751"/>
      <c r="K5" s="513"/>
      <c r="L5" s="2132"/>
      <c r="M5" s="2133"/>
      <c r="N5" s="2133"/>
      <c r="O5" s="2133"/>
      <c r="P5" s="3743"/>
      <c r="Q5" s="3744"/>
      <c r="R5" s="3729"/>
      <c r="S5" s="3730"/>
      <c r="T5" s="3729"/>
      <c r="U5" s="3730"/>
      <c r="V5" s="3747"/>
      <c r="W5" s="3747"/>
      <c r="X5" s="1566"/>
      <c r="Y5" s="3729"/>
      <c r="Z5" s="3730"/>
      <c r="AA5" s="3723"/>
      <c r="AB5" s="3723"/>
      <c r="AC5" s="3723"/>
    </row>
    <row r="6" spans="1:29" ht="15.75" thickBot="1">
      <c r="A6" s="516"/>
      <c r="B6" s="517"/>
      <c r="C6" s="3748" t="s">
        <v>2921</v>
      </c>
      <c r="D6" s="3749"/>
      <c r="E6" s="3767" t="s">
        <v>2921</v>
      </c>
      <c r="F6" s="3768"/>
      <c r="G6" s="3748" t="s">
        <v>2921</v>
      </c>
      <c r="H6" s="3749"/>
      <c r="I6" s="3748" t="s">
        <v>2921</v>
      </c>
      <c r="J6" s="3749"/>
      <c r="K6" s="513" t="s">
        <v>529</v>
      </c>
      <c r="L6" s="2132"/>
      <c r="M6" s="2133"/>
      <c r="N6" s="2133"/>
      <c r="O6" s="2133"/>
      <c r="P6" s="3745"/>
      <c r="Q6" s="3746"/>
      <c r="R6" s="3729"/>
      <c r="S6" s="3730"/>
      <c r="T6" s="3731"/>
      <c r="U6" s="3732"/>
      <c r="V6" s="3747"/>
      <c r="W6" s="3747"/>
      <c r="X6" s="1566"/>
      <c r="Y6" s="3731"/>
      <c r="Z6" s="3732"/>
      <c r="AA6" s="3724"/>
      <c r="AB6" s="3724"/>
      <c r="AC6" s="3724"/>
    </row>
    <row r="7" spans="1:29" s="1219" customFormat="1" ht="15.75" thickBot="1">
      <c r="A7" s="2936"/>
      <c r="B7" s="2943" t="s">
        <v>530</v>
      </c>
      <c r="C7" s="518">
        <f>'数据-取费表'!B2</f>
        <v>43159</v>
      </c>
      <c r="D7" s="519">
        <v>100</v>
      </c>
      <c r="E7" s="520"/>
      <c r="F7" s="521">
        <f>SUMIF(46:46,YEAR(E7)&amp;"-"&amp;MONTH(E7),47:47)</f>
        <v>0</v>
      </c>
      <c r="G7" s="522"/>
      <c r="H7" s="519">
        <f>SUMIF(46:46,YEAR(G7)&amp;"-"&amp;MONTH(G7),47:47)</f>
        <v>0</v>
      </c>
      <c r="I7" s="522"/>
      <c r="J7" s="519">
        <f>SUMIF(46:46,YEAR(I7)&amp;"-"&amp;MONTH(I7),47:47)</f>
        <v>0</v>
      </c>
      <c r="K7" s="523"/>
      <c r="L7" s="2134"/>
      <c r="M7" s="2135"/>
      <c r="N7" s="2135"/>
      <c r="O7" s="2135"/>
      <c r="P7" s="3725" t="s">
        <v>531</v>
      </c>
      <c r="Q7" s="3734"/>
      <c r="R7" s="1567" t="s">
        <v>8</v>
      </c>
      <c r="S7" s="1568">
        <f t="shared" ref="S7:S14" si="0">F7</f>
        <v>0</v>
      </c>
      <c r="T7" s="1567" t="s">
        <v>8</v>
      </c>
      <c r="U7" s="1568">
        <f t="shared" ref="U7:U14" si="1">H7</f>
        <v>0</v>
      </c>
      <c r="V7" s="1567" t="s">
        <v>8</v>
      </c>
      <c r="W7" s="1568">
        <f t="shared" ref="W7:W14" si="2">J7</f>
        <v>0</v>
      </c>
      <c r="X7" s="1569"/>
      <c r="Y7" s="3725" t="s">
        <v>531</v>
      </c>
      <c r="Z7" s="3726"/>
      <c r="AA7" s="1570" t="e">
        <f>D7/F7</f>
        <v>#DIV/0!</v>
      </c>
      <c r="AB7" s="1570" t="e">
        <f>D7/H7</f>
        <v>#DIV/0!</v>
      </c>
      <c r="AC7" s="1570" t="e">
        <f>D7/J7</f>
        <v>#DIV/0!</v>
      </c>
    </row>
    <row r="8" spans="1:29" s="1219" customFormat="1" ht="15.75" thickBot="1">
      <c r="A8" s="2937"/>
      <c r="B8" s="2944" t="s">
        <v>532</v>
      </c>
      <c r="C8" s="524" t="s">
        <v>577</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725" t="s">
        <v>534</v>
      </c>
      <c r="Q8" s="3726"/>
      <c r="R8" s="1567" t="s">
        <v>8</v>
      </c>
      <c r="S8" s="1568">
        <f t="shared" si="0"/>
        <v>0</v>
      </c>
      <c r="T8" s="1567" t="s">
        <v>8</v>
      </c>
      <c r="U8" s="1568">
        <f t="shared" si="1"/>
        <v>0</v>
      </c>
      <c r="V8" s="1567" t="s">
        <v>8</v>
      </c>
      <c r="W8" s="1568">
        <f t="shared" si="2"/>
        <v>0</v>
      </c>
      <c r="X8" s="1569"/>
      <c r="Y8" s="3725" t="s">
        <v>534</v>
      </c>
      <c r="Z8" s="3726"/>
      <c r="AA8" s="1570" t="e">
        <f t="shared" ref="AA8:AA34" si="3">D8/F8</f>
        <v>#DIV/0!</v>
      </c>
      <c r="AB8" s="1570" t="e">
        <f t="shared" ref="AB8:AB34" si="4">D8/H8</f>
        <v>#DIV/0!</v>
      </c>
      <c r="AC8" s="1570" t="e">
        <f t="shared" ref="AC8:AC34" si="5">D8/J8</f>
        <v>#DIV/0!</v>
      </c>
    </row>
    <row r="9" spans="1:29" s="1219" customFormat="1" ht="15">
      <c r="A9" s="2938"/>
      <c r="B9" s="2945" t="s">
        <v>2755</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733" t="s">
        <v>536</v>
      </c>
      <c r="Q9" s="1150" t="str">
        <f t="shared" ref="Q9:Q14" si="6">B9</f>
        <v>用途</v>
      </c>
      <c r="R9" s="1567" t="s">
        <v>8</v>
      </c>
      <c r="S9" s="1568">
        <f t="shared" si="0"/>
        <v>100</v>
      </c>
      <c r="T9" s="1567" t="s">
        <v>8</v>
      </c>
      <c r="U9" s="1568">
        <f t="shared" si="1"/>
        <v>100</v>
      </c>
      <c r="V9" s="1567" t="s">
        <v>8</v>
      </c>
      <c r="W9" s="1568">
        <f t="shared" si="2"/>
        <v>100</v>
      </c>
      <c r="X9" s="1569"/>
      <c r="Y9" s="3686" t="s">
        <v>537</v>
      </c>
      <c r="Z9" s="1149" t="str">
        <f t="shared" ref="Z9:Z14" si="7">Q9</f>
        <v>用途</v>
      </c>
      <c r="AA9" s="1570">
        <f t="shared" si="3"/>
        <v>1</v>
      </c>
      <c r="AB9" s="1570">
        <f t="shared" si="4"/>
        <v>1</v>
      </c>
      <c r="AC9" s="1570">
        <f t="shared" si="5"/>
        <v>1</v>
      </c>
    </row>
    <row r="10" spans="1:29" s="1337" customFormat="1" ht="27">
      <c r="A10" s="2939"/>
      <c r="B10" s="2944" t="s">
        <v>2756</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733"/>
      <c r="Q10" s="1150" t="str">
        <f t="shared" si="6"/>
        <v>土地使用年限（年）</v>
      </c>
      <c r="R10" s="1567" t="s">
        <v>8</v>
      </c>
      <c r="S10" s="1568">
        <f t="shared" si="0"/>
        <v>100</v>
      </c>
      <c r="T10" s="1567" t="s">
        <v>8</v>
      </c>
      <c r="U10" s="1568">
        <f t="shared" si="1"/>
        <v>100</v>
      </c>
      <c r="V10" s="1567" t="s">
        <v>8</v>
      </c>
      <c r="W10" s="1568">
        <f t="shared" si="2"/>
        <v>100</v>
      </c>
      <c r="X10" s="1569"/>
      <c r="Y10" s="3686"/>
      <c r="Z10" s="1149" t="str">
        <f t="shared" si="7"/>
        <v>土地使用年限（年）</v>
      </c>
      <c r="AA10" s="1570">
        <f t="shared" si="3"/>
        <v>1</v>
      </c>
      <c r="AB10" s="1570">
        <f t="shared" si="4"/>
        <v>1</v>
      </c>
      <c r="AC10" s="1570">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733"/>
      <c r="Q11" s="1150">
        <f t="shared" si="6"/>
        <v>111</v>
      </c>
      <c r="R11" s="1567" t="s">
        <v>8</v>
      </c>
      <c r="S11" s="1568">
        <f t="shared" si="0"/>
        <v>100</v>
      </c>
      <c r="T11" s="1567" t="s">
        <v>8</v>
      </c>
      <c r="U11" s="1568">
        <f t="shared" si="1"/>
        <v>100</v>
      </c>
      <c r="V11" s="1567" t="s">
        <v>8</v>
      </c>
      <c r="W11" s="1568">
        <f t="shared" si="2"/>
        <v>100</v>
      </c>
      <c r="X11" s="1569"/>
      <c r="Y11" s="3686"/>
      <c r="Z11" s="1149">
        <f t="shared" si="7"/>
        <v>111</v>
      </c>
      <c r="AA11" s="1570">
        <f t="shared" si="3"/>
        <v>1</v>
      </c>
      <c r="AB11" s="1570">
        <f t="shared" si="4"/>
        <v>1</v>
      </c>
      <c r="AC11" s="1570">
        <f t="shared" si="5"/>
        <v>1</v>
      </c>
    </row>
    <row r="12" spans="1:29" s="1219"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733"/>
      <c r="Q12" s="1150">
        <f t="shared" si="6"/>
        <v>111</v>
      </c>
      <c r="R12" s="1567" t="s">
        <v>8</v>
      </c>
      <c r="S12" s="1568">
        <f t="shared" si="0"/>
        <v>100</v>
      </c>
      <c r="T12" s="1567" t="s">
        <v>8</v>
      </c>
      <c r="U12" s="1568">
        <f t="shared" si="1"/>
        <v>100</v>
      </c>
      <c r="V12" s="1567" t="s">
        <v>8</v>
      </c>
      <c r="W12" s="1568">
        <f t="shared" si="2"/>
        <v>100</v>
      </c>
      <c r="X12" s="1569"/>
      <c r="Y12" s="3686"/>
      <c r="Z12" s="1149">
        <f t="shared" si="7"/>
        <v>111</v>
      </c>
      <c r="AA12" s="1570">
        <f>D12/F12</f>
        <v>1</v>
      </c>
      <c r="AB12" s="1570">
        <f>D12/H12</f>
        <v>1</v>
      </c>
      <c r="AC12" s="1570">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733"/>
      <c r="Q13" s="1150">
        <f t="shared" si="6"/>
        <v>111</v>
      </c>
      <c r="R13" s="1567" t="s">
        <v>8</v>
      </c>
      <c r="S13" s="1568">
        <f t="shared" si="0"/>
        <v>100</v>
      </c>
      <c r="T13" s="1567" t="s">
        <v>8</v>
      </c>
      <c r="U13" s="1568">
        <f t="shared" si="1"/>
        <v>100</v>
      </c>
      <c r="V13" s="1567" t="s">
        <v>8</v>
      </c>
      <c r="W13" s="1568">
        <f t="shared" si="2"/>
        <v>100</v>
      </c>
      <c r="X13" s="1569"/>
      <c r="Y13" s="3686"/>
      <c r="Z13" s="1149">
        <f t="shared" si="7"/>
        <v>111</v>
      </c>
      <c r="AA13" s="1570">
        <f t="shared" si="3"/>
        <v>1</v>
      </c>
      <c r="AB13" s="1570">
        <f t="shared" si="4"/>
        <v>1</v>
      </c>
      <c r="AC13" s="1570">
        <f t="shared" si="5"/>
        <v>1</v>
      </c>
    </row>
    <row r="14" spans="1:29" ht="99.75">
      <c r="A14" s="2934" t="s">
        <v>2753</v>
      </c>
      <c r="B14" s="166" t="s">
        <v>544</v>
      </c>
      <c r="C14" s="920" t="str">
        <f>IF(B1="工业",估价对象房地状况!G4,估价对象房地状况!C6)</f>
        <v>周边道路状况、公共交通通达情况、停车便捷程度（二环北路 17路 209路 245路 地铁3号线辛家庙站2公里</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735" t="s">
        <v>541</v>
      </c>
      <c r="Q14" s="1571" t="str">
        <f t="shared" si="6"/>
        <v>交通便捷度</v>
      </c>
      <c r="R14" s="1572" t="s">
        <v>8</v>
      </c>
      <c r="S14" s="1573">
        <f t="shared" si="0"/>
        <v>100</v>
      </c>
      <c r="T14" s="1572" t="s">
        <v>8</v>
      </c>
      <c r="U14" s="1573">
        <f t="shared" si="1"/>
        <v>100</v>
      </c>
      <c r="V14" s="1572" t="s">
        <v>8</v>
      </c>
      <c r="W14" s="1573">
        <f t="shared" si="2"/>
        <v>100</v>
      </c>
      <c r="X14" s="1566"/>
      <c r="Y14" s="3735" t="s">
        <v>541</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1"/>
      <c r="M15" s="2133"/>
      <c r="N15" s="2133"/>
      <c r="O15" s="2140"/>
      <c r="P15" s="3736"/>
      <c r="Q15" s="1571"/>
      <c r="R15" s="1572"/>
      <c r="S15" s="1573"/>
      <c r="T15" s="1572"/>
      <c r="U15" s="1573"/>
      <c r="V15" s="1572"/>
      <c r="W15" s="1573"/>
      <c r="X15" s="1566"/>
      <c r="Y15" s="3736"/>
      <c r="Z15" s="1574"/>
      <c r="AA15" s="1575">
        <v>1</v>
      </c>
      <c r="AB15" s="1575">
        <v>1</v>
      </c>
      <c r="AC15" s="1575">
        <v>1</v>
      </c>
    </row>
    <row r="16" spans="1:29" ht="142.5">
      <c r="A16" s="531"/>
      <c r="B16" s="2626" t="s">
        <v>2546</v>
      </c>
      <c r="C16" s="871" t="str">
        <f>IF(B1="工业",估价对象房地状况!G5,估价对象房地状况!C7)</f>
        <v>1.5公里 西安市第三医院 中国工商银行(西安北二环东段支行) 中国农业银行(太华北路支行) 西安市未央区幼儿园 大明宫小学 陕西师范大学锦园国际中学 永辉超市</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736"/>
      <c r="Q16" s="1571" t="str">
        <f>B16</f>
        <v>公共配套设施</v>
      </c>
      <c r="R16" s="1572" t="s">
        <v>8</v>
      </c>
      <c r="S16" s="1573">
        <f>F16</f>
        <v>100</v>
      </c>
      <c r="T16" s="1572" t="s">
        <v>8</v>
      </c>
      <c r="U16" s="1573">
        <f>H16</f>
        <v>100</v>
      </c>
      <c r="V16" s="1572" t="s">
        <v>8</v>
      </c>
      <c r="W16" s="1573">
        <f>J16</f>
        <v>100</v>
      </c>
      <c r="X16" s="1566"/>
      <c r="Y16" s="3736"/>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1"/>
      <c r="M17" s="2133"/>
      <c r="N17" s="2133"/>
      <c r="O17" s="2140"/>
      <c r="P17" s="3736"/>
      <c r="Q17" s="1571"/>
      <c r="R17" s="1572"/>
      <c r="S17" s="1573"/>
      <c r="T17" s="1572"/>
      <c r="U17" s="1573"/>
      <c r="V17" s="1572"/>
      <c r="W17" s="1573"/>
      <c r="X17" s="1566"/>
      <c r="Y17" s="3736"/>
      <c r="Z17" s="1574"/>
      <c r="AA17" s="1575">
        <v>1</v>
      </c>
      <c r="AB17" s="1575">
        <v>1</v>
      </c>
      <c r="AC17" s="1575">
        <v>1</v>
      </c>
    </row>
    <row r="18" spans="1:29" ht="15">
      <c r="A18" s="531"/>
      <c r="B18" s="2614" t="s">
        <v>2558</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736"/>
      <c r="Q18" s="2602" t="str">
        <f>B18</f>
        <v>基础设施水平</v>
      </c>
      <c r="R18" s="1572" t="s">
        <v>8</v>
      </c>
      <c r="S18" s="1573">
        <f>F18</f>
        <v>100</v>
      </c>
      <c r="T18" s="1572" t="s">
        <v>8</v>
      </c>
      <c r="U18" s="1573">
        <f>H18</f>
        <v>100</v>
      </c>
      <c r="V18" s="1572" t="s">
        <v>8</v>
      </c>
      <c r="W18" s="1573">
        <f>J18</f>
        <v>100</v>
      </c>
      <c r="X18" s="2604"/>
      <c r="Y18" s="3736"/>
      <c r="Z18" s="2603"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5"/>
      <c r="L19" s="2141"/>
      <c r="M19" s="2133"/>
      <c r="N19" s="2133"/>
      <c r="O19" s="2140"/>
      <c r="P19" s="3736"/>
      <c r="Q19" s="2602"/>
      <c r="R19" s="1572"/>
      <c r="S19" s="1573"/>
      <c r="T19" s="1572"/>
      <c r="U19" s="1573"/>
      <c r="V19" s="1572"/>
      <c r="W19" s="1573"/>
      <c r="X19" s="2604"/>
      <c r="Y19" s="3736"/>
      <c r="Z19" s="2603"/>
      <c r="AA19" s="1575">
        <v>1</v>
      </c>
      <c r="AB19" s="1575">
        <v>1</v>
      </c>
      <c r="AC19" s="1575">
        <v>1</v>
      </c>
    </row>
    <row r="20" spans="1:29" ht="28.5">
      <c r="A20" s="531"/>
      <c r="B20" s="870" t="s">
        <v>804</v>
      </c>
      <c r="C20" s="871" t="str">
        <f>IF(B1="工业",估价对象房地状况!G7,估价对象房地状况!C9)</f>
        <v>大明宫国家遗址公园</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736"/>
      <c r="Q20" s="1571" t="str">
        <f>B20</f>
        <v>自然及人文环境</v>
      </c>
      <c r="R20" s="1572" t="s">
        <v>8</v>
      </c>
      <c r="S20" s="1573">
        <f>F20</f>
        <v>100</v>
      </c>
      <c r="T20" s="1572" t="s">
        <v>8</v>
      </c>
      <c r="U20" s="1573">
        <f>H20</f>
        <v>100</v>
      </c>
      <c r="V20" s="1572" t="s">
        <v>8</v>
      </c>
      <c r="W20" s="1573">
        <f>J20</f>
        <v>100</v>
      </c>
      <c r="X20" s="1566"/>
      <c r="Y20" s="3736"/>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1"/>
      <c r="M21" s="2133"/>
      <c r="N21" s="2133"/>
      <c r="O21" s="2140"/>
      <c r="P21" s="3736"/>
      <c r="Q21" s="1571"/>
      <c r="R21" s="1572"/>
      <c r="S21" s="1573"/>
      <c r="T21" s="1572"/>
      <c r="U21" s="1573"/>
      <c r="V21" s="1572"/>
      <c r="W21" s="1573"/>
      <c r="X21" s="1566"/>
      <c r="Y21" s="3736"/>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736"/>
      <c r="Q22" s="1571" t="str">
        <f>B22</f>
        <v>楼层</v>
      </c>
      <c r="R22" s="1572" t="s">
        <v>8</v>
      </c>
      <c r="S22" s="1573">
        <f>F22</f>
        <v>100</v>
      </c>
      <c r="T22" s="1572" t="s">
        <v>8</v>
      </c>
      <c r="U22" s="1573">
        <f>H22</f>
        <v>100</v>
      </c>
      <c r="V22" s="1572" t="s">
        <v>8</v>
      </c>
      <c r="W22" s="1573">
        <f>J22</f>
        <v>100</v>
      </c>
      <c r="X22" s="1566"/>
      <c r="Y22" s="3736"/>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736"/>
      <c r="Q23" s="1571">
        <f>B23</f>
        <v>111</v>
      </c>
      <c r="R23" s="1572" t="s">
        <v>8</v>
      </c>
      <c r="S23" s="1573">
        <f>F23</f>
        <v>100</v>
      </c>
      <c r="T23" s="1572" t="s">
        <v>8</v>
      </c>
      <c r="U23" s="1573">
        <f>H23</f>
        <v>100</v>
      </c>
      <c r="V23" s="1572" t="s">
        <v>8</v>
      </c>
      <c r="W23" s="1573">
        <f>J23</f>
        <v>100</v>
      </c>
      <c r="X23" s="1566"/>
      <c r="Y23" s="3736"/>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736"/>
      <c r="Q24" s="1571">
        <f t="shared" ref="Q24:Q34" si="11">B24</f>
        <v>111</v>
      </c>
      <c r="R24" s="1572" t="s">
        <v>8</v>
      </c>
      <c r="S24" s="1573">
        <f>F24</f>
        <v>100</v>
      </c>
      <c r="T24" s="1572" t="s">
        <v>8</v>
      </c>
      <c r="U24" s="1573">
        <f>H24</f>
        <v>100</v>
      </c>
      <c r="V24" s="1572" t="s">
        <v>8</v>
      </c>
      <c r="W24" s="1573">
        <f>J24</f>
        <v>100</v>
      </c>
      <c r="X24" s="1566"/>
      <c r="Y24" s="3736"/>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736"/>
      <c r="Q25" s="1150">
        <f t="shared" si="11"/>
        <v>111</v>
      </c>
      <c r="R25" s="1567" t="s">
        <v>8</v>
      </c>
      <c r="S25" s="1568">
        <f>F25</f>
        <v>100</v>
      </c>
      <c r="T25" s="1567" t="s">
        <v>8</v>
      </c>
      <c r="U25" s="1568">
        <f>H25</f>
        <v>100</v>
      </c>
      <c r="V25" s="1567" t="s">
        <v>8</v>
      </c>
      <c r="W25" s="1568">
        <f>J25</f>
        <v>100</v>
      </c>
      <c r="X25" s="1569"/>
      <c r="Y25" s="3736"/>
      <c r="Z25" s="1149">
        <f>Q25</f>
        <v>111</v>
      </c>
      <c r="AA25" s="1575">
        <f>D25/F25</f>
        <v>1</v>
      </c>
      <c r="AB25" s="1575">
        <f>D25/H25</f>
        <v>1</v>
      </c>
      <c r="AC25" s="1575">
        <f>D25/J25</f>
        <v>1</v>
      </c>
    </row>
    <row r="26" spans="1:29" ht="15">
      <c r="A26" s="2931"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737"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738"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738"/>
      <c r="Q27" s="1604" t="str">
        <f t="shared" si="11"/>
        <v>成新率</v>
      </c>
      <c r="R27" s="1576" t="s">
        <v>8</v>
      </c>
      <c r="S27" s="1577" t="e">
        <f t="shared" si="12"/>
        <v>#N/A</v>
      </c>
      <c r="T27" s="1576" t="s">
        <v>8</v>
      </c>
      <c r="U27" s="1577" t="e">
        <f t="shared" si="13"/>
        <v>#N/A</v>
      </c>
      <c r="V27" s="1576" t="s">
        <v>8</v>
      </c>
      <c r="W27" s="1577" t="e">
        <f t="shared" si="14"/>
        <v>#N/A</v>
      </c>
      <c r="X27" s="1578"/>
      <c r="Y27" s="3738"/>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738"/>
      <c r="Q28" s="1571" t="str">
        <f t="shared" si="11"/>
        <v>物业等级</v>
      </c>
      <c r="R28" s="1572" t="s">
        <v>8</v>
      </c>
      <c r="S28" s="1573">
        <f t="shared" si="12"/>
        <v>100</v>
      </c>
      <c r="T28" s="1572" t="s">
        <v>8</v>
      </c>
      <c r="U28" s="1573">
        <f t="shared" si="13"/>
        <v>100</v>
      </c>
      <c r="V28" s="1572" t="s">
        <v>8</v>
      </c>
      <c r="W28" s="1573">
        <f t="shared" si="14"/>
        <v>100</v>
      </c>
      <c r="X28" s="1566"/>
      <c r="Y28" s="3738"/>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738"/>
      <c r="Q29" s="1571" t="str">
        <f t="shared" si="11"/>
        <v>有无电梯</v>
      </c>
      <c r="R29" s="1572" t="s">
        <v>8</v>
      </c>
      <c r="S29" s="1573">
        <f t="shared" si="12"/>
        <v>100</v>
      </c>
      <c r="T29" s="1572" t="s">
        <v>8</v>
      </c>
      <c r="U29" s="1573">
        <f t="shared" si="13"/>
        <v>100</v>
      </c>
      <c r="V29" s="1572" t="s">
        <v>8</v>
      </c>
      <c r="W29" s="1573">
        <f t="shared" si="14"/>
        <v>100</v>
      </c>
      <c r="X29" s="1566"/>
      <c r="Y29" s="3738"/>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738"/>
      <c r="Q30" s="1571" t="str">
        <f t="shared" si="11"/>
        <v>建筑面积</v>
      </c>
      <c r="R30" s="1572" t="s">
        <v>8</v>
      </c>
      <c r="S30" s="1573" t="e">
        <f t="shared" si="12"/>
        <v>#N/A</v>
      </c>
      <c r="T30" s="1572" t="s">
        <v>8</v>
      </c>
      <c r="U30" s="1573" t="e">
        <f t="shared" si="13"/>
        <v>#N/A</v>
      </c>
      <c r="V30" s="1572" t="s">
        <v>8</v>
      </c>
      <c r="W30" s="1573" t="e">
        <f t="shared" si="14"/>
        <v>#N/A</v>
      </c>
      <c r="X30" s="1566"/>
      <c r="Y30" s="3738"/>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738"/>
      <c r="Q31" s="1150" t="str">
        <f t="shared" si="11"/>
        <v>是否封闭</v>
      </c>
      <c r="R31" s="1567" t="s">
        <v>8</v>
      </c>
      <c r="S31" s="1568">
        <f t="shared" si="12"/>
        <v>100</v>
      </c>
      <c r="T31" s="1567" t="s">
        <v>8</v>
      </c>
      <c r="U31" s="1568">
        <f t="shared" si="13"/>
        <v>100</v>
      </c>
      <c r="V31" s="1567" t="s">
        <v>8</v>
      </c>
      <c r="W31" s="1568">
        <f t="shared" si="14"/>
        <v>100</v>
      </c>
      <c r="X31" s="1569"/>
      <c r="Y31" s="3738"/>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738" t="s">
        <v>551</v>
      </c>
      <c r="Q32" s="1571">
        <f t="shared" si="11"/>
        <v>111</v>
      </c>
      <c r="R32" s="1572" t="s">
        <v>8</v>
      </c>
      <c r="S32" s="1573">
        <f t="shared" si="12"/>
        <v>100</v>
      </c>
      <c r="T32" s="1572" t="s">
        <v>8</v>
      </c>
      <c r="U32" s="1573">
        <f t="shared" si="13"/>
        <v>100</v>
      </c>
      <c r="V32" s="1572" t="s">
        <v>8</v>
      </c>
      <c r="W32" s="1573">
        <f t="shared" si="14"/>
        <v>100</v>
      </c>
      <c r="X32" s="1566"/>
      <c r="Y32" s="3738" t="s">
        <v>551</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738"/>
      <c r="Q33" s="1571">
        <f t="shared" si="11"/>
        <v>111</v>
      </c>
      <c r="R33" s="1572" t="s">
        <v>8</v>
      </c>
      <c r="S33" s="1573">
        <f t="shared" si="12"/>
        <v>100</v>
      </c>
      <c r="T33" s="1572" t="s">
        <v>8</v>
      </c>
      <c r="U33" s="1573">
        <f t="shared" si="13"/>
        <v>100</v>
      </c>
      <c r="V33" s="1572" t="s">
        <v>8</v>
      </c>
      <c r="W33" s="1573">
        <f t="shared" si="14"/>
        <v>100</v>
      </c>
      <c r="X33" s="1566"/>
      <c r="Y33" s="3738"/>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738"/>
      <c r="Q34" s="1571">
        <f t="shared" si="11"/>
        <v>111</v>
      </c>
      <c r="R34" s="1572" t="s">
        <v>8</v>
      </c>
      <c r="S34" s="1573">
        <f t="shared" si="12"/>
        <v>100</v>
      </c>
      <c r="T34" s="1572" t="s">
        <v>8</v>
      </c>
      <c r="U34" s="1573">
        <f t="shared" si="13"/>
        <v>100</v>
      </c>
      <c r="V34" s="1572" t="s">
        <v>8</v>
      </c>
      <c r="W34" s="1573">
        <f t="shared" si="14"/>
        <v>100</v>
      </c>
      <c r="X34" s="1566"/>
      <c r="Y34" s="3738"/>
      <c r="Z34" s="1574">
        <f t="shared" si="15"/>
        <v>111</v>
      </c>
      <c r="AA34" s="1575">
        <f t="shared" si="3"/>
        <v>1</v>
      </c>
      <c r="AB34" s="1575">
        <f t="shared" si="4"/>
        <v>1</v>
      </c>
      <c r="AC34" s="1575">
        <f t="shared" si="5"/>
        <v>1</v>
      </c>
    </row>
    <row r="35" spans="1:29" ht="15">
      <c r="A35" s="606" t="s">
        <v>736</v>
      </c>
      <c r="B35" s="886"/>
      <c r="C35" s="2650" t="s">
        <v>1</v>
      </c>
      <c r="D35" s="2651"/>
      <c r="E35" s="2652"/>
      <c r="F35" s="2653"/>
      <c r="G35" s="2654"/>
      <c r="H35" s="2655"/>
      <c r="I35" s="2652"/>
      <c r="J35" s="2655"/>
      <c r="K35" s="1610"/>
      <c r="L35" s="2143"/>
      <c r="M35" s="2144"/>
      <c r="N35" s="2133"/>
      <c r="O35" s="2144"/>
      <c r="P35" s="3733" t="str">
        <f>A35</f>
        <v>成交单价（元/平方米）</v>
      </c>
      <c r="Q35" s="3733"/>
      <c r="R35" s="3814">
        <f>E35</f>
        <v>0</v>
      </c>
      <c r="S35" s="3814"/>
      <c r="T35" s="3814">
        <f>G35</f>
        <v>0</v>
      </c>
      <c r="U35" s="3814"/>
      <c r="V35" s="3814">
        <f>I35</f>
        <v>0</v>
      </c>
      <c r="W35" s="3814"/>
      <c r="X35" s="1558"/>
      <c r="Y35" s="1580"/>
      <c r="Z35" s="1558"/>
      <c r="AA35" s="1558"/>
      <c r="AB35" s="1558"/>
      <c r="AC35" s="1558"/>
    </row>
    <row r="36" spans="1:29" ht="15.75" thickBot="1">
      <c r="A36" s="614" t="s">
        <v>2759</v>
      </c>
      <c r="B36" s="887"/>
      <c r="C36" s="2656" t="e">
        <f>R37</f>
        <v>#DIV/0!</v>
      </c>
      <c r="D36" s="2657"/>
      <c r="E36" s="2658" t="e">
        <f>R36</f>
        <v>#DIV/0!</v>
      </c>
      <c r="F36" s="2658"/>
      <c r="G36" s="2656" t="e">
        <f>T36</f>
        <v>#DIV/0!</v>
      </c>
      <c r="H36" s="2657"/>
      <c r="I36" s="2658" t="e">
        <f>V36</f>
        <v>#DIV/0!</v>
      </c>
      <c r="J36" s="2657"/>
      <c r="K36" s="1611"/>
      <c r="L36" s="2143"/>
      <c r="M36" s="2144"/>
      <c r="N36" s="2133"/>
      <c r="O36" s="2144"/>
      <c r="P36" s="3733" t="str">
        <f>A36</f>
        <v>比较价格（元/平方米）</v>
      </c>
      <c r="Q36" s="3733"/>
      <c r="R36" s="3814" t="e">
        <f>IF(F1="售价",ROUND(PRODUCT(R35,AA7:AA34),0),ROUND(PRODUCT(R35,AA7:AA34),1))</f>
        <v>#DIV/0!</v>
      </c>
      <c r="S36" s="3814"/>
      <c r="T36" s="3814" t="e">
        <f>IF(F1="售价",ROUND(PRODUCT(T35,AB7:AB34),0),ROUND(PRODUCT(T35,AB7:AB34),1))</f>
        <v>#DIV/0!</v>
      </c>
      <c r="U36" s="3814"/>
      <c r="V36" s="3814" t="e">
        <f>IF(F1="售价",ROUND(PRODUCT(V35,AC7:AC34),0),ROUND(PRODUCT(V35,AC7:AC34),1))</f>
        <v>#DIV/0!</v>
      </c>
      <c r="W36" s="3814"/>
      <c r="X36" s="1558"/>
      <c r="Y36" s="1558"/>
      <c r="Z36" s="1558"/>
      <c r="AA36" s="1558"/>
      <c r="AB36" s="1558"/>
      <c r="AC36" s="1558"/>
    </row>
    <row r="37" spans="1:29" ht="15.75" thickBot="1">
      <c r="A37" s="620" t="s">
        <v>2923</v>
      </c>
      <c r="B37" s="621"/>
      <c r="C37" s="2659" t="e">
        <f>R37</f>
        <v>#DIV/0!</v>
      </c>
      <c r="D37" s="2659"/>
      <c r="E37" s="2659"/>
      <c r="F37" s="2659"/>
      <c r="G37" s="2659"/>
      <c r="H37" s="2659"/>
      <c r="I37" s="2659"/>
      <c r="J37" s="2659"/>
      <c r="K37" s="1612"/>
      <c r="L37" s="2143"/>
      <c r="M37" s="2144"/>
      <c r="N37" s="2144"/>
      <c r="O37" s="2144"/>
      <c r="P37" s="3754" t="str">
        <f>A37</f>
        <v>估价对象XX用房的比较价格（楼面单价，元/平方米）</v>
      </c>
      <c r="Q37" s="3755"/>
      <c r="R37" s="3813" t="e">
        <f>IF(F1="售价",ROUND(AVERAGE(R36:V36),0),ROUND(AVERAGE(R36:V36),1))</f>
        <v>#DIV/0!</v>
      </c>
      <c r="S37" s="3813"/>
      <c r="T37" s="3813"/>
      <c r="U37" s="3813"/>
      <c r="V37" s="3813"/>
      <c r="W37" s="3813"/>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575</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4" t="s">
        <v>530</v>
      </c>
      <c r="B46" s="645"/>
      <c r="C46" s="2826" t="str">
        <f>YEAR(C7)&amp;"-"&amp;MONTH(C7)</f>
        <v>2018-2</v>
      </c>
      <c r="D46" s="2828">
        <f>EDATE(C46,-1)</f>
        <v>43101</v>
      </c>
      <c r="E46" s="2828">
        <f t="shared" ref="E46:O46" si="16">EDATE(D46,-1)</f>
        <v>43070</v>
      </c>
      <c r="F46" s="2828">
        <f t="shared" si="16"/>
        <v>43040</v>
      </c>
      <c r="G46" s="2828">
        <f t="shared" si="16"/>
        <v>43009</v>
      </c>
      <c r="H46" s="2828">
        <f t="shared" si="16"/>
        <v>42979</v>
      </c>
      <c r="I46" s="2828">
        <f t="shared" si="16"/>
        <v>42948</v>
      </c>
      <c r="J46" s="2828">
        <f t="shared" si="16"/>
        <v>42917</v>
      </c>
      <c r="K46" s="2828">
        <f t="shared" si="16"/>
        <v>42887</v>
      </c>
      <c r="L46" s="2828">
        <f t="shared" si="16"/>
        <v>42856</v>
      </c>
      <c r="M46" s="2828">
        <f t="shared" si="16"/>
        <v>42826</v>
      </c>
      <c r="N46" s="2828">
        <f t="shared" si="16"/>
        <v>42795</v>
      </c>
      <c r="O46" s="2828">
        <f t="shared" si="16"/>
        <v>42767</v>
      </c>
      <c r="P46" s="2159"/>
      <c r="Q46" s="2160"/>
      <c r="R46" s="2160"/>
      <c r="S46" s="2160"/>
      <c r="T46" s="2160"/>
      <c r="U46" s="2160"/>
      <c r="V46" s="2160"/>
      <c r="W46" s="2160"/>
      <c r="X46" s="2160"/>
      <c r="Y46" s="2160"/>
      <c r="Z46" s="2160"/>
      <c r="AA46" s="2160"/>
      <c r="AB46" s="2160"/>
      <c r="AC46" s="2160"/>
    </row>
    <row r="47" spans="1:29" s="1219"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9" customFormat="1" ht="15.75" thickBot="1">
      <c r="A48" s="652" t="s">
        <v>576</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9" customFormat="1" ht="15">
      <c r="A49" s="658" t="s">
        <v>532</v>
      </c>
      <c r="B49" s="647"/>
      <c r="C49" s="659" t="s">
        <v>577</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578</v>
      </c>
      <c r="B51" s="664" t="s">
        <v>535</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538</v>
      </c>
      <c r="C53" s="673" t="s">
        <v>737</v>
      </c>
      <c r="D53" s="673" t="s">
        <v>738</v>
      </c>
      <c r="E53" s="673" t="s">
        <v>739</v>
      </c>
      <c r="F53" s="673" t="s">
        <v>740</v>
      </c>
      <c r="G53" s="673" t="s">
        <v>741</v>
      </c>
      <c r="H53" s="673" t="s">
        <v>742</v>
      </c>
      <c r="I53" s="673" t="s">
        <v>743</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2557</v>
      </c>
      <c r="C63" s="707" t="s">
        <v>580</v>
      </c>
      <c r="D63" s="707" t="s">
        <v>581</v>
      </c>
      <c r="E63" s="707" t="s">
        <v>582</v>
      </c>
      <c r="F63" s="707" t="s">
        <v>583</v>
      </c>
      <c r="G63" s="707" t="s">
        <v>584</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20" t="s">
        <v>2558</v>
      </c>
      <c r="C65" s="2621" t="s">
        <v>2559</v>
      </c>
      <c r="D65" s="2621" t="s">
        <v>2560</v>
      </c>
      <c r="E65" s="2621" t="s">
        <v>2561</v>
      </c>
      <c r="F65" s="2621" t="s">
        <v>2562</v>
      </c>
      <c r="G65" s="2621" t="s">
        <v>2563</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744</v>
      </c>
      <c r="C67" s="707" t="s">
        <v>580</v>
      </c>
      <c r="D67" s="707" t="s">
        <v>581</v>
      </c>
      <c r="E67" s="707" t="s">
        <v>582</v>
      </c>
      <c r="F67" s="707" t="s">
        <v>583</v>
      </c>
      <c r="G67" s="707" t="s">
        <v>584</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745</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552</v>
      </c>
      <c r="B77" s="664" t="s">
        <v>751</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817</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825</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8" customFormat="1" ht="15" thickTop="1">
      <c r="A89" s="727"/>
      <c r="B89" s="672" t="s">
        <v>827</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3" t="s">
        <v>2303</v>
      </c>
      <c r="C1" s="3846" t="s">
        <v>2304</v>
      </c>
      <c r="D1" s="3847"/>
      <c r="E1" s="3847"/>
      <c r="F1" s="3847"/>
      <c r="G1" s="3847"/>
      <c r="H1" s="3847"/>
      <c r="I1" s="3847"/>
      <c r="J1" s="3847"/>
      <c r="K1" s="3847"/>
      <c r="L1" s="3847"/>
      <c r="M1" s="3847"/>
      <c r="N1" s="3847"/>
      <c r="O1" s="3847"/>
      <c r="P1" s="3847"/>
      <c r="Q1" s="3847"/>
      <c r="R1" s="3847"/>
      <c r="S1" s="3848"/>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3" t="s">
        <v>2916</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5" t="s">
        <v>2915</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5" t="s">
        <v>2914</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3" t="s">
        <v>2929</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3" t="s">
        <v>2913</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3" t="s">
        <v>2912</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830</v>
      </c>
      <c r="B22" s="53">
        <f>SUM(B24:B10000)</f>
        <v>0</v>
      </c>
      <c r="C22" s="3843" t="s">
        <v>20</v>
      </c>
      <c r="D22" s="3844"/>
      <c r="E22" s="3844"/>
      <c r="F22" s="3844"/>
      <c r="G22" s="3844"/>
      <c r="H22" s="3844"/>
      <c r="I22" s="3844"/>
      <c r="J22" s="3844"/>
      <c r="K22" s="3844"/>
      <c r="L22" s="3844"/>
      <c r="M22" s="3844"/>
      <c r="N22" s="3844"/>
      <c r="O22" s="3844"/>
      <c r="P22" s="3844"/>
      <c r="Q22" s="3845"/>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2787</v>
      </c>
      <c r="C1" s="3028">
        <f>项目基本情况!D3</f>
        <v>43159</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2818</v>
      </c>
      <c r="C2" s="3029">
        <f>'数据-取费表'!B22</f>
        <v>2</v>
      </c>
      <c r="D2" s="3024" t="s">
        <v>2788</v>
      </c>
      <c r="E2" s="3027">
        <f ca="1">INDIRECT("I"&amp;$I$1)/100</f>
        <v>4.7500000000000001E-2</v>
      </c>
      <c r="G2" s="2964"/>
      <c r="H2" s="2964"/>
      <c r="I2" s="2964" t="s">
        <v>2789</v>
      </c>
      <c r="K2" s="2964"/>
      <c r="L2" s="2964"/>
      <c r="M2" s="2964"/>
      <c r="N2" s="2964" t="s">
        <v>2790</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2820</v>
      </c>
      <c r="C3" s="3026">
        <f>'数据-取费表'!B19</f>
        <v>0</v>
      </c>
      <c r="D3" s="3024" t="s">
        <v>2788</v>
      </c>
      <c r="E3" s="3027">
        <f ca="1">INDIRECT("J"&amp;$J$1)/100</f>
        <v>0</v>
      </c>
      <c r="G3" s="2966" t="s">
        <v>2791</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2819</v>
      </c>
      <c r="C4" s="3027">
        <f ca="1">N4/100</f>
        <v>1.4999999999999999E-2</v>
      </c>
      <c r="G4" s="2972" t="s">
        <v>2792</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2793</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2794</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2795</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2796</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2797</v>
      </c>
      <c r="C10" s="2991"/>
      <c r="D10" s="2991"/>
      <c r="E10" s="2991"/>
      <c r="F10" s="2991"/>
      <c r="G10" s="2991"/>
      <c r="H10" s="2991"/>
      <c r="I10" s="2965"/>
      <c r="J10" s="2965"/>
      <c r="K10" s="2991"/>
      <c r="L10" s="2992" t="s">
        <v>2798</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2799</v>
      </c>
      <c r="C11" s="2996" t="s">
        <v>2800</v>
      </c>
      <c r="D11" s="2997" t="s">
        <v>2801</v>
      </c>
      <c r="E11" s="2998"/>
      <c r="F11" s="2997" t="s">
        <v>2802</v>
      </c>
      <c r="G11" s="2999"/>
      <c r="H11" s="2998"/>
      <c r="I11" s="2997" t="s">
        <v>2803</v>
      </c>
      <c r="J11" s="2998"/>
      <c r="K11" s="2994"/>
      <c r="L11" s="2995" t="s">
        <v>2799</v>
      </c>
      <c r="M11" s="2996" t="s">
        <v>2800</v>
      </c>
      <c r="N11" s="2995" t="s">
        <v>2804</v>
      </c>
      <c r="O11" s="2997" t="s">
        <v>2805</v>
      </c>
      <c r="P11" s="2999"/>
      <c r="Q11" s="2999"/>
      <c r="R11" s="2999"/>
      <c r="S11" s="2999"/>
      <c r="T11" s="2998"/>
      <c r="U11" s="2997" t="s">
        <v>2806</v>
      </c>
      <c r="V11" s="2999"/>
      <c r="W11" s="2998"/>
      <c r="X11" s="2995" t="s">
        <v>2807</v>
      </c>
      <c r="Y11" s="2995" t="s">
        <v>2808</v>
      </c>
      <c r="Z11" s="2995" t="s">
        <v>2809</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2810</v>
      </c>
      <c r="E12" s="3004" t="s">
        <v>2811</v>
      </c>
      <c r="F12" s="3004" t="s">
        <v>2812</v>
      </c>
      <c r="G12" s="3004" t="s">
        <v>2813</v>
      </c>
      <c r="H12" s="3004" t="s">
        <v>2795</v>
      </c>
      <c r="I12" s="3005" t="s">
        <v>2814</v>
      </c>
      <c r="J12" s="3005" t="s">
        <v>2814</v>
      </c>
      <c r="K12" s="3001"/>
      <c r="L12" s="3002"/>
      <c r="M12" s="3003"/>
      <c r="N12" s="3002"/>
      <c r="O12" s="3005" t="s">
        <v>2815</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2816</v>
      </c>
      <c r="C13" s="3009">
        <v>42301</v>
      </c>
      <c r="D13" s="3010">
        <v>4.3499999999999996</v>
      </c>
      <c r="E13" s="3010">
        <v>4.3499999999999996</v>
      </c>
      <c r="F13" s="3010">
        <v>4.75</v>
      </c>
      <c r="G13" s="3010">
        <v>4.75</v>
      </c>
      <c r="H13" s="3010">
        <v>4.9000000000000004</v>
      </c>
      <c r="I13" s="3010">
        <v>2.75</v>
      </c>
      <c r="J13" s="3010">
        <v>3.25</v>
      </c>
      <c r="K13" s="3007"/>
      <c r="L13" s="3008" t="s">
        <v>2816</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2817</v>
      </c>
      <c r="Y42" s="3014" t="s">
        <v>2817</v>
      </c>
      <c r="Z42" s="3014" t="s">
        <v>2817</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2817</v>
      </c>
      <c r="Y43" s="3014" t="s">
        <v>2817</v>
      </c>
      <c r="Z43" s="3014" t="s">
        <v>2817</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2817</v>
      </c>
      <c r="Y44" s="3014" t="s">
        <v>2817</v>
      </c>
      <c r="Z44" s="3014" t="s">
        <v>2817</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2817</v>
      </c>
      <c r="Y45" s="3014" t="s">
        <v>2817</v>
      </c>
      <c r="Z45" s="3014" t="s">
        <v>2817</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2817</v>
      </c>
      <c r="Y46" s="3014" t="s">
        <v>2817</v>
      </c>
      <c r="Z46" s="3014" t="s">
        <v>2817</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2817</v>
      </c>
      <c r="Y47" s="3014" t="s">
        <v>2817</v>
      </c>
      <c r="Z47" s="3014" t="s">
        <v>2817</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2817</v>
      </c>
      <c r="Y48" s="3014" t="s">
        <v>2817</v>
      </c>
      <c r="Z48" s="3014" t="s">
        <v>2817</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2817</v>
      </c>
      <c r="Y49" s="3014" t="s">
        <v>2817</v>
      </c>
      <c r="Z49" s="3014" t="s">
        <v>2817</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2817</v>
      </c>
      <c r="Y50" s="3014" t="s">
        <v>2817</v>
      </c>
      <c r="Z50" s="3014" t="s">
        <v>2817</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2817</v>
      </c>
      <c r="V51" s="3014" t="s">
        <v>2817</v>
      </c>
      <c r="W51" s="3014" t="s">
        <v>2817</v>
      </c>
      <c r="X51" s="3014" t="s">
        <v>2817</v>
      </c>
      <c r="Y51" s="3014" t="s">
        <v>2817</v>
      </c>
      <c r="Z51" s="3014" t="s">
        <v>2817</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2817</v>
      </c>
      <c r="J55" s="3014" t="s">
        <v>2817</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20"/>
  <sheetViews>
    <sheetView workbookViewId="0">
      <selection activeCell="E20" sqref="B15:E20"/>
    </sheetView>
  </sheetViews>
  <sheetFormatPr defaultRowHeight="13.5"/>
  <cols>
    <col min="4" max="4" width="11.125" customWidth="1"/>
    <col min="5" max="5" width="11.75" customWidth="1"/>
  </cols>
  <sheetData>
    <row r="4" spans="2:6">
      <c r="B4" s="3849" t="s">
        <v>3787</v>
      </c>
      <c r="C4" s="3849"/>
      <c r="D4" s="3849"/>
      <c r="E4">
        <f>E5+E10</f>
        <v>110213.68</v>
      </c>
    </row>
    <row r="5" spans="2:6">
      <c r="B5" s="3539" t="s">
        <v>3780</v>
      </c>
      <c r="C5" s="3849" t="s">
        <v>3779</v>
      </c>
      <c r="D5" s="3849"/>
      <c r="E5">
        <f>SUM(E6:E9)</f>
        <v>84515.4</v>
      </c>
    </row>
    <row r="6" spans="2:6">
      <c r="C6" s="3849" t="s">
        <v>3780</v>
      </c>
      <c r="D6" s="3539" t="s">
        <v>3781</v>
      </c>
      <c r="E6">
        <f>76064.4-E9</f>
        <v>72261.399999999994</v>
      </c>
    </row>
    <row r="7" spans="2:6">
      <c r="C7" s="3849"/>
      <c r="D7" s="3539" t="s">
        <v>3782</v>
      </c>
      <c r="E7">
        <v>6961</v>
      </c>
    </row>
    <row r="8" spans="2:6">
      <c r="C8" s="3849"/>
      <c r="D8" s="3539" t="s">
        <v>3783</v>
      </c>
      <c r="E8">
        <v>1490</v>
      </c>
    </row>
    <row r="9" spans="2:6">
      <c r="C9" s="3849"/>
      <c r="D9" s="3539" t="s">
        <v>3786</v>
      </c>
      <c r="E9">
        <v>3803</v>
      </c>
    </row>
    <row r="10" spans="2:6">
      <c r="C10" s="3849" t="s">
        <v>3784</v>
      </c>
      <c r="D10" s="3849"/>
      <c r="E10">
        <f>SUM(E11:E12)</f>
        <v>25698.28</v>
      </c>
    </row>
    <row r="11" spans="2:6">
      <c r="C11" s="3539" t="s">
        <v>3780</v>
      </c>
      <c r="D11" s="3539" t="s">
        <v>3785</v>
      </c>
      <c r="E11">
        <f>29482.32-F12</f>
        <v>25698.28</v>
      </c>
    </row>
    <row r="12" spans="2:6">
      <c r="D12" s="3539"/>
      <c r="F12">
        <v>3784.04</v>
      </c>
    </row>
    <row r="15" spans="2:6" ht="27" customHeight="1">
      <c r="B15" s="3850" t="s">
        <v>3792</v>
      </c>
      <c r="C15" s="3850"/>
      <c r="D15" s="3850"/>
      <c r="E15">
        <f>E19+E20</f>
        <v>113800</v>
      </c>
    </row>
    <row r="16" spans="2:6">
      <c r="B16" s="3849" t="s">
        <v>3799</v>
      </c>
      <c r="C16" s="3849" t="s">
        <v>3793</v>
      </c>
      <c r="D16" s="3539" t="s">
        <v>3794</v>
      </c>
      <c r="E16">
        <v>76060</v>
      </c>
    </row>
    <row r="17" spans="2:5">
      <c r="B17" s="3849"/>
      <c r="C17" s="3849"/>
      <c r="D17" s="3539" t="s">
        <v>3795</v>
      </c>
      <c r="E17">
        <v>6766</v>
      </c>
    </row>
    <row r="18" spans="2:5">
      <c r="B18" s="3849"/>
      <c r="C18" s="3849"/>
      <c r="D18" s="3539" t="s">
        <v>3796</v>
      </c>
      <c r="E18">
        <v>1490</v>
      </c>
    </row>
    <row r="19" spans="2:5">
      <c r="B19" s="3849"/>
      <c r="C19" s="3849"/>
      <c r="D19" s="3539" t="s">
        <v>3798</v>
      </c>
      <c r="E19">
        <f>SUM(E16:E18)</f>
        <v>84316</v>
      </c>
    </row>
    <row r="20" spans="2:5">
      <c r="B20" s="3849"/>
      <c r="C20" s="3849" t="s">
        <v>3797</v>
      </c>
      <c r="D20" s="3849"/>
      <c r="E20">
        <v>29484</v>
      </c>
    </row>
  </sheetData>
  <mergeCells count="8">
    <mergeCell ref="B16:B20"/>
    <mergeCell ref="C16:C19"/>
    <mergeCell ref="C20:D20"/>
    <mergeCell ref="C6:C9"/>
    <mergeCell ref="C5:D5"/>
    <mergeCell ref="B4:D4"/>
    <mergeCell ref="C10:D10"/>
    <mergeCell ref="B15:D15"/>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五矿国际信托有限公司：</v>
      </c>
    </row>
    <row r="4" spans="1:4" ht="56.25">
      <c r="A4" s="1790" t="str">
        <f>"受贵公司委托，我公司对"&amp;项目基本情况!K2&amp;项目基本情况!B9&amp;"进行了预评估。"</f>
        <v>受贵公司委托，我公司对陕西省西安市未央区凤城一路以南、百寰国际项目用地以北、先锋南北二路以西出让国有建设用地使用权市场价格进行了预评估。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西安迪雅置业有限公司使用的、位于陕西省西安市未央区凤城一路以南、百寰国际项目用地以北、先锋南北二路以西出让国有建设用地使用权。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113800平方米。</v>
      </c>
    </row>
    <row r="7" spans="1:4" ht="93.75">
      <c r="A7" s="2897" t="s">
        <v>2747</v>
      </c>
    </row>
    <row r="8" spans="1:4" ht="18.75">
      <c r="A8" s="1793" t="s">
        <v>1907</v>
      </c>
    </row>
    <row r="9" spans="1:4" ht="112.5">
      <c r="A9" s="1795" t="str">
        <f>IF(项目基本情况!B8="抵押",IF(项目基本情况!B5=项目基本情况!B6,定义!C51,定义!B51),定义!D51)</f>
        <v>西安迪雅置业有限公司拟使用陕西省西安市未央区凤城一路以南、百寰国际项目用地以北、先锋南北二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2018年2月28日（评估专业人员勘察现场之日）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根据《西安市规划局规划条件书（曲2018-1）》，本次评估估价对象证载（地类）用途为二类居住用地。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113800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99" t="s">
        <v>2748</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及地下车库，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53" t="s">
        <v>2038</v>
      </c>
      <c r="B1" s="3553"/>
      <c r="C1" s="3553"/>
      <c r="D1" s="3553"/>
      <c r="E1" s="3553"/>
      <c r="F1" s="3553"/>
      <c r="G1" s="3553"/>
      <c r="H1" s="3553"/>
      <c r="I1" s="3553"/>
      <c r="J1" s="3553"/>
      <c r="K1" s="3553"/>
      <c r="L1" s="3553"/>
      <c r="M1" s="3553"/>
      <c r="N1" s="3553"/>
      <c r="O1" s="3553"/>
      <c r="P1" s="3553"/>
      <c r="Q1" s="3553"/>
      <c r="R1" s="3553"/>
    </row>
    <row r="2" spans="1:18">
      <c r="A2" s="1806" t="s">
        <v>2040</v>
      </c>
      <c r="B2" s="1806"/>
      <c r="C2" s="1806"/>
      <c r="D2" s="1806"/>
      <c r="E2" s="1806"/>
      <c r="F2" s="1806"/>
      <c r="G2" s="1806"/>
      <c r="H2" s="1806"/>
      <c r="I2" s="1807"/>
      <c r="J2" s="1807"/>
      <c r="K2" s="1808" t="str">
        <f>"估价期日："&amp;TEXT(项目基本情况!D3,"yyyy年m月d日;;")</f>
        <v>估价期日：2018年2月28日</v>
      </c>
      <c r="L2" s="1806"/>
      <c r="M2" s="1806"/>
      <c r="N2" s="1806"/>
      <c r="O2" s="1806"/>
      <c r="P2" s="1806"/>
      <c r="Q2" s="1806"/>
      <c r="R2" s="1808" t="str">
        <f>"估价期日的国有建设用地使用权性质："&amp;项目基本情况!B16</f>
        <v>估价期日的国有建设用地使用权性质：出让</v>
      </c>
    </row>
    <row r="3" spans="1:18" ht="23.25" customHeight="1">
      <c r="A3" s="3554" t="s">
        <v>2029</v>
      </c>
      <c r="B3" s="3554" t="s">
        <v>2730</v>
      </c>
      <c r="C3" s="3555" t="s">
        <v>2030</v>
      </c>
      <c r="D3" s="3554" t="s">
        <v>2734</v>
      </c>
      <c r="E3" s="3549" t="s">
        <v>2031</v>
      </c>
      <c r="F3" s="3549"/>
      <c r="G3" s="3549"/>
      <c r="H3" s="3549" t="s">
        <v>2032</v>
      </c>
      <c r="I3" s="3549"/>
      <c r="J3" s="3549"/>
      <c r="K3" s="3555" t="s">
        <v>2033</v>
      </c>
      <c r="L3" s="3555" t="s">
        <v>2034</v>
      </c>
      <c r="M3" s="3554" t="s">
        <v>2731</v>
      </c>
      <c r="N3" s="3556" t="str">
        <f>"（分摊）"&amp;项目基本情况!B16&amp;"国有建设用地使用权面积/㎡"</f>
        <v>（分摊）出让国有建设用地使用权面积/㎡</v>
      </c>
      <c r="O3" s="3554" t="s">
        <v>2063</v>
      </c>
      <c r="P3" s="3555" t="s">
        <v>2043</v>
      </c>
      <c r="Q3" s="3555" t="s">
        <v>2064</v>
      </c>
      <c r="R3" s="3555" t="s">
        <v>2035</v>
      </c>
    </row>
    <row r="4" spans="1:18" ht="36.75" customHeight="1">
      <c r="A4" s="3554"/>
      <c r="B4" s="3554"/>
      <c r="C4" s="3555"/>
      <c r="D4" s="3554"/>
      <c r="E4" s="2673" t="s">
        <v>2042</v>
      </c>
      <c r="F4" s="2673" t="s">
        <v>2743</v>
      </c>
      <c r="G4" s="2673" t="s">
        <v>2036</v>
      </c>
      <c r="H4" s="2673" t="s">
        <v>2037</v>
      </c>
      <c r="I4" s="2673" t="s">
        <v>2744</v>
      </c>
      <c r="J4" s="2673" t="s">
        <v>2036</v>
      </c>
      <c r="K4" s="3555"/>
      <c r="L4" s="3555"/>
      <c r="M4" s="3554"/>
      <c r="N4" s="3556"/>
      <c r="O4" s="3554"/>
      <c r="P4" s="3555"/>
      <c r="Q4" s="3555"/>
      <c r="R4" s="3555"/>
    </row>
    <row r="5" spans="1:18" ht="135" customHeight="1">
      <c r="A5" s="1942" t="s">
        <v>2654</v>
      </c>
      <c r="B5" s="2891" t="s">
        <v>2652</v>
      </c>
      <c r="C5" s="2672">
        <v>22</v>
      </c>
      <c r="D5" s="2671" t="s">
        <v>2653</v>
      </c>
      <c r="E5" s="1809" t="str">
        <f>项目基本情况!B12</f>
        <v>二类居住用地</v>
      </c>
      <c r="F5" s="2671">
        <v>258</v>
      </c>
      <c r="G5" s="1809" t="str">
        <f>项目基本情况!B13</f>
        <v>住宅、商业及地下车库</v>
      </c>
      <c r="H5" s="2671">
        <v>1.5</v>
      </c>
      <c r="I5" s="2671">
        <v>1.5</v>
      </c>
      <c r="J5" s="2671">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28172.14</v>
      </c>
      <c r="O5" s="1809">
        <f>项目基本情况!C21</f>
        <v>113800</v>
      </c>
      <c r="P5" s="1809">
        <f ca="1">结果表!E42</f>
        <v>23664</v>
      </c>
      <c r="Q5" s="1809">
        <f ca="1">结果表!D42</f>
        <v>5858</v>
      </c>
      <c r="R5" s="1810">
        <f ca="1">结果表!C42</f>
        <v>66666</v>
      </c>
    </row>
    <row r="6" spans="1:18">
      <c r="A6" s="3550" t="str">
        <f>IF(项目基本情况!B9="市场价格","——","抵押价格")</f>
        <v>——</v>
      </c>
      <c r="B6" s="3551"/>
      <c r="C6" s="3551"/>
      <c r="D6" s="3551"/>
      <c r="E6" s="3551"/>
      <c r="F6" s="3551"/>
      <c r="G6" s="3551"/>
      <c r="H6" s="3551"/>
      <c r="I6" s="3551"/>
      <c r="J6" s="3551"/>
      <c r="K6" s="3551"/>
      <c r="L6" s="3551"/>
      <c r="M6" s="3551"/>
      <c r="N6" s="3551"/>
      <c r="O6" s="3551"/>
      <c r="P6" s="3551"/>
      <c r="Q6" s="3552"/>
      <c r="R6" s="1811">
        <f ca="1">结果表!O39</f>
        <v>65259</v>
      </c>
    </row>
    <row r="7" spans="1:18">
      <c r="A7" s="3550" t="str">
        <f>IF(项目基本情况!B9="市场价格","——",IF(项目基本情况!E8="已注销及未注销","抵押担保权已注销时的抵押价格","——"))</f>
        <v>——</v>
      </c>
      <c r="B7" s="3551"/>
      <c r="C7" s="3551"/>
      <c r="D7" s="3551"/>
      <c r="E7" s="3551"/>
      <c r="F7" s="3551"/>
      <c r="G7" s="3551"/>
      <c r="H7" s="3551"/>
      <c r="I7" s="3551"/>
      <c r="J7" s="3551"/>
      <c r="K7" s="3551"/>
      <c r="L7" s="3551"/>
      <c r="M7" s="3551"/>
      <c r="N7" s="3551"/>
      <c r="O7" s="3551"/>
      <c r="P7" s="3551"/>
      <c r="Q7" s="3552"/>
      <c r="R7" s="1811" t="str">
        <f>结果表!O40</f>
        <v>——</v>
      </c>
    </row>
    <row r="8" spans="1:18">
      <c r="A8" s="3550" t="str">
        <f>IF(项目基本情况!B9="市场价格","——",项目基本情况!E9)</f>
        <v>——</v>
      </c>
      <c r="B8" s="3551"/>
      <c r="C8" s="3551"/>
      <c r="D8" s="3551"/>
      <c r="E8" s="3551"/>
      <c r="F8" s="3551"/>
      <c r="G8" s="3551"/>
      <c r="H8" s="3551"/>
      <c r="I8" s="3551"/>
      <c r="J8" s="3551"/>
      <c r="K8" s="3551"/>
      <c r="L8" s="3551"/>
      <c r="M8" s="3551"/>
      <c r="N8" s="3551"/>
      <c r="O8" s="3551"/>
      <c r="P8" s="3551"/>
      <c r="Q8" s="3552"/>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557" t="s">
        <v>2065</v>
      </c>
      <c r="B1" s="3557"/>
      <c r="C1" s="3557"/>
      <c r="D1" s="3557"/>
    </row>
    <row r="2" spans="1:4" ht="47.25" customHeight="1">
      <c r="A2" s="3561" t="str">
        <f>"1.权利限制："&amp;项目基本情况!L24&amp;"未设定租赁等其他他项权利。"</f>
        <v>1.权利限制：根据估价对象————，截至估价期日，估价对象抵押权未见登记。未设定租赁等其他他项权利。</v>
      </c>
      <c r="B2" s="3561"/>
      <c r="C2" s="3561"/>
      <c r="D2" s="3561"/>
    </row>
    <row r="3" spans="1:4" ht="48" customHeight="1">
      <c r="A3" s="355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57"/>
      <c r="C3" s="3557"/>
      <c r="D3" s="3557"/>
    </row>
    <row r="4" spans="1:4" ht="36.75" customHeight="1">
      <c r="A4" s="3557" t="str">
        <f>"3.估价规划限制条件：详见"&amp;项目基本情况!E21&amp;"。"</f>
        <v>3.估价规划限制条件：详见《西安凤城一路住宅小区项目综合用地技术经济指标表》、《西安市规划局规划条件书（曲2018-1）》。</v>
      </c>
      <c r="B4" s="3557"/>
      <c r="C4" s="3557"/>
      <c r="D4" s="3557"/>
    </row>
    <row r="5" spans="1:4">
      <c r="A5" s="3560" t="s">
        <v>2066</v>
      </c>
      <c r="B5" s="3560"/>
      <c r="C5" s="3560"/>
      <c r="D5" s="3560"/>
    </row>
    <row r="6" spans="1:4">
      <c r="A6" s="3557" t="s">
        <v>2044</v>
      </c>
      <c r="B6" s="3557"/>
      <c r="C6" s="3557"/>
      <c r="D6" s="3557"/>
    </row>
    <row r="7" spans="1:4" ht="33" customHeight="1">
      <c r="A7" s="3557" t="s">
        <v>2575</v>
      </c>
      <c r="B7" s="3557"/>
      <c r="C7" s="3557"/>
      <c r="D7" s="3557"/>
    </row>
    <row r="8" spans="1:4" ht="32.25" customHeight="1">
      <c r="A8" s="35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7"/>
      <c r="C8" s="3557"/>
      <c r="D8" s="3557"/>
    </row>
    <row r="9" spans="1:4" ht="33.75" customHeight="1">
      <c r="A9" s="35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7"/>
      <c r="C9" s="3557"/>
      <c r="D9" s="3557"/>
    </row>
    <row r="10" spans="1:4">
      <c r="A10" s="3557" t="str">
        <f>IF(项目基本情况!B8="抵押","4.估价师所知悉的法定优先受偿款情况为：","——")</f>
        <v>4.估价师所知悉的法定优先受偿款情况为：</v>
      </c>
      <c r="B10" s="3557"/>
      <c r="C10" s="3557"/>
      <c r="D10" s="3557"/>
    </row>
    <row r="11" spans="1:4" ht="37.5" customHeight="1">
      <c r="A11" s="3559"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59"/>
      <c r="C11" s="3559"/>
      <c r="D11" s="3559"/>
    </row>
    <row r="12" spans="1:4" ht="168" customHeight="1">
      <c r="A12" s="3560" t="s">
        <v>2068</v>
      </c>
      <c r="B12" s="3560"/>
      <c r="C12" s="3560"/>
      <c r="D12" s="3560"/>
    </row>
    <row r="13" spans="1:4">
      <c r="A13" s="3558" t="s">
        <v>2745</v>
      </c>
      <c r="B13" s="3558"/>
      <c r="C13" s="3558"/>
      <c r="D13" s="3558"/>
    </row>
    <row r="14" spans="1:4">
      <c r="A14" s="3559" t="str">
        <f>IF(项目基本情况!B8="抵押","综上，"&amp;结果表!K47,"——")</f>
        <v>综上，本次评估估价师知悉的法定优先受偿款为人民币1407万元整。</v>
      </c>
      <c r="B14" s="3559"/>
      <c r="C14" s="3559"/>
      <c r="D14" s="3559"/>
    </row>
    <row r="15" spans="1:4" ht="58.5" customHeight="1">
      <c r="A15" s="35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7"/>
      <c r="C15" s="3557"/>
      <c r="D15" s="3557"/>
    </row>
    <row r="16" spans="1:4" ht="70.5" customHeight="1">
      <c r="A16" s="35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7"/>
      <c r="C16" s="3557"/>
      <c r="D16" s="3557"/>
    </row>
    <row r="17" spans="1:4">
      <c r="A17" s="3557" t="s">
        <v>2701</v>
      </c>
      <c r="B17" s="3557"/>
      <c r="C17" s="3557"/>
      <c r="D17" s="3557"/>
    </row>
    <row r="18" spans="1:4">
      <c r="A18" s="3557" t="s">
        <v>2693</v>
      </c>
      <c r="B18" s="3557"/>
      <c r="C18" s="3557"/>
      <c r="D18" s="3557"/>
    </row>
    <row r="19" spans="1:4">
      <c r="A19" s="2892" t="s">
        <v>2694</v>
      </c>
      <c r="B19" s="2892" t="s">
        <v>2695</v>
      </c>
      <c r="C19" s="2892" t="s">
        <v>2696</v>
      </c>
      <c r="D19" s="2892" t="s">
        <v>2697</v>
      </c>
    </row>
    <row r="20" spans="1:4">
      <c r="A20" s="2892" t="str">
        <f>项目基本情况!B4</f>
        <v>王鹏</v>
      </c>
      <c r="B20" s="2892">
        <f ca="1">项目基本情况!C4</f>
        <v>2002110030</v>
      </c>
      <c r="C20" s="2894"/>
      <c r="D20" s="1799" t="s">
        <v>2702</v>
      </c>
    </row>
    <row r="21" spans="1:4">
      <c r="A21" s="2892" t="str">
        <f>项目基本情况!D4</f>
        <v>郑燚</v>
      </c>
      <c r="B21" s="2892">
        <f>项目基本情况!E4</f>
        <v>2014110011</v>
      </c>
      <c r="C21" s="2894"/>
      <c r="D21" s="1799" t="s">
        <v>2703</v>
      </c>
    </row>
    <row r="23" spans="1:4">
      <c r="A23" s="3557" t="s">
        <v>2698</v>
      </c>
      <c r="B23" s="3557"/>
      <c r="C23" s="3557"/>
      <c r="D23" s="3557"/>
    </row>
    <row r="24" spans="1:4">
      <c r="A24" s="2892" t="s">
        <v>2694</v>
      </c>
      <c r="B24" s="2892" t="s">
        <v>2699</v>
      </c>
      <c r="C24" s="2892" t="s">
        <v>2696</v>
      </c>
      <c r="D24" s="2892" t="s">
        <v>2697</v>
      </c>
    </row>
    <row r="25" spans="1:4">
      <c r="A25" s="2895" t="s">
        <v>2700</v>
      </c>
      <c r="B25" s="2892" t="s">
        <v>952</v>
      </c>
      <c r="C25" s="2894"/>
      <c r="D25" s="1799" t="s">
        <v>2703</v>
      </c>
    </row>
    <row r="29" spans="1:4">
      <c r="D29" s="2893" t="s">
        <v>2039</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569" t="s">
        <v>53</v>
      </c>
      <c r="B15" s="3570" t="s">
        <v>846</v>
      </c>
      <c r="C15" s="3566"/>
    </row>
    <row r="16" spans="1:7" ht="14.25">
      <c r="A16" s="3569"/>
      <c r="B16" s="3567" t="s">
        <v>54</v>
      </c>
      <c r="C16" s="1171" t="s">
        <v>53</v>
      </c>
    </row>
    <row r="17" spans="1:3" ht="14.25">
      <c r="A17" s="3569"/>
      <c r="B17" s="3567"/>
      <c r="C17" s="1171" t="s">
        <v>55</v>
      </c>
    </row>
    <row r="18" spans="1:3" ht="14.25">
      <c r="A18" s="3569"/>
      <c r="B18" s="3567"/>
      <c r="C18" s="1171" t="s">
        <v>56</v>
      </c>
    </row>
    <row r="19" spans="1:3" ht="14.25">
      <c r="A19" s="3569"/>
      <c r="B19" s="3565" t="s">
        <v>57</v>
      </c>
      <c r="C19" s="3566"/>
    </row>
    <row r="20" spans="1:3" ht="14.25">
      <c r="A20" s="1172" t="s">
        <v>58</v>
      </c>
      <c r="B20" s="1173"/>
      <c r="C20" s="1174"/>
    </row>
    <row r="21" spans="1:3" ht="14.25">
      <c r="A21" s="3568" t="s">
        <v>59</v>
      </c>
      <c r="B21" s="3565" t="s">
        <v>60</v>
      </c>
      <c r="C21" s="3566"/>
    </row>
    <row r="22" spans="1:3" ht="14.25">
      <c r="A22" s="3568"/>
      <c r="B22" s="3565" t="s">
        <v>61</v>
      </c>
      <c r="C22" s="3566"/>
    </row>
    <row r="23" spans="1:3" ht="14.25">
      <c r="A23" s="3568"/>
      <c r="B23" s="3565" t="s">
        <v>62</v>
      </c>
      <c r="C23" s="3566"/>
    </row>
    <row r="24" spans="1:3" ht="14.25">
      <c r="A24" s="3568"/>
      <c r="B24" s="3571" t="s">
        <v>63</v>
      </c>
      <c r="C24" s="1175" t="s">
        <v>837</v>
      </c>
    </row>
    <row r="25" spans="1:3" ht="14.25">
      <c r="A25" s="3568"/>
      <c r="B25" s="3572"/>
      <c r="C25" s="1175" t="s">
        <v>838</v>
      </c>
    </row>
    <row r="26" spans="1:3" ht="14.25">
      <c r="A26" s="3568"/>
      <c r="B26" s="3572"/>
      <c r="C26" s="1175" t="s">
        <v>839</v>
      </c>
    </row>
    <row r="27" spans="1:3" ht="14.25">
      <c r="A27" s="3568"/>
      <c r="B27" s="3572"/>
      <c r="C27" s="1175" t="s">
        <v>840</v>
      </c>
    </row>
    <row r="28" spans="1:3" ht="14.25">
      <c r="A28" s="3568"/>
      <c r="B28" s="3572"/>
      <c r="C28" s="1175" t="s">
        <v>841</v>
      </c>
    </row>
    <row r="29" spans="1:3" ht="14.25">
      <c r="A29" s="3568"/>
      <c r="B29" s="3572"/>
      <c r="C29" s="1175" t="s">
        <v>842</v>
      </c>
    </row>
    <row r="30" spans="1:3" ht="14.25">
      <c r="A30" s="3568"/>
      <c r="B30" s="3572"/>
      <c r="C30" s="1175" t="s">
        <v>843</v>
      </c>
    </row>
    <row r="31" spans="1:3" ht="14.25">
      <c r="A31" s="3568"/>
      <c r="B31" s="3572"/>
      <c r="C31" s="1175" t="s">
        <v>844</v>
      </c>
    </row>
    <row r="32" spans="1:3" ht="14.25">
      <c r="A32" s="3568"/>
      <c r="B32" s="3572"/>
      <c r="C32" s="1175" t="s">
        <v>1647</v>
      </c>
    </row>
    <row r="33" spans="1:3" ht="14.25">
      <c r="A33" s="3568"/>
      <c r="B33" s="3562" t="s">
        <v>1653</v>
      </c>
      <c r="C33" s="1175" t="s">
        <v>1648</v>
      </c>
    </row>
    <row r="34" spans="1:3" ht="14.25">
      <c r="A34" s="3568"/>
      <c r="B34" s="3563"/>
      <c r="C34" s="1180" t="s">
        <v>1649</v>
      </c>
    </row>
    <row r="35" spans="1:3" ht="14.25">
      <c r="A35" s="3568"/>
      <c r="B35" s="3563"/>
      <c r="C35" s="1181" t="s">
        <v>1650</v>
      </c>
    </row>
    <row r="36" spans="1:3" ht="14.25">
      <c r="A36" s="3568"/>
      <c r="B36" s="3563"/>
      <c r="C36" s="1181" t="s">
        <v>1651</v>
      </c>
    </row>
    <row r="37" spans="1:3" ht="14.25">
      <c r="A37" s="3568"/>
      <c r="B37" s="3564"/>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M10" sqref="M10"/>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43168</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30">
        <v>43849</v>
      </c>
      <c r="D4" s="2342" t="s">
        <v>1915</v>
      </c>
      <c r="E4" s="2342">
        <f ca="1">IF(F4&lt;B2,"已过期",96010014)</f>
        <v>96010014</v>
      </c>
      <c r="F4" s="3031">
        <v>47118</v>
      </c>
    </row>
    <row r="5" spans="1:6" ht="20.25" customHeight="1">
      <c r="A5" s="2342" t="s">
        <v>1916</v>
      </c>
      <c r="B5" s="2342">
        <f ca="1">IF(C5&lt;B2,"已过期",1119970074)</f>
        <v>1119970074</v>
      </c>
      <c r="C5" s="3030">
        <v>43849</v>
      </c>
      <c r="D5" s="2342" t="s">
        <v>1916</v>
      </c>
      <c r="E5" s="2342">
        <f ca="1">IF(F5&lt;B2,"已过期",2002110027)</f>
        <v>2002110027</v>
      </c>
      <c r="F5" s="3031">
        <v>46752</v>
      </c>
    </row>
    <row r="6" spans="1:6" ht="20.25" customHeight="1">
      <c r="A6" s="2342" t="s">
        <v>1917</v>
      </c>
      <c r="B6" s="2342">
        <f ca="1">IF(C6&lt;B2,"已过期",1119970111)</f>
        <v>1119970111</v>
      </c>
      <c r="C6" s="3030">
        <v>43849</v>
      </c>
      <c r="D6" s="2342" t="s">
        <v>1917</v>
      </c>
      <c r="E6" s="2342">
        <f ca="1">IF(F6&lt;B2,"已过期",94010078)</f>
        <v>94010078</v>
      </c>
      <c r="F6" s="3031">
        <v>46387</v>
      </c>
    </row>
    <row r="7" spans="1:6" ht="20.25" customHeight="1">
      <c r="A7" s="2342" t="s">
        <v>1918</v>
      </c>
      <c r="B7" s="2342">
        <f ca="1">IF(C7&lt;B2,"已过期",1120050019)</f>
        <v>1120050019</v>
      </c>
      <c r="C7" s="3030">
        <v>43359</v>
      </c>
      <c r="D7" s="2342" t="s">
        <v>1918</v>
      </c>
      <c r="E7" s="2342">
        <f ca="1">IF(F7&lt;B2,"已过期",2002110030)</f>
        <v>2002110030</v>
      </c>
      <c r="F7" s="3031">
        <v>46387</v>
      </c>
    </row>
    <row r="8" spans="1:6" ht="20.25" customHeight="1">
      <c r="A8" s="2342" t="s">
        <v>1919</v>
      </c>
      <c r="B8" s="2342">
        <f ca="1">IF(C8&lt;B2,"已过期",1120000080)</f>
        <v>1120000080</v>
      </c>
      <c r="C8" s="3030">
        <v>43849</v>
      </c>
      <c r="D8" s="2342" t="s">
        <v>1919</v>
      </c>
      <c r="E8" s="2342">
        <f ca="1">IF(F8&lt;B2,"已过期",2000110082)</f>
        <v>2000110082</v>
      </c>
      <c r="F8" s="3031">
        <v>46387</v>
      </c>
    </row>
    <row r="9" spans="1:6" ht="20.25" customHeight="1">
      <c r="A9" s="2342" t="s">
        <v>1920</v>
      </c>
      <c r="B9" s="2342">
        <f ca="1">IF(C9&lt;B2,"已过期",1419970001)</f>
        <v>1419970001</v>
      </c>
      <c r="C9" s="3030">
        <v>43867</v>
      </c>
      <c r="D9" s="2342" t="s">
        <v>1920</v>
      </c>
      <c r="E9" s="2342">
        <f ca="1">IF(F9&lt;B2,"已过期",2002110125)</f>
        <v>2002110125</v>
      </c>
      <c r="F9" s="3031">
        <v>47118</v>
      </c>
    </row>
    <row r="10" spans="1:6" ht="20.25" customHeight="1">
      <c r="A10" s="2342" t="s">
        <v>1921</v>
      </c>
      <c r="B10" s="2342">
        <f ca="1">IF(C10&lt;B2,"已过期",1120060040)</f>
        <v>1120060040</v>
      </c>
      <c r="C10" s="3030">
        <v>43483</v>
      </c>
      <c r="D10" s="2342" t="s">
        <v>1921</v>
      </c>
      <c r="E10" s="2342">
        <f ca="1">IF(F10&lt;B2,"已过期",2004110096)</f>
        <v>2004110096</v>
      </c>
      <c r="F10" s="3031">
        <v>47118</v>
      </c>
    </row>
    <row r="11" spans="1:6" ht="20.25" customHeight="1">
      <c r="A11" s="2342" t="s">
        <v>1922</v>
      </c>
      <c r="B11" s="2342">
        <f ca="1">IF(C11&lt;B2,"已过期",1120100036)</f>
        <v>1120100036</v>
      </c>
      <c r="C11" s="3030">
        <v>43622</v>
      </c>
      <c r="D11" s="2342" t="s">
        <v>1922</v>
      </c>
      <c r="E11" s="2342">
        <f ca="1">IF(F11&lt;B2,"已过期",2010110070)</f>
        <v>2010110070</v>
      </c>
      <c r="F11" s="3031">
        <v>47907</v>
      </c>
    </row>
    <row r="12" spans="1:6" ht="20.25" customHeight="1">
      <c r="A12" s="2342"/>
      <c r="B12" s="2342"/>
      <c r="C12" s="3030"/>
      <c r="D12" s="2342"/>
      <c r="E12" s="2342"/>
      <c r="F12" s="2342"/>
    </row>
    <row r="13" spans="1:6" ht="20.25" customHeight="1">
      <c r="A13" s="2342" t="s">
        <v>1923</v>
      </c>
      <c r="B13" s="2342">
        <f ca="1">IF(C13&lt;B2,"已过期",1120070131)</f>
        <v>1120070131</v>
      </c>
      <c r="C13" s="3030">
        <v>43814</v>
      </c>
      <c r="D13" s="2342" t="s">
        <v>1923</v>
      </c>
      <c r="E13" s="2342">
        <v>2014110011</v>
      </c>
      <c r="F13" s="3031">
        <v>49302</v>
      </c>
    </row>
    <row r="14" spans="1:6" ht="20.25" customHeight="1">
      <c r="A14" s="2342" t="s">
        <v>1924</v>
      </c>
      <c r="B14" s="2342">
        <f ca="1">IF(C14&lt;B2,"已过期",1120130020)</f>
        <v>1120130020</v>
      </c>
      <c r="C14" s="3030">
        <v>43622</v>
      </c>
      <c r="D14" s="2342"/>
      <c r="E14" s="2342"/>
      <c r="F14" s="2342"/>
    </row>
    <row r="15" spans="1:6" ht="20.25" customHeight="1">
      <c r="A15" s="2342" t="s">
        <v>2574</v>
      </c>
      <c r="B15" s="2342">
        <v>1120070085</v>
      </c>
      <c r="C15" s="3030">
        <v>43814</v>
      </c>
      <c r="D15" s="2342" t="s">
        <v>2574</v>
      </c>
      <c r="E15" s="2342">
        <v>2004110128</v>
      </c>
      <c r="F15" s="3031">
        <v>47118</v>
      </c>
    </row>
    <row r="16" spans="1:6" ht="20.25" customHeight="1">
      <c r="A16" s="2342" t="s">
        <v>1925</v>
      </c>
      <c r="B16" s="2342">
        <f ca="1">IF(C16&lt;B2,"已过期",1120140022)</f>
        <v>1120140022</v>
      </c>
      <c r="C16" s="3030">
        <v>44029</v>
      </c>
      <c r="D16" s="2342" t="s">
        <v>1925</v>
      </c>
      <c r="E16" s="2342">
        <f ca="1">IF(F16&lt;B2,"已过期",2008110059)</f>
        <v>2008110059</v>
      </c>
      <c r="F16" s="3031">
        <v>47177</v>
      </c>
    </row>
    <row r="17" spans="1:7" ht="20.25" customHeight="1">
      <c r="A17" s="2342"/>
      <c r="B17" s="2342"/>
      <c r="C17" s="3030"/>
      <c r="D17" s="2342"/>
      <c r="E17" s="2342"/>
      <c r="F17" s="3031"/>
    </row>
    <row r="18" spans="1:7" ht="20.25" customHeight="1">
      <c r="A18" s="2342"/>
      <c r="B18" s="2342"/>
      <c r="C18" s="3030"/>
      <c r="D18" s="2342"/>
      <c r="E18" s="2342"/>
      <c r="F18" s="3031"/>
    </row>
    <row r="19" spans="1:7" ht="20.25" customHeight="1">
      <c r="A19" s="2342"/>
      <c r="B19" s="2342"/>
      <c r="C19" s="3030"/>
      <c r="D19" s="2342"/>
      <c r="E19" s="2342"/>
      <c r="F19" s="2342"/>
    </row>
    <row r="20" spans="1:7" ht="20.25" customHeight="1">
      <c r="A20" s="2342"/>
      <c r="B20" s="2342"/>
      <c r="C20" s="3030"/>
      <c r="D20" s="2342"/>
      <c r="E20" s="2342"/>
      <c r="F20" s="2342"/>
    </row>
    <row r="21" spans="1:7" ht="20.25" customHeight="1">
      <c r="A21" s="2342"/>
      <c r="B21" s="2342"/>
      <c r="C21" s="3030"/>
      <c r="D21" s="2342" t="s">
        <v>1926</v>
      </c>
      <c r="E21" s="2342">
        <f ca="1">IF(F21&lt;B2,"已过期",2011110090)</f>
        <v>2011110090</v>
      </c>
      <c r="F21" s="3031">
        <v>48302</v>
      </c>
    </row>
    <row r="22" spans="1:7" ht="20.25" customHeight="1">
      <c r="A22" s="2342" t="s">
        <v>1927</v>
      </c>
      <c r="B22" s="2342">
        <f ca="1">IF(C22&lt;B2,"已过期",1120020033)</f>
        <v>1120020033</v>
      </c>
      <c r="C22" s="3030">
        <v>43304</v>
      </c>
      <c r="D22" s="2342" t="s">
        <v>1927</v>
      </c>
      <c r="E22" s="2342">
        <f ca="1">IF(F22&lt;B2,"已过期",2000110137)</f>
        <v>2000110137</v>
      </c>
      <c r="F22" s="3031">
        <v>46387</v>
      </c>
    </row>
    <row r="23" spans="1:7" ht="20.25" customHeight="1">
      <c r="A23" s="2342" t="s">
        <v>1928</v>
      </c>
      <c r="B23" s="2342">
        <f ca="1">IF(C23&lt;B2,"已过期",1120130048)</f>
        <v>1120130048</v>
      </c>
      <c r="C23" s="3030">
        <v>43686</v>
      </c>
      <c r="D23" s="2342"/>
      <c r="E23" s="2342"/>
      <c r="F23" s="2342"/>
    </row>
    <row r="24" spans="1:7" s="2346" customFormat="1" ht="20.25" customHeight="1">
      <c r="A24" s="2344" t="s">
        <v>2053</v>
      </c>
      <c r="B24" s="2344" t="s">
        <v>2053</v>
      </c>
      <c r="C24" s="3030"/>
      <c r="D24" s="3032" t="s">
        <v>2053</v>
      </c>
      <c r="E24" s="2344" t="s">
        <v>2053</v>
      </c>
      <c r="F24" s="2345"/>
    </row>
    <row r="25" spans="1:7" ht="20.25" customHeight="1">
      <c r="A25" s="3573" t="s">
        <v>1929</v>
      </c>
      <c r="B25" s="3573"/>
      <c r="C25" s="3573"/>
      <c r="D25" s="3573"/>
      <c r="E25" s="3573"/>
      <c r="F25" s="3573"/>
      <c r="G25" s="3573"/>
    </row>
    <row r="26" spans="1:7" ht="20.25" customHeight="1">
      <c r="A26" s="3574" t="s">
        <v>1930</v>
      </c>
      <c r="B26" s="3574"/>
      <c r="C26" s="3574"/>
      <c r="D26" s="3574" t="s">
        <v>1931</v>
      </c>
      <c r="E26" s="3574"/>
      <c r="F26" s="3574"/>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2933</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比较法-住宅、综合（4000+）</vt:lpstr>
      <vt:lpstr>比较法-住宅、综合（6000+）</vt:lpstr>
      <vt:lpstr>土地案例</vt:lpstr>
      <vt:lpstr>Sheet2</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酒店收入计算</vt:lpstr>
      <vt:lpstr>成本逼近法</vt:lpstr>
      <vt:lpstr>Sheet3</vt:lpstr>
      <vt:lpstr>不动产收益法（地下车库）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Sheet4</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'比较法-住宅、综合（6000+）'!套工交易情况</vt:lpstr>
      <vt:lpstr>套工交易情况</vt:lpstr>
      <vt:lpstr>套工土地级别</vt:lpstr>
      <vt:lpstr>套工用途</vt:lpstr>
      <vt:lpstr>'比较法-住宅、综合（6000+）'!套综道路等级</vt:lpstr>
      <vt:lpstr>套综道路等级</vt:lpstr>
      <vt:lpstr>'比较法-住宅、综合（6000+）'!套综工程地质条件</vt:lpstr>
      <vt:lpstr>套综工程地质条件</vt:lpstr>
      <vt:lpstr>'比较法-住宅、综合（6000+）'!套综交易情况</vt:lpstr>
      <vt:lpstr>套综交易情况</vt:lpstr>
      <vt:lpstr>'比较法-住宅、综合（6000+）'!套综临街宽度及深度</vt:lpstr>
      <vt:lpstr>套综临街宽度及深度</vt:lpstr>
      <vt:lpstr>'比较法-住宅、综合（6000+）'!套综土地级别</vt:lpstr>
      <vt:lpstr>套综土地级别</vt:lpstr>
      <vt:lpstr>'比较法-住宅、综合（6000+）'!套综用途</vt:lpstr>
      <vt:lpstr>套综用途</vt:lpstr>
      <vt:lpstr>'比较法-住宅、综合（6000+）'!套综宗地内开发程度</vt:lpstr>
      <vt:lpstr>套综宗地内开发程度</vt:lpstr>
      <vt:lpstr>'比较法-住宅、综合（6000+）'!套综宗地形状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2018-03-09T04:47:38Z</dcterms:modified>
</cp:coreProperties>
</file>