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收益法" sheetId="15" state="hidden" r:id="rId21"/>
    <sheet name="成本法 (元)" sheetId="69" r:id="rId22"/>
    <sheet name="假设开发法" sheetId="12" state="hidden" r:id="rId23"/>
    <sheet name="基准地价修正" sheetId="43"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D29" i="43"/>
  <c r="F19" i="6"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G5" i="3" s="1"/>
  <c r="B3" i="3" s="1"/>
  <c r="BA13" i="3"/>
  <c r="E10" i="6"/>
  <c r="BA5" i="3"/>
  <c r="E27" i="6"/>
  <c r="K20" i="6" s="1"/>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C65"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C13" i="12" s="1"/>
  <c r="F52" i="9"/>
  <c r="F32" i="67"/>
  <c r="F60" i="67" s="1"/>
  <c r="F30" i="69"/>
  <c r="C48" i="69" s="1"/>
  <c r="F32" i="15"/>
  <c r="F60" i="15" s="1"/>
  <c r="M18" i="15"/>
  <c r="E63" i="39"/>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D63" i="40"/>
  <c r="E63" i="40" s="1"/>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F1" i="15"/>
  <c r="Q52" i="15"/>
  <c r="D65" i="40"/>
  <c r="C5" i="68"/>
  <c r="AC11" i="37"/>
  <c r="W11" i="37"/>
  <c r="W11" i="34"/>
  <c r="AC11" i="34"/>
  <c r="R7" i="1"/>
  <c r="F34" i="11"/>
  <c r="C36" i="11" s="1"/>
  <c r="F11" i="12"/>
  <c r="F34" i="68"/>
  <c r="C36" i="68" s="1"/>
  <c r="R8" i="1"/>
  <c r="AE7" i="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F36" i="67"/>
  <c r="M6" i="15"/>
  <c r="F40" i="15"/>
  <c r="E13" i="76"/>
  <c r="C76" i="15"/>
  <c r="M21" i="15"/>
  <c r="D7" i="73"/>
  <c r="L47" i="15"/>
  <c r="B11" i="76"/>
  <c r="J15" i="15"/>
  <c r="E10" i="76"/>
  <c r="D34" i="9"/>
  <c r="F8" i="67"/>
  <c r="F35" i="15"/>
  <c r="F37" i="15"/>
  <c r="B7" i="76"/>
  <c r="F13" i="15"/>
  <c r="F6" i="67"/>
  <c r="F26" i="67"/>
  <c r="F42" i="15"/>
  <c r="D3" i="73"/>
  <c r="F37" i="67"/>
  <c r="AO11" i="1"/>
  <c r="F26" i="15"/>
  <c r="AO8" i="1"/>
  <c r="D2" i="35"/>
  <c r="D4" i="73"/>
  <c r="AO9" i="1"/>
  <c r="M27" i="67"/>
  <c r="D9" i="69"/>
  <c r="F4" i="73"/>
  <c r="F7" i="73"/>
  <c r="F5" i="73"/>
  <c r="E12" i="76"/>
  <c r="D2" i="34"/>
  <c r="M29" i="15"/>
  <c r="B12" i="76"/>
  <c r="M23" i="15"/>
  <c r="F43" i="15"/>
  <c r="M27" i="15"/>
  <c r="M9" i="15"/>
  <c r="M9" i="67"/>
  <c r="E2" i="68"/>
  <c r="B9" i="76"/>
  <c r="M24" i="67"/>
  <c r="AO13" i="1"/>
  <c r="E9" i="76"/>
  <c r="F16" i="15"/>
  <c r="F40" i="67"/>
  <c r="B13" i="76"/>
  <c r="D35" i="9"/>
  <c r="M6" i="67"/>
  <c r="AO12" i="1"/>
  <c r="AO7" i="1"/>
  <c r="F6" i="73"/>
  <c r="M22" i="15"/>
  <c r="F42" i="67"/>
  <c r="AO10" i="1"/>
  <c r="C76" i="67"/>
  <c r="E11" i="76"/>
  <c r="L48" i="67"/>
  <c r="F36" i="15"/>
  <c r="D2" i="21"/>
  <c r="B8" i="76"/>
  <c r="F3" i="73"/>
  <c r="M28" i="67"/>
  <c r="D2" i="33"/>
  <c r="E8" i="76"/>
  <c r="M23" i="67"/>
  <c r="M8" i="67"/>
  <c r="M26" i="15"/>
  <c r="M26" i="67"/>
  <c r="F9" i="67"/>
  <c r="D2" i="36"/>
  <c r="M8" i="15"/>
  <c r="F41" i="15"/>
  <c r="M29" i="67"/>
  <c r="L48" i="15"/>
  <c r="F7" i="67"/>
  <c r="F38" i="15"/>
  <c r="F43" i="67"/>
  <c r="M22" i="67"/>
  <c r="D5" i="73"/>
  <c r="F7" i="15"/>
  <c r="M24" i="15"/>
  <c r="D2" i="37"/>
  <c r="M28" i="15"/>
  <c r="E2" i="69"/>
  <c r="F13" i="67"/>
  <c r="F8" i="15"/>
  <c r="F9" i="15"/>
  <c r="B10" i="76"/>
  <c r="E7" i="76"/>
  <c r="F20" i="31"/>
  <c r="F38" i="67"/>
  <c r="F6" i="15"/>
  <c r="J15" i="67"/>
  <c r="F16" i="67"/>
  <c r="L47" i="67"/>
  <c r="D6" i="73"/>
  <c r="C18" i="9" l="1"/>
  <c r="D18" i="9" s="1"/>
  <c r="C9" i="69"/>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L27" i="6"/>
  <c r="H109" i="43"/>
  <c r="K23" i="6"/>
  <c r="M23" i="6" s="1"/>
  <c r="I23" i="6" s="1"/>
  <c r="S23" i="6" s="1"/>
  <c r="H105" i="43"/>
  <c r="H106" i="43"/>
  <c r="M105" i="43"/>
  <c r="M107" i="43"/>
  <c r="M104" i="43"/>
  <c r="E105" i="43"/>
  <c r="E107" i="43"/>
  <c r="K22" i="6"/>
  <c r="M22" i="6" s="1"/>
  <c r="I22" i="6" s="1"/>
  <c r="S22" i="6" s="1"/>
  <c r="M7" i="1"/>
  <c r="O7" i="1" s="1"/>
  <c r="G16" i="1"/>
  <c r="J10" i="39" s="1"/>
  <c r="AQ7" i="1"/>
  <c r="M20" i="6"/>
  <c r="I20" i="6" s="1"/>
  <c r="S20" i="6" s="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M16" i="1"/>
  <c r="F27" i="11"/>
  <c r="F28" i="12"/>
  <c r="C29" i="12" s="1"/>
  <c r="D28" i="12" s="1"/>
  <c r="F63" i="40"/>
  <c r="E65" i="40"/>
  <c r="C30" i="69"/>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H6" i="3" s="1"/>
  <c r="E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C36" i="69"/>
  <c r="F31" i="15"/>
  <c r="M17" i="67"/>
  <c r="F31" i="67"/>
  <c r="C34" i="69"/>
  <c r="F59" i="15"/>
  <c r="G1" i="73"/>
  <c r="C14" i="15"/>
  <c r="C14" i="67"/>
  <c r="F27" i="69"/>
  <c r="C16" i="15"/>
  <c r="C16" i="67"/>
  <c r="C17" i="15"/>
  <c r="C17" i="67"/>
  <c r="F59" i="67"/>
  <c r="F10" i="39" l="1"/>
  <c r="S10" i="39" s="1"/>
  <c r="F10" i="40"/>
  <c r="S10" i="40" s="1"/>
  <c r="C47" i="69"/>
  <c r="D45" i="69" s="1"/>
  <c r="C29" i="69"/>
  <c r="D27" i="69" s="1"/>
  <c r="C38" i="69"/>
  <c r="F1" i="67"/>
  <c r="Q52" i="67"/>
  <c r="C30" i="11"/>
  <c r="C48" i="11"/>
  <c r="C30" i="68"/>
  <c r="C48" i="68"/>
  <c r="C47" i="68"/>
  <c r="D45" i="68" s="1"/>
  <c r="C35" i="69"/>
  <c r="T16" i="1"/>
  <c r="P7" i="1"/>
  <c r="P16" i="1" s="1"/>
  <c r="C11" i="12" s="1"/>
  <c r="C15" i="12" s="1"/>
  <c r="AR6" i="1"/>
  <c r="T6" i="1"/>
  <c r="S16" i="1"/>
  <c r="J10" i="40"/>
  <c r="W10" i="40" s="1"/>
  <c r="H10" i="40"/>
  <c r="H10" i="39"/>
  <c r="C15" i="15"/>
  <c r="C18" i="15"/>
  <c r="K27" i="6"/>
  <c r="M19" i="6"/>
  <c r="N16" i="1"/>
  <c r="C34" i="11"/>
  <c r="L16" i="1"/>
  <c r="C29" i="11"/>
  <c r="D27" i="11" s="1"/>
  <c r="C47" i="11"/>
  <c r="D45" i="11" s="1"/>
  <c r="E4" i="4"/>
  <c r="B5" i="62" s="1"/>
  <c r="B73" i="72" s="1"/>
  <c r="B4" i="62"/>
  <c r="B71" i="72" s="1"/>
  <c r="F7" i="35"/>
  <c r="J7" i="35"/>
  <c r="F7" i="34"/>
  <c r="J7" i="34"/>
  <c r="F7" i="21"/>
  <c r="AA10" i="39"/>
  <c r="AA10" i="40"/>
  <c r="AC10" i="40"/>
  <c r="AC10" i="39"/>
  <c r="W10" i="39"/>
  <c r="F65" i="40"/>
  <c r="G63" i="40"/>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F7" i="37"/>
  <c r="H52" i="37"/>
  <c r="I52" i="37" s="1"/>
  <c r="J52" i="37" s="1"/>
  <c r="K52" i="37" s="1"/>
  <c r="L52" i="37" s="1"/>
  <c r="M52" i="37" s="1"/>
  <c r="N52" i="37" s="1"/>
  <c r="O52" i="37" s="1"/>
  <c r="J7" i="37"/>
  <c r="F46" i="36"/>
  <c r="G46" i="36" s="1"/>
  <c r="H46" i="36" s="1"/>
  <c r="I46" i="36" s="1"/>
  <c r="J46" i="36" s="1"/>
  <c r="K46" i="36" s="1"/>
  <c r="L46" i="36" s="1"/>
  <c r="M46" i="36" s="1"/>
  <c r="N46" i="36" s="1"/>
  <c r="O46" i="36" s="1"/>
  <c r="O16" i="1"/>
  <c r="G52" i="33"/>
  <c r="H52" i="33" s="1"/>
  <c r="G53" i="33"/>
  <c r="H53" i="33" s="1"/>
  <c r="AA7" i="35"/>
  <c r="R38" i="35" s="1"/>
  <c r="S7" i="35"/>
  <c r="W7" i="35"/>
  <c r="AC7" i="35"/>
  <c r="V38" i="35" s="1"/>
  <c r="I38" i="35" s="1"/>
  <c r="S7" i="34"/>
  <c r="AA7" i="34"/>
  <c r="R49" i="34" s="1"/>
  <c r="W7" i="34"/>
  <c r="AC7" i="34"/>
  <c r="V49" i="34" s="1"/>
  <c r="I49" i="34" s="1"/>
  <c r="AB7" i="21"/>
  <c r="T48" i="21" s="1"/>
  <c r="G48" i="21" s="1"/>
  <c r="U7" i="21"/>
  <c r="S7" i="21"/>
  <c r="AA7" i="21"/>
  <c r="R48" i="21"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G20" i="43" s="1"/>
  <c r="Q60" i="15"/>
  <c r="Q73" i="15"/>
  <c r="Q74" i="15"/>
  <c r="Q61" i="15"/>
  <c r="Q61" i="67"/>
  <c r="Q74" i="67"/>
  <c r="AE6" i="1"/>
  <c r="E41" i="43" l="1"/>
  <c r="C41" i="43" s="1"/>
  <c r="C20" i="43"/>
  <c r="C19" i="15"/>
  <c r="C20" i="15" s="1"/>
  <c r="C26" i="15" s="1"/>
  <c r="U10" i="40"/>
  <c r="AB10" i="40"/>
  <c r="U10" i="39"/>
  <c r="AB10" i="39"/>
  <c r="C12" i="12"/>
  <c r="I19" i="6"/>
  <c r="M27" i="6"/>
  <c r="F50" i="69"/>
  <c r="F50" i="68"/>
  <c r="F50" i="11"/>
  <c r="C35" i="11"/>
  <c r="C38" i="11"/>
  <c r="K4" i="4"/>
  <c r="B46" i="48" s="1"/>
  <c r="B4" i="72" s="1"/>
  <c r="H7" i="36"/>
  <c r="J7" i="36"/>
  <c r="G65" i="40"/>
  <c r="H63" i="40"/>
  <c r="U7" i="36"/>
  <c r="AB7" i="36"/>
  <c r="T36" i="36" s="1"/>
  <c r="G36" i="36" s="1"/>
  <c r="R49" i="21"/>
  <c r="E48" i="2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I53" i="21"/>
  <c r="J53" i="21" s="1"/>
  <c r="AY6" i="3"/>
  <c r="E3" i="6"/>
  <c r="N50" i="71"/>
  <c r="N51" i="71"/>
  <c r="H7" i="37"/>
  <c r="D5" i="71"/>
  <c r="M20" i="43" s="1"/>
  <c r="C19" i="43" s="1"/>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I27" i="6"/>
  <c r="S19" i="6"/>
  <c r="H65" i="40"/>
  <c r="I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C33" i="11" s="1"/>
  <c r="C42"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B2" i="34" l="1"/>
  <c r="B3" i="34" s="1"/>
  <c r="I65" i="40"/>
  <c r="J63" i="40"/>
  <c r="C43" i="37"/>
  <c r="B2" i="37" s="1"/>
  <c r="B3" i="37" s="1"/>
  <c r="C42" i="37"/>
  <c r="C7" i="74"/>
  <c r="C8" i="74"/>
  <c r="C39" i="11"/>
  <c r="C43" i="11" s="1"/>
  <c r="C41" i="11" s="1"/>
  <c r="D10" i="11"/>
  <c r="C10" i="11" s="1"/>
  <c r="D20" i="12"/>
  <c r="C20" i="12" s="1"/>
  <c r="C18" i="12" s="1"/>
  <c r="D10"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R37" i="36"/>
  <c r="E36" i="36"/>
  <c r="E47" i="37"/>
  <c r="F47" i="37" s="1"/>
  <c r="E46" i="37"/>
  <c r="F46" i="37" s="1"/>
  <c r="D17" i="12"/>
  <c r="C17" i="12" s="1"/>
  <c r="C14" i="12"/>
  <c r="C16" i="12" s="1"/>
  <c r="C20" i="11"/>
  <c r="C25" i="11" s="1"/>
  <c r="C22"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D10" i="69"/>
  <c r="H27" i="6" l="1"/>
  <c r="D16" i="6"/>
  <c r="R25" i="6"/>
  <c r="C21" i="12"/>
  <c r="C22" i="12" s="1"/>
  <c r="K63" i="40"/>
  <c r="J65" i="40"/>
  <c r="C28" i="11"/>
  <c r="C27" i="11" s="1"/>
  <c r="C31" i="11" s="1"/>
  <c r="C37" i="36"/>
  <c r="B2" i="36" s="1"/>
  <c r="B3" i="36" s="1"/>
  <c r="C36" i="36"/>
  <c r="R26" i="6"/>
  <c r="D7" i="74"/>
  <c r="D8" i="74"/>
  <c r="R20" i="6"/>
  <c r="R21" i="6"/>
  <c r="C10" i="68"/>
  <c r="D19" i="68"/>
  <c r="C46" i="11"/>
  <c r="C45" i="11" s="1"/>
  <c r="C49" i="11" s="1"/>
  <c r="C51" i="11" s="1"/>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5" i="69" l="1"/>
  <c r="C23" i="69" s="1"/>
  <c r="R27" i="6"/>
  <c r="R6" i="1"/>
  <c r="K65" i="40"/>
  <c r="L63" i="40"/>
  <c r="C52" i="11"/>
  <c r="B2" i="11" s="1"/>
  <c r="B3" i="11" s="1"/>
  <c r="C19" i="69"/>
  <c r="C24" i="69" s="1"/>
  <c r="D37" i="69"/>
  <c r="C37" i="69" s="1"/>
  <c r="C33" i="69" s="1"/>
  <c r="C30" i="12"/>
  <c r="C28" i="12" s="1"/>
  <c r="I6" i="6"/>
  <c r="I5" i="6"/>
  <c r="C27" i="12"/>
  <c r="C25" i="12" s="1"/>
  <c r="J68" i="39"/>
  <c r="I70" i="39"/>
  <c r="C19" i="68"/>
  <c r="D37" i="68"/>
  <c r="C37" i="68" s="1"/>
  <c r="C33" i="68"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F35" i="67"/>
  <c r="M21" i="67"/>
  <c r="L51" i="67"/>
  <c r="L51" i="15"/>
  <c r="J20" i="67" l="1"/>
  <c r="F63" i="67"/>
  <c r="C62" i="67" s="1"/>
  <c r="R16" i="1"/>
  <c r="L65" i="40"/>
  <c r="M63" i="40"/>
  <c r="C32" i="12"/>
  <c r="B2" i="12" s="1"/>
  <c r="B3" i="12" s="1"/>
  <c r="C20" i="69"/>
  <c r="C25" i="69" s="1"/>
  <c r="C22" i="69" s="1"/>
  <c r="C56" i="11"/>
  <c r="C57" i="11" s="1"/>
  <c r="J70" i="39"/>
  <c r="K68" i="39"/>
  <c r="C39" i="68"/>
  <c r="C43" i="68" s="1"/>
  <c r="C42" i="68"/>
  <c r="C20" i="68"/>
  <c r="C24" i="68"/>
  <c r="C39" i="69"/>
  <c r="C42" i="6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28" i="69" l="1"/>
  <c r="C27" i="69" s="1"/>
  <c r="C31" i="69" s="1"/>
  <c r="M65" i="40"/>
  <c r="N63" i="40"/>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B6" i="70" l="1"/>
  <c r="B2" i="70" s="1"/>
  <c r="B3" i="70" s="1"/>
  <c r="C49" i="68"/>
  <c r="C51" i="68" s="1"/>
  <c r="O63" i="40"/>
  <c r="O65" i="40" s="1"/>
  <c r="N65" i="40"/>
  <c r="F7" i="40" s="1"/>
  <c r="J7" i="40"/>
  <c r="H7" i="40"/>
  <c r="C31" i="68"/>
  <c r="C49" i="69"/>
  <c r="C51" i="69" s="1"/>
  <c r="C52" i="69" s="1"/>
  <c r="B2" i="69" s="1"/>
  <c r="L70" i="39"/>
  <c r="M68" i="39"/>
  <c r="D19" i="9"/>
  <c r="C19" i="9"/>
  <c r="D102" i="9" l="1"/>
  <c r="D21" i="9"/>
  <c r="C102" i="9"/>
  <c r="D22" i="9"/>
  <c r="G19" i="9"/>
  <c r="C21" i="9"/>
  <c r="C52" i="68"/>
  <c r="B2" i="68" s="1"/>
  <c r="B3" i="68" s="1"/>
  <c r="C57" i="69"/>
  <c r="C56" i="69" s="1"/>
  <c r="S7" i="40"/>
  <c r="AA7" i="40"/>
  <c r="R42" i="40" s="1"/>
  <c r="AB7" i="40"/>
  <c r="T42" i="40" s="1"/>
  <c r="G42" i="40" s="1"/>
  <c r="U7" i="40"/>
  <c r="W7" i="40"/>
  <c r="AC7" i="40"/>
  <c r="V42" i="40" s="1"/>
  <c r="I42" i="40" s="1"/>
  <c r="N68" i="39"/>
  <c r="M70" i="39"/>
  <c r="B3" i="69"/>
  <c r="C20" i="9"/>
  <c r="C103" i="9" l="1"/>
  <c r="C32" i="9"/>
  <c r="G21" i="9"/>
  <c r="C57" i="68"/>
  <c r="C56" i="68" s="1"/>
  <c r="R43" i="40"/>
  <c r="E42" i="40"/>
  <c r="I47" i="40" s="1"/>
  <c r="J47" i="40" s="1"/>
  <c r="I46" i="40"/>
  <c r="J46" i="40" s="1"/>
  <c r="G46" i="40"/>
  <c r="H46" i="40" s="1"/>
  <c r="G47" i="40"/>
  <c r="H47" i="40" s="1"/>
  <c r="N70" i="39"/>
  <c r="O68" i="39"/>
  <c r="O70" i="39" s="1"/>
  <c r="D20" i="9"/>
  <c r="D103" i="9" l="1"/>
  <c r="G20" i="9"/>
  <c r="C35" i="9"/>
  <c r="F118" i="9" s="1"/>
  <c r="H118" i="9"/>
  <c r="C43" i="40"/>
  <c r="C42" i="40"/>
  <c r="E47" i="40"/>
  <c r="F47" i="40" s="1"/>
  <c r="E46" i="40"/>
  <c r="F46" i="40" s="1"/>
  <c r="J7" i="39"/>
  <c r="H7" i="39"/>
  <c r="F7" i="39"/>
  <c r="C34" i="9" l="1"/>
  <c r="D118" i="9" s="1"/>
  <c r="D119" i="9" s="1"/>
  <c r="D5" i="52" s="1"/>
  <c r="B49" i="72" s="1"/>
  <c r="D14" i="74"/>
  <c r="H101" i="9"/>
  <c r="H4" i="52"/>
  <c r="H119" i="9"/>
  <c r="H5" i="52" s="1"/>
  <c r="C104" i="9"/>
  <c r="I118" i="9"/>
  <c r="F4" i="52"/>
  <c r="B51" i="72" s="1"/>
  <c r="F119" i="9"/>
  <c r="F5" i="52" s="1"/>
  <c r="B53" i="72" s="1"/>
  <c r="G118" i="9"/>
  <c r="G4" i="52" s="1"/>
  <c r="B52" i="7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c r="T47" i="39" s="1"/>
  <c r="G47" i="39" s="1"/>
  <c r="U7" i="39"/>
  <c r="S7" i="39"/>
  <c r="AA7" i="39"/>
  <c r="R47" i="39" s="1"/>
  <c r="AC7" i="39"/>
  <c r="V47" i="39" s="1"/>
  <c r="I47" i="39" s="1"/>
  <c r="W7" i="39"/>
  <c r="D4" i="52" l="1"/>
  <c r="B47" i="72" s="1"/>
  <c r="D45" i="9"/>
  <c r="M48" i="9"/>
  <c r="H107" i="9"/>
  <c r="D5" i="53"/>
  <c r="I4" i="52"/>
  <c r="H102" i="9"/>
  <c r="D7" i="53" s="1"/>
  <c r="B21" i="72" s="1"/>
  <c r="C105" i="9"/>
  <c r="E118" i="9"/>
  <c r="E4" i="52" s="1"/>
  <c r="B48" i="72" s="1"/>
  <c r="B5" i="74"/>
  <c r="E14" i="74"/>
  <c r="F14" i="74"/>
  <c r="E47" i="39"/>
  <c r="I52" i="39" s="1"/>
  <c r="J52" i="39" s="1"/>
  <c r="R48" i="39"/>
  <c r="I51" i="39"/>
  <c r="J51" i="39" s="1"/>
  <c r="G52" i="39"/>
  <c r="H52" i="39" s="1"/>
  <c r="G51" i="39"/>
  <c r="H51" i="39" s="1"/>
  <c r="B20" i="72" l="1"/>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<sst xmlns="http://schemas.openxmlformats.org/spreadsheetml/2006/main" count="7304" uniqueCount="3086">
  <si>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</si>
  <si>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</si>
  <si>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</si>
  <si>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</si>
  <si>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</si>
  <si>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</si>
  <si>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</si>
  <si>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</si>
  <si>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</si>
  <si>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</si>
  <si>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</si>
  <si>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</si>
  <si>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</si>
  <si>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</si>
  <si>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</si>
  <si>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</si>
  <si>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</si>
  <si>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</si>
  <si>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</si>
  <si>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</si>
  <si>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</si>
  <si>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</si>
  <si>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</si>
  <si>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</si>
  <si>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</si>
  <si>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</si>
  <si>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</si>
  <si>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</si>
  <si>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</si>
  <si>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</si>
  <si>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</si>
  <si>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</si>
  <si>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</si>
  <si>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</si>
  <si>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</si>
  <si>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</si>
  <si>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</si>
  <si>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</si>
  <si>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</si>
  <si>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</si>
  <si>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</si>
  <si>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</si>
  <si>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</si>
  <si>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</si>
  <si>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</si>
  <si>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</si>
  <si>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</si>
  <si>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</si>
  <si>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</si>
  <si>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</si>
  <si>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</si>
  <si>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</si>
  <si>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</si>
  <si>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</si>
  <si>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</si>
  <si>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</si>
  <si>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</si>
  <si>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</si>
  <si>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</si>
  <si>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</si>
  <si>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</si>
  <si>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</si>
  <si>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</si>
  <si>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</si>
  <si>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</si>
  <si>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</si>
  <si>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</si>
  <si>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</si>
  <si>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</si>
  <si>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</si>
  <si>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</si>
  <si>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</si>
  <si>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</si>
  <si>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</si>
  <si>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</si>
  <si>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</si>
  <si>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</si>
  <si>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</si>
  <si>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</si>
  <si>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</si>
  <si>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</si>
  <si>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</si>
  <si>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</si>
  <si>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</si>
  <si>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</si>
  <si>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</si>
  <si>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</si>
  <si>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</si>
  <si>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</si>
  <si>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</si>
  <si>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</si>
  <si>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</si>
  <si>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</si>
  <si>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</si>
  <si>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</si>
  <si>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</si>
  <si>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</si>
  <si>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</si>
  <si>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</si>
  <si>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</si>
  <si>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</si>
  <si>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</si>
  <si>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</si>
  <si>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</si>
  <si>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</si>
  <si>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</si>
  <si>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</si>
  <si>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</si>
  <si>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</si>
  <si>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</si>
  <si>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</si>
  <si>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</si>
  <si>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</si>
  <si>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</si>
  <si>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</si>
  <si>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</si>
  <si>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</si>
  <si>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</si>
  <si>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</si>
  <si>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</si>
  <si>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</si>
  <si>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</si>
  <si>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</si>
  <si>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</si>
  <si>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</si>
  <si>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</si>
  <si>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</si>
  <si>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</si>
  <si>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</si>
  <si>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</si>
  <si>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</si>
  <si>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</si>
  <si>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</si>
  <si>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</si>
  <si>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</si>
  <si>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</si>
  <si>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</si>
  <si>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</si>
  <si>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</si>
  <si>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</si>
  <si>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</si>
  <si>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</si>
  <si>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</si>
  <si>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</si>
  <si>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</si>
  <si>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</si>
  <si>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</si>
  <si>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</si>
  <si>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</si>
  <si>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</si>
  <si>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</si>
  <si>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</si>
  <si>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</si>
  <si>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</si>
  <si>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</si>
  <si>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</si>
  <si>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</si>
  <si>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</si>
  <si>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</si>
  <si>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</si>
  <si>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</si>
  <si>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</si>
  <si>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</si>
  <si>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</si>
  <si>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</si>
  <si>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</si>
  <si>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</si>
  <si>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</si>
  <si>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</si>
  <si>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</si>
  <si>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</si>
  <si>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</si>
  <si>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</si>
  <si>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</si>
  <si>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</si>
  <si>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</si>
  <si>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</si>
  <si>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</si>
  <si>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</si>
  <si>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</si>
  <si>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</si>
  <si>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</si>
  <si>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</si>
  <si>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</si>
  <si>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</si>
  <si>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</si>
  <si>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</si>
  <si>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</si>
  <si>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</si>
  <si>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</si>
  <si>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</si>
  <si>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</si>
  <si>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</si>
  <si>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</si>
  <si>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</si>
  <si>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</si>
  <si>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</si>
  <si>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</si>
  <si>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</si>
  <si>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</si>
  <si>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</si>
  <si>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</si>
  <si>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</si>
  <si>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</si>
  <si>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</si>
  <si>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</si>
  <si>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</si>
  <si>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</si>
  <si>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</si>
  <si>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</si>
  <si>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</si>
  <si>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</si>
  <si>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</si>
  <si>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</si>
  <si>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</si>
  <si>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</si>
  <si>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</si>
  <si>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</si>
  <si>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</si>
  <si>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</si>
  <si>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</si>
  <si>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</si>
  <si>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</si>
  <si>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</si>
  <si>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</si>
  <si>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</si>
  <si>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</si>
  <si>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</si>
  <si>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</si>
  <si>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</si>
  <si>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</si>
  <si>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</si>
  <si>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</si>
  <si>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</si>
  <si>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</si>
  <si>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</si>
  <si>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</si>
  <si>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</si>
  <si>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</si>
  <si>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</si>
  <si>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</si>
  <si>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</si>
  <si>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</si>
  <si>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</si>
  <si>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</si>
  <si>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</si>
  <si>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</si>
  <si>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</si>
  <si>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</si>
  <si>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</si>
  <si>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</si>
  <si>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</si>
  <si>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</si>
  <si>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</si>
  <si>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</si>
  <si>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</si>
  <si>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</si>
  <si>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</si>
  <si>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</si>
  <si>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</si>
  <si>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</si>
  <si>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</si>
  <si>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</si>
  <si>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</si>
  <si>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</si>
  <si>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</si>
  <si>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</si>
  <si>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</si>
  <si>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</si>
  <si>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</si>
  <si>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</si>
  <si>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</si>
  <si>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</si>
  <si>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</si>
  <si>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</si>
  <si>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</si>
  <si>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</si>
  <si>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</si>
  <si>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</si>
  <si>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</si>
  <si>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</si>
  <si>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</si>
  <si>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</si>
  <si>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</si>
  <si>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</si>
  <si>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</si>
  <si>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</si>
  <si>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</si>
  <si>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</si>
  <si>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</si>
  <si>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</si>
  <si>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</si>
  <si>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</si>
  <si>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</si>
  <si>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</si>
  <si>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</si>
  <si>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</si>
  <si>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</si>
  <si>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</si>
  <si>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</si>
  <si>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</si>
  <si>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</si>
  <si>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</si>
  <si>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</si>
  <si>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</si>
  <si>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</si>
  <si>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</si>
  <si>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</si>
  <si>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</si>
  <si>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</si>
  <si>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</si>
  <si>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</si>
  <si>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</si>
  <si>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</si>
  <si>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</si>
  <si>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</si>
  <si>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</si>
  <si>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</si>
  <si>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</si>
  <si>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</si>
  <si>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</si>
  <si>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</si>
  <si>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</si>
  <si>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</si>
  <si>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</si>
  <si>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</si>
  <si>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</si>
  <si>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</si>
  <si>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</si>
  <si>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</si>
  <si>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</si>
  <si>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</si>
  <si>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</si>
  <si>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</si>
  <si>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</si>
  <si>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</si>
  <si>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</si>
  <si>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</si>
  <si>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</si>
  <si>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</si>
  <si>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</si>
  <si>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</si>
  <si>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</si>
  <si>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</si>
  <si>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</si>
  <si>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</si>
  <si>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</si>
  <si>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</si>
  <si>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</si>
  <si>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</si>
  <si>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</si>
  <si>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</si>
  <si>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</si>
  <si>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</si>
  <si>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</si>
  <si>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</si>
  <si>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</si>
  <si>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</si>
  <si>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</si>
  <si>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</si>
  <si>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</si>
  <si>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</si>
  <si>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</si>
  <si>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</si>
  <si>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</si>
  <si>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</si>
  <si>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</si>
  <si>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</si>
  <si>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</si>
  <si>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</si>
  <si>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</si>
  <si>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</si>
  <si>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</si>
  <si>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</si>
  <si>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</si>
  <si>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</si>
  <si>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</si>
  <si>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</si>
  <si>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</si>
  <si>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</si>
  <si>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</si>
  <si>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</si>
  <si>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</si>
  <si>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</si>
  <si>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</si>
  <si>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</si>
  <si>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</si>
  <si>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</si>
  <si>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</si>
  <si>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</si>
  <si>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</si>
  <si>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</si>
  <si>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</si>
  <si>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</si>
  <si>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</si>
  <si>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</si>
  <si>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</si>
  <si>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</si>
  <si>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</si>
  <si>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</si>
  <si>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</si>
  <si>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</si>
  <si>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</si>
  <si>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</si>
  <si>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</si>
  <si>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</si>
  <si>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</si>
  <si>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</si>
  <si>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</si>
  <si>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</si>
  <si>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</si>
  <si>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</si>
  <si>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</si>
  <si>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</si>
  <si>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</si>
  <si>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</si>
  <si>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</si>
  <si>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</si>
  <si>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</si>
  <si>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</si>
  <si>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</si>
  <si>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</si>
  <si>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</si>
  <si>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</si>
  <si>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</si>
  <si>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</si>
  <si>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</si>
  <si>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</si>
  <si>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</si>
  <si>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</si>
  <si>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</si>
  <si>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</si>
  <si>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</si>
  <si>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</si>
  <si>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</si>
  <si>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</si>
  <si>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</si>
  <si>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</si>
  <si>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</si>
  <si>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</si>
  <si>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</si>
  <si>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</si>
  <si>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</si>
  <si>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</si>
  <si>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</si>
  <si>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</si>
  <si>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</si>
  <si>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</si>
  <si>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</si>
  <si>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</si>
  <si>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</si>
  <si>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</si>
  <si>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</si>
  <si>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</si>
  <si>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</si>
  <si>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</si>
  <si>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</si>
  <si>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</si>
  <si>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</si>
  <si>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</si>
  <si>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</si>
  <si>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</si>
  <si>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</si>
  <si>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</si>
  <si>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</si>
  <si>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</si>
  <si>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</si>
  <si>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</si>
  <si>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</si>
  <si>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</si>
  <si>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</si>
  <si>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</si>
  <si>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</si>
  <si>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</si>
  <si>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</si>
  <si>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</si>
  <si>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</si>
  <si>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</si>
  <si>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</si>
  <si>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</si>
  <si>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</si>
  <si>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</si>
  <si>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</si>
  <si>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</si>
  <si>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</si>
  <si>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</si>
  <si>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</si>
  <si>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</si>
  <si>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</si>
  <si>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</si>
  <si>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</si>
  <si>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</si>
  <si>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</si>
  <si>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</si>
  <si>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</si>
  <si>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</si>
  <si>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</si>
  <si>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</si>
  <si>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</si>
  <si>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</si>
  <si>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</si>
  <si>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</si>
  <si>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</si>
  <si>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</si>
  <si>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</si>
  <si>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</si>
  <si>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</si>
  <si>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</si>
  <si>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</si>
  <si>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</si>
  <si>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</si>
  <si>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</si>
  <si>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</si>
  <si>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</si>
  <si>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</si>
  <si>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</si>
  <si>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</si>
  <si>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</si>
  <si>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</si>
  <si>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</si>
  <si>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</si>
  <si>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</si>
  <si>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</si>
  <si>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</si>
  <si>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</si>
  <si>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</si>
  <si>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</si>
  <si>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</si>
  <si>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</si>
  <si>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</si>
  <si>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</si>
  <si>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</si>
  <si>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</si>
  <si>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</si>
  <si>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</si>
  <si>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</si>
  <si>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</si>
  <si>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</si>
  <si>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</si>
  <si>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</si>
  <si>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</si>
  <si>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</si>
  <si>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</si>
  <si>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</si>
  <si>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</si>
  <si>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</si>
  <si>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</si>
  <si>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</si>
  <si>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</si>
  <si>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</si>
  <si>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</si>
  <si>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</si>
  <si>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</si>
  <si>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</si>
  <si>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</si>
  <si>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</si>
  <si>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</si>
  <si>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</si>
  <si>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</si>
  <si>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</si>
  <si>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</si>
  <si>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</si>
  <si>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</si>
  <si>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</si>
  <si>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</si>
  <si>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</si>
  <si>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</si>
  <si>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</si>
  <si>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</si>
  <si>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</si>
  <si>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</si>
  <si>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</si>
  <si>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</si>
  <si>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</si>
  <si>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</si>
  <si>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</si>
  <si>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</si>
  <si>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</si>
  <si>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</si>
  <si>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</si>
  <si>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</si>
  <si>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</si>
  <si>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</si>
  <si>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</si>
  <si>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</si>
  <si>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</si>
  <si>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</si>
  <si>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</si>
  <si>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</si>
  <si>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</si>
  <si>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</si>
  <si>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</si>
  <si>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</si>
  <si>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</si>
  <si>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</si>
  <si>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</si>
  <si>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</si>
  <si>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</si>
  <si>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</si>
  <si>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</si>
  <si>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</si>
  <si>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</si>
  <si>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</si>
  <si>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</si>
  <si>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</si>
  <si>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</si>
  <si>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</si>
  <si>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</si>
  <si>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</si>
  <si>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</si>
  <si>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</si>
  <si>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</si>
  <si>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</si>
  <si>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</si>
  <si>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</si>
  <si>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</si>
  <si>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</si>
  <si>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</si>
  <si>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</si>
  <si>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</si>
  <si>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</si>
  <si>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</si>
  <si>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</si>
  <si>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</si>
  <si>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</si>
  <si>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</si>
  <si>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</si>
  <si>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</si>
  <si>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</si>
  <si>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</si>
  <si>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</si>
  <si>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</si>
  <si>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</si>
  <si>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</si>
  <si>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</si>
  <si>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</si>
  <si>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</si>
  <si>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</si>
  <si>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</si>
  <si>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</si>
  <si>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</si>
  <si>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</si>
  <si>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</si>
  <si>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</si>
  <si>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</si>
  <si>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</si>
  <si>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</si>
  <si>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</si>
  <si>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</si>
  <si>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</si>
  <si>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</si>
  <si>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</si>
  <si>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</si>
  <si>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</si>
  <si>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</si>
  <si>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</si>
  <si>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</si>
  <si>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</si>
  <si>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</si>
  <si>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</si>
  <si>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</si>
  <si>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</si>
  <si>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</si>
  <si>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</si>
  <si>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</si>
  <si>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</si>
  <si>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</si>
  <si>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</si>
  <si>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</si>
  <si>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</si>
  <si>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</si>
  <si>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</si>
  <si>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</si>
  <si>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</si>
  <si>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</si>
  <si>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</si>
  <si>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</si>
  <si>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</si>
  <si>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</si>
  <si>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</si>
  <si>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</si>
  <si>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</si>
  <si>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</si>
  <si>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</si>
  <si>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</si>
  <si>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</si>
  <si>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</si>
  <si>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</si>
  <si>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</si>
  <si>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</si>
  <si>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</si>
  <si>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</si>
  <si>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</si>
  <si>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</si>
  <si>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</si>
  <si>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</si>
  <si>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</si>
  <si>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</si>
  <si>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</si>
  <si>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</si>
  <si>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</si>
  <si>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</si>
  <si>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</si>
  <si>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</si>
  <si>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</si>
  <si>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</si>
  <si>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</si>
  <si>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</si>
  <si>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</si>
  <si>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</si>
  <si>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</si>
  <si>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</si>
  <si>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</si>
  <si>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</si>
  <si>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</si>
  <si>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</si>
  <si>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</si>
  <si>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</si>
  <si>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</si>
  <si>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</si>
  <si>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</si>
  <si>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</si>
  <si>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</si>
  <si>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</si>
  <si>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</si>
  <si>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</si>
  <si>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</si>
  <si>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</si>
  <si>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</si>
  <si>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</si>
  <si>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</si>
  <si>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</si>
  <si>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</si>
  <si>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</si>
  <si>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</si>
  <si>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</si>
  <si>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</si>
  <si>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</si>
  <si>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</si>
  <si>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</si>
  <si>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</si>
  <si>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</si>
  <si>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</si>
  <si>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</si>
  <si>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</si>
  <si>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</si>
  <si>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</si>
  <si>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</si>
  <si>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</si>
  <si>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</si>
  <si>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</si>
  <si>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</si>
  <si>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</si>
  <si>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</si>
  <si>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</si>
  <si>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</si>
  <si>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</si>
  <si>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</si>
  <si>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</si>
  <si>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</si>
  <si>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</si>
  <si>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</si>
  <si>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</si>
  <si>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</si>
  <si>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</si>
  <si>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</si>
  <si>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</si>
  <si>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</si>
  <si>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</si>
  <si>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</si>
  <si>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</si>
  <si>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</si>
  <si>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</si>
  <si>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</si>
  <si>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</si>
  <si>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</si>
  <si>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</si>
  <si>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</si>
  <si>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</si>
  <si>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</si>
  <si>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</si>
  <si>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</si>
  <si>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</si>
  <si>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</si>
  <si>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</si>
  <si>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</si>
  <si>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</si>
  <si>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</si>
  <si>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</si>
  <si>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</si>
  <si>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</si>
  <si>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</si>
  <si>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</si>
  <si>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</si>
  <si>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</si>
  <si>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</si>
  <si>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</si>
  <si>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</si>
  <si>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</si>
  <si>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</si>
  <si>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</si>
  <si>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</si>
  <si>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</si>
  <si>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</si>
  <si>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</si>
  <si>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</si>
  <si>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</si>
  <si>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</si>
  <si>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</si>
  <si>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</si>
  <si>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</si>
  <si>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</si>
  <si>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</si>
  <si>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</si>
  <si>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</si>
  <si>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</si>
  <si>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</si>
  <si>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</si>
  <si>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</si>
  <si>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</si>
  <si>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</si>
  <si>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</si>
  <si>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</si>
  <si>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</si>
  <si>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</si>
  <si>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</si>
  <si>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</si>
  <si>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</si>
  <si>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</si>
  <si>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</si>
  <si>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</si>
  <si>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</si>
  <si>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</si>
  <si>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</si>
  <si>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</si>
  <si>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</si>
  <si>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</si>
  <si>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</si>
  <si>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</si>
  <si>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</si>
  <si>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</si>
  <si>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</si>
  <si>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</si>
  <si>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</si>
  <si>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</si>
  <si>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</si>
  <si>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</si>
  <si>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</si>
  <si>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</si>
  <si>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</si>
  <si>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</si>
  <si>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</si>
  <si>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</si>
  <si>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</si>
  <si>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</si>
  <si>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</si>
  <si>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</si>
  <si>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</si>
  <si>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</si>
  <si>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</si>
  <si>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</si>
  <si>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</si>
  <si>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</si>
  <si>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</si>
  <si>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</si>
  <si>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</si>
  <si>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</si>
  <si>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</si>
  <si>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</si>
  <si>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</si>
  <si>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</si>
  <si>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</si>
  <si>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</si>
  <si>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</si>
  <si>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</si>
  <si>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</si>
  <si>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</si>
  <si>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</si>
  <si>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</si>
  <si>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</si>
  <si>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</si>
  <si>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</si>
  <si>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</si>
  <si>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</si>
  <si>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</si>
  <si>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</si>
  <si>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</si>
  <si>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</si>
  <si>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</si>
  <si>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</si>
  <si>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</si>
  <si>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</si>
  <si>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</si>
  <si>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</si>
  <si>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</si>
  <si>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</si>
  <si>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</si>
  <si>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</si>
  <si>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</si>
  <si>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</si>
  <si>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</si>
  <si>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</si>
  <si>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</si>
  <si>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</si>
  <si>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</si>
  <si>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</si>
  <si>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</si>
  <si>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</si>
  <si>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</si>
  <si>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</si>
  <si>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</si>
  <si>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</si>
  <si>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</si>
  <si>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</si>
  <si>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</si>
  <si>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</si>
  <si>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</si>
  <si>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</si>
  <si>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</si>
  <si>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</si>
  <si>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</si>
  <si>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</si>
  <si>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</si>
  <si>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</si>
  <si>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</si>
  <si>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</si>
  <si>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</si>
  <si>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</si>
  <si>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</si>
  <si>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</si>
  <si>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</si>
  <si>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</si>
  <si>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</si>
  <si>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</si>
  <si>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</si>
  <si>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</si>
  <si>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</si>
  <si>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</si>
  <si>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</si>
  <si>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</si>
  <si>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</si>
  <si>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</si>
  <si>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</si>
  <si>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</si>
  <si>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</si>
  <si>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</si>
  <si>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</si>
  <si>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</si>
  <si>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</si>
  <si>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</si>
  <si>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</si>
  <si>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</si>
  <si>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</si>
  <si>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</si>
  <si>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</si>
  <si>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</si>
  <si>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</si>
  <si>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</si>
  <si>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</si>
  <si>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</si>
  <si>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</si>
  <si>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</si>
  <si>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</si>
  <si>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</si>
  <si>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</si>
  <si>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</si>
  <si>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</si>
  <si>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</si>
  <si>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</si>
  <si>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</si>
  <si>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</si>
  <si>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</si>
  <si>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</si>
  <si>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</si>
  <si>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</si>
  <si>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</si>
  <si>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</si>
  <si>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</si>
  <si>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</si>
  <si>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</si>
  <si>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</si>
  <si>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</si>
  <si>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</si>
  <si>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</si>
  <si>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</si>
  <si>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</si>
  <si>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</si>
  <si>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</si>
  <si>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</si>
  <si>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</si>
  <si>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</si>
  <si>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</si>
  <si>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</si>
  <si>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</si>
  <si>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</si>
  <si>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</si>
  <si>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</si>
  <si>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</si>
  <si>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</si>
  <si>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</si>
  <si>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</si>
  <si>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</si>
  <si>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</si>
  <si>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</si>
  <si>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</si>
  <si>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</si>
  <si>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</si>
  <si>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</si>
  <si>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</si>
  <si>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</si>
  <si>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</si>
  <si>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</si>
  <si>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</si>
  <si>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</si>
  <si>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</si>
  <si>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</si>
  <si>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</si>
  <si>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</si>
  <si>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</si>
  <si>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</si>
  <si>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</si>
  <si>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</si>
  <si>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</si>
  <si>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</si>
  <si>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</si>
  <si>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</si>
  <si>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</si>
  <si>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</si>
  <si>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</si>
  <si>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</si>
  <si>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</si>
  <si>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</si>
  <si>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</si>
  <si>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</si>
  <si>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</si>
  <si>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</si>
  <si>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</si>
  <si>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</si>
  <si>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</si>
  <si>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</si>
  <si>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</si>
  <si>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</si>
  <si>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</si>
  <si>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</si>
  <si>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</si>
  <si>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</si>
  <si>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</si>
  <si>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</si>
  <si>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</si>
  <si>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</si>
  <si>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</si>
  <si>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</si>
  <si>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</si>
  <si>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</si>
  <si>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</si>
  <si>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</si>
  <si>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</si>
  <si>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</si>
  <si>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</si>
  <si>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</si>
  <si>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</si>
  <si>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</si>
  <si>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</si>
  <si>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</si>
  <si>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</si>
  <si>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</si>
  <si>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</si>
  <si>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</si>
  <si>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</si>
  <si>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</si>
  <si>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</si>
  <si>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</si>
  <si>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</si>
  <si>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</si>
  <si>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</si>
  <si>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</si>
  <si>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</si>
  <si>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</si>
  <si>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</si>
  <si>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</si>
  <si>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</si>
  <si>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</si>
  <si>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</si>
  <si>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</si>
  <si>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</si>
  <si>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</si>
  <si>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</si>
  <si>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</si>
  <si>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</si>
  <si>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</si>
  <si>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</si>
  <si>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</si>
  <si>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</si>
  <si>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</si>
  <si>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</si>
  <si>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</si>
  <si>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</si>
  <si>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</si>
  <si>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</si>
  <si>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</si>
  <si>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</si>
  <si>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</si>
  <si>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</si>
  <si>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</si>
  <si>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</si>
  <si>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</si>
  <si>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</si>
  <si>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</si>
  <si>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</si>
  <si>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</si>
  <si>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</si>
  <si>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</si>
  <si>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</si>
  <si>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</si>
  <si>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</si>
  <si>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</si>
  <si>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</si>
  <si>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</si>
  <si>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</si>
  <si>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</si>
  <si>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</si>
  <si>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</si>
  <si>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</si>
  <si>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</si>
  <si>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</si>
  <si>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</si>
  <si>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</si>
  <si>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</si>
  <si>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</si>
  <si>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</si>
  <si>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</si>
  <si>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</si>
  <si>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</si>
  <si>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</si>
  <si>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</si>
  <si>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</si>
  <si>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</si>
  <si>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</si>
  <si>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</si>
  <si>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</si>
  <si>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</si>
  <si>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</si>
  <si>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</si>
  <si>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</si>
  <si>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</si>
  <si>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</si>
  <si>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</si>
  <si>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</si>
  <si>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</si>
  <si>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</si>
  <si>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</si>
  <si>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</si>
  <si>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</si>
  <si>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</si>
  <si>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</si>
  <si>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</si>
  <si>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</si>
  <si>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</si>
  <si>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</si>
  <si>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</si>
  <si>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</si>
  <si>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</si>
  <si>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</si>
  <si>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</si>
  <si>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</si>
  <si>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</si>
  <si>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</si>
  <si>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</si>
  <si>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</si>
  <si>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</si>
  <si>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</si>
  <si>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</si>
  <si>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</si>
  <si>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</si>
  <si>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</si>
  <si>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</si>
  <si>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</si>
  <si>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</si>
  <si>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</si>
  <si>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</si>
  <si>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</si>
  <si>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</si>
  <si>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</si>
  <si>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</si>
  <si>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</si>
  <si>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</si>
  <si>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</si>
  <si>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</si>
  <si>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</si>
  <si>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</si>
  <si>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</si>
  <si>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</si>
  <si>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</si>
  <si>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</si>
  <si>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</si>
  <si>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</si>
  <si>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</si>
  <si>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</si>
  <si>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</si>
  <si>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</si>
  <si>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</si>
  <si>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</si>
  <si>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</si>
  <si>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</si>
  <si>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</si>
  <si>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</si>
  <si>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</si>
  <si>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</si>
  <si>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</si>
  <si>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</si>
  <si>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</si>
  <si>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</si>
  <si>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</si>
  <si>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</si>
  <si>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</si>
  <si>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</si>
  <si>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</si>
  <si>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</si>
  <si>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</si>
  <si>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</si>
  <si>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</si>
  <si>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</si>
  <si>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</si>
  <si>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</si>
  <si>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</si>
  <si>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</si>
  <si>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</si>
  <si>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</si>
  <si>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</si>
  <si>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</si>
  <si>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</si>
  <si>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</si>
  <si>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</si>
  <si>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</si>
  <si>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</si>
  <si>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</si>
  <si>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</si>
  <si>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</si>
  <si>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</si>
  <si>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</si>
  <si>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</si>
  <si>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</si>
  <si>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</si>
  <si>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</si>
  <si>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</si>
  <si>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</si>
  <si>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</si>
  <si>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</si>
  <si>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</si>
  <si>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</si>
  <si>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</si>
  <si>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</si>
  <si>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</si>
  <si>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</si>
  <si>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</si>
  <si>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</si>
  <si>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</si>
  <si>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</si>
  <si>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</si>
  <si>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</si>
  <si>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</si>
  <si>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</si>
  <si>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</si>
  <si>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</si>
  <si>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</si>
  <si>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</si>
  <si>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</si>
  <si>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</si>
  <si>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</si>
  <si>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</si>
  <si>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</si>
  <si>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</si>
  <si>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</si>
  <si>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</si>
  <si>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</si>
  <si>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</si>
  <si>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</si>
  <si>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</si>
  <si>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</si>
  <si>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</si>
  <si>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</si>
  <si>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</si>
  <si>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</si>
  <si>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</si>
  <si>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</si>
  <si>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</si>
  <si>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</si>
  <si>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</si>
  <si>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</si>
  <si>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</si>
  <si>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</si>
  <si>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</si>
  <si>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</si>
  <si>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</si>
  <si>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</si>
  <si>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</si>
  <si>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</si>
  <si>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</si>
  <si>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</si>
  <si>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</si>
  <si>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</si>
  <si>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</si>
  <si>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</si>
  <si>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</si>
  <si>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</si>
  <si>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</si>
  <si>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</si>
  <si>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</si>
  <si>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</si>
  <si>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</si>
  <si>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</si>
  <si>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</si>
  <si>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</si>
  <si>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</si>
  <si>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</si>
  <si>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</si>
  <si>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</si>
  <si>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</si>
  <si>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</si>
  <si>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</si>
  <si>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</si>
  <si>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</si>
  <si>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</si>
  <si>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</si>
  <si>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</si>
  <si>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</si>
  <si>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</si>
  <si>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</si>
  <si>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</si>
  <si>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</si>
  <si>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</si>
  <si>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</si>
  <si>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</si>
  <si>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</si>
  <si>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</si>
  <si>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</si>
  <si>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</si>
  <si>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</si>
  <si>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</si>
  <si>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</si>
  <si>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</si>
  <si>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</si>
  <si>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</si>
  <si>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</si>
  <si>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</si>
  <si>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</si>
  <si>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</si>
  <si>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</si>
  <si>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</si>
  <si>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</si>
  <si>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</si>
  <si>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</si>
  <si>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</si>
  <si>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</si>
  <si>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</si>
  <si>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</si>
  <si>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</si>
  <si>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</si>
  <si>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</si>
  <si>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</si>
  <si>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</si>
  <si>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</si>
  <si>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</si>
  <si>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</si>
  <si>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</si>
  <si>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</si>
  <si>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</si>
  <si>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</si>
  <si>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</si>
  <si>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</si>
  <si>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</si>
  <si>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</si>
  <si>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</si>
  <si>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</si>
  <si>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</si>
  <si>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</si>
  <si>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</si>
  <si>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</si>
  <si>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</si>
  <si>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</si>
  <si>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</si>
  <si>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</si>
  <si>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</si>
  <si>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</si>
  <si>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</si>
  <si>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</si>
  <si>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</si>
  <si>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</si>
  <si>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</si>
  <si>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</si>
  <si>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</si>
  <si>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</si>
  <si>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</si>
  <si>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</si>
  <si>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</si>
  <si>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</si>
  <si>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</si>
  <si>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</si>
  <si>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</si>
  <si>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</si>
  <si>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</si>
  <si>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</si>
  <si>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</si>
  <si>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</si>
  <si>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</si>
  <si>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</si>
  <si>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</si>
  <si>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</si>
  <si>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</si>
  <si>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</si>
  <si>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</si>
  <si>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</si>
  <si>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</si>
  <si>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</si>
  <si>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</si>
  <si>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</si>
  <si>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</si>
  <si>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</si>
  <si>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</si>
  <si>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</si>
  <si>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</si>
  <si>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</si>
  <si>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</si>
  <si>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</si>
  <si>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</si>
  <si>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</si>
  <si>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</si>
  <si>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</si>
  <si>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</si>
  <si>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</si>
  <si>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</si>
  <si>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</si>
  <si>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</si>
  <si>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</si>
  <si>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</si>
  <si>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</si>
  <si>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</si>
  <si>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</si>
  <si>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</si>
  <si>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</si>
  <si>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</si>
  <si>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</si>
  <si>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</si>
  <si>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</si>
  <si>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</si>
  <si>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</si>
  <si>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</si>
  <si>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</si>
  <si>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</si>
  <si>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</si>
  <si>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</si>
  <si>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</si>
  <si>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</si>
  <si>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</si>
  <si>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</si>
  <si>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</si>
  <si>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</si>
  <si>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</si>
  <si>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</si>
  <si>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</si>
  <si>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</si>
  <si>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</si>
  <si>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</si>
  <si>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</si>
  <si>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</si>
  <si>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</si>
  <si>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</si>
  <si>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</si>
  <si>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</si>
  <si>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</si>
  <si>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</si>
  <si>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</si>
  <si>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</si>
  <si>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</si>
  <si>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</si>
  <si>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</si>
  <si>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</si>
  <si>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</si>
  <si>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</si>
  <si>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</si>
  <si>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</si>
  <si>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</si>
  <si>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</si>
  <si>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</si>
  <si>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</si>
  <si>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</si>
  <si>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</si>
  <si>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</si>
  <si>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</si>
  <si>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</si>
  <si>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</si>
  <si>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</si>
  <si>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</si>
  <si>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</si>
  <si>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</si>
  <si>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</si>
  <si>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</si>
  <si>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</si>
  <si>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</si>
  <si>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</si>
  <si>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</si>
  <si>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</si>
  <si>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</si>
  <si>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</si>
  <si>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</si>
  <si>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</si>
  <si>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</si>
  <si>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</si>
  <si>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</si>
  <si>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</si>
  <si>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</si>
  <si>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</si>
  <si>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</si>
  <si>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</si>
  <si>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</si>
  <si>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</si>
  <si>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</si>
  <si>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</si>
  <si>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</si>
  <si>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</si>
  <si>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</si>
  <si>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</si>
  <si>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</si>
  <si>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</si>
  <si>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</si>
  <si>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</si>
  <si>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</si>
  <si>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</si>
  <si>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</si>
  <si>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</si>
  <si>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</si>
  <si>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</si>
  <si>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</si>
  <si>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</si>
  <si>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</si>
  <si>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</si>
  <si>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</si>
  <si>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</si>
  <si>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</si>
  <si>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</si>
  <si>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</si>
  <si>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</si>
  <si>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</si>
  <si>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</si>
  <si>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</si>
  <si>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</si>
  <si>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</si>
  <si>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</si>
  <si>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</si>
  <si>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</si>
  <si>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</si>
  <si>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</si>
  <si>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</si>
  <si>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</si>
  <si>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</si>
  <si>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</si>
  <si>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</si>
  <si>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</si>
  <si>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</si>
  <si>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</si>
  <si>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</si>
  <si>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</si>
  <si>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</si>
  <si>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</si>
  <si>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</si>
  <si>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</si>
  <si>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</si>
  <si>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</si>
  <si>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</si>
  <si>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</si>
  <si>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</si>
  <si>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</si>
  <si>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</si>
  <si>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</si>
  <si>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</si>
  <si>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</si>
  <si>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</si>
  <si>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</si>
  <si>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</si>
  <si>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</si>
  <si>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</si>
  <si>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</si>
  <si>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</si>
  <si>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</si>
  <si>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</si>
  <si>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</si>
  <si>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</si>
  <si>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</si>
  <si>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</si>
  <si>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</si>
  <si>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</si>
  <si>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</si>
  <si>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</si>
  <si>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</si>
  <si>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</si>
  <si>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</si>
  <si>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</si>
  <si>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</si>
  <si>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</si>
  <si>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</si>
  <si>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</si>
  <si>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</si>
  <si>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</si>
  <si>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</si>
  <si>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</si>
  <si>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</si>
  <si>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</si>
  <si>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</si>
  <si>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</si>
  <si>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</si>
  <si>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</si>
  <si>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</si>
  <si>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</si>
  <si>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</si>
  <si>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</si>
  <si>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</si>
  <si>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</si>
  <si>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</si>
  <si>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</si>
  <si>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</si>
  <si>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</si>
  <si>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</si>
  <si>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</si>
  <si>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</si>
  <si>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</si>
  <si>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</si>
  <si>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</si>
  <si>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</si>
  <si>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</si>
  <si>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</si>
  <si>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</si>
  <si>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</si>
  <si>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</si>
  <si>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</si>
  <si>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</si>
  <si>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</si>
  <si>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</si>
  <si>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</si>
  <si>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</si>
  <si>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</si>
  <si>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</si>
  <si>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</si>
  <si>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</si>
  <si>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</si>
  <si>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</si>
  <si>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</si>
  <si>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</si>
  <si>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</si>
  <si>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</si>
  <si>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</si>
  <si>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</si>
  <si>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</si>
  <si>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</si>
  <si>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</si>
  <si>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</si>
  <si>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</si>
  <si>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</si>
  <si>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</si>
  <si>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</si>
  <si>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</si>
  <si>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</si>
  <si>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</si>
  <si>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</si>
  <si>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</si>
  <si>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</si>
  <si>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</si>
  <si>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</si>
  <si>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</si>
  <si>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</si>
  <si>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</si>
  <si>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</si>
  <si>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</si>
  <si>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</si>
  <si>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</si>
  <si>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</si>
  <si>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</si>
  <si>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</si>
  <si>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</si>
  <si>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</si>
  <si>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</si>
  <si>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</si>
  <si>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</si>
  <si>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</si>
  <si>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</si>
  <si>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</si>
  <si>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</si>
  <si>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</si>
  <si>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</si>
  <si>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</si>
  <si>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</si>
  <si>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</si>
  <si>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</si>
  <si>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</si>
  <si>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</si>
  <si>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</si>
  <si>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</si>
  <si>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</si>
  <si>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</si>
  <si>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</si>
  <si>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</si>
  <si>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</si>
  <si>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</si>
  <si>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</si>
  <si>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</si>
  <si>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</si>
  <si>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</si>
  <si>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</si>
  <si>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</si>
  <si>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</si>
  <si>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</si>
  <si>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</si>
  <si>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</si>
  <si>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</si>
  <si>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</si>
  <si>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</si>
  <si>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</si>
  <si>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</si>
  <si>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</si>
  <si>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</si>
  <si>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</si>
  <si>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</si>
  <si>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</si>
  <si>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</si>
  <si>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</si>
  <si>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</si>
  <si>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</si>
  <si>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</si>
  <si>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</si>
  <si>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</si>
  <si>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</si>
  <si>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</si>
  <si>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</si>
  <si>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</si>
  <si>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</si>
  <si>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</si>
  <si>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</si>
  <si>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</si>
  <si>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</si>
  <si>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</si>
  <si>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</si>
  <si>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</si>
  <si>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</si>
  <si>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</si>
  <si>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</si>
  <si>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</si>
  <si>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</si>
  <si>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</si>
  <si>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</si>
  <si>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</si>
  <si>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</si>
  <si>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</si>
  <si>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</si>
  <si>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</si>
  <si>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</si>
  <si>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</si>
  <si>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</si>
  <si>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</si>
  <si>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</si>
  <si>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</si>
  <si>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</si>
  <si>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</si>
  <si>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</si>
  <si>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</si>
  <si>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</si>
  <si>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</si>
  <si>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</si>
  <si>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</si>
  <si>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</si>
  <si>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</si>
  <si>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</si>
  <si>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</si>
  <si>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</si>
  <si>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</si>
  <si>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</si>
  <si>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</si>
  <si>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</si>
  <si>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</si>
  <si>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</si>
  <si>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</si>
  <si>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</si>
  <si>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</si>
  <si>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</si>
  <si>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</si>
  <si>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</si>
  <si>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</si>
  <si>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</si>
  <si>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</si>
  <si>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</si>
  <si>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</si>
  <si>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</si>
  <si>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</si>
  <si>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</si>
  <si>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</si>
  <si>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</si>
  <si>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</si>
  <si>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</si>
  <si>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</si>
  <si>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</si>
  <si>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</si>
  <si>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</si>
  <si>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</si>
  <si>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</si>
  <si>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</si>
  <si>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</si>
  <si>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</si>
  <si>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</si>
  <si>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</si>
  <si>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</si>
  <si>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</si>
  <si>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</si>
  <si>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</si>
  <si>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</si>
  <si>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</si>
  <si>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</si>
  <si>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</si>
  <si>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</si>
  <si>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</si>
  <si>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</si>
  <si>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</si>
  <si>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</si>
  <si>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</si>
  <si>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</si>
  <si>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</si>
  <si>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</si>
  <si>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</si>
  <si>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</si>
  <si>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</si>
  <si>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</si>
  <si>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</si>
  <si>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</si>
  <si>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</si>
  <si>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</si>
  <si>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</si>
  <si>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</si>
  <si>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</si>
  <si>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</si>
  <si>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</si>
  <si>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</si>
  <si>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</si>
  <si>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</si>
  <si>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</si>
  <si>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</si>
  <si>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</si>
  <si>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</si>
  <si>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</si>
  <si>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</si>
  <si>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</si>
  <si>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</si>
  <si>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</si>
  <si>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</si>
  <si>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</si>
  <si>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</si>
  <si>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</si>
  <si>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</si>
  <si>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</si>
  <si>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</si>
  <si>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</si>
  <si>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</si>
  <si>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</si>
  <si>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</si>
  <si>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</si>
  <si>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</si>
  <si>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</si>
  <si>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</si>
  <si>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</si>
  <si>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</si>
  <si>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</si>
  <si>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</si>
  <si>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</si>
  <si>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</si>
  <si>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</si>
  <si>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</si>
  <si>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</si>
  <si>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</si>
  <si>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</si>
  <si>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</si>
  <si>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</si>
  <si>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</si>
  <si>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</si>
  <si>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</si>
  <si>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</si>
  <si>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</si>
  <si>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</si>
  <si>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</si>
  <si>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</si>
  <si>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</si>
  <si>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</si>
  <si>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</si>
  <si>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</si>
  <si>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</si>
  <si>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</si>
  <si>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</si>
  <si>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</si>
  <si>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</si>
  <si>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</si>
  <si>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</si>
  <si>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</si>
  <si>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</si>
  <si>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</si>
  <si>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</si>
  <si>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</si>
  <si>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</si>
  <si>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</si>
  <si>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</si>
  <si>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</si>
  <si>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</si>
  <si>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</si>
  <si>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</si>
  <si>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</si>
  <si>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</si>
  <si>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</si>
  <si>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</si>
  <si>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</si>
  <si>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</si>
  <si>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</si>
  <si>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</si>
  <si>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</si>
  <si>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</si>
  <si>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</si>
  <si>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</si>
  <si>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</si>
  <si>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</si>
  <si>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</si>
  <si>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</si>
  <si>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</si>
  <si>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</si>
  <si>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</si>
  <si>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</si>
  <si>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</si>
  <si>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</si>
  <si>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</si>
  <si>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</si>
  <si>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</si>
  <si>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</si>
  <si>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</si>
  <si>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</si>
  <si>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</si>
  <si>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</si>
  <si>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</si>
  <si>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</si>
  <si>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</si>
  <si>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</si>
  <si>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</si>
  <si>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</si>
  <si>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</si>
  <si>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</si>
  <si>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</si>
  <si>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</si>
  <si>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</si>
  <si>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</si>
  <si>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</si>
  <si>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</si>
  <si>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</si>
  <si>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</si>
  <si>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</si>
  <si>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</si>
  <si>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</si>
  <si>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</si>
  <si>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</si>
  <si>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</si>
  <si>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</si>
  <si>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</si>
  <si>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</si>
  <si>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</si>
  <si>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</si>
  <si>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</si>
  <si>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</si>
  <si>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</si>
  <si>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</si>
  <si>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</si>
  <si>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</si>
  <si>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</si>
  <si>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</si>
  <si>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</si>
  <si>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</si>
  <si>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</si>
  <si>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</si>
  <si>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</si>
  <si>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</si>
  <si>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</si>
  <si>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</si>
  <si>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</si>
  <si>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</si>
  <si>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</si>
  <si>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</si>
  <si>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</si>
  <si>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</si>
  <si>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</si>
  <si>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</si>
  <si>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</si>
  <si>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</si>
  <si>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</si>
  <si>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</si>
  <si>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</si>
  <si>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</si>
  <si>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</si>
  <si>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</si>
  <si>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</si>
  <si>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</si>
  <si>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</si>
  <si>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</si>
  <si>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</si>
  <si>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</si>
  <si>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</si>
  <si>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</si>
  <si>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</si>
  <si>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</si>
  <si>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</si>
  <si>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</si>
  <si>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</si>
  <si>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</si>
  <si>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</si>
  <si>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</si>
  <si>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</si>
  <si>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</si>
  <si>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</si>
  <si>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</si>
  <si>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</si>
  <si>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</si>
  <si>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</si>
  <si>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</si>
  <si>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</si>
  <si>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</si>
  <si>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</si>
  <si>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</si>
  <si>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</si>
  <si>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</si>
  <si>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</si>
  <si>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</si>
  <si>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</si>
  <si>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</si>
  <si>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</si>
  <si>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</si>
  <si>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</si>
  <si>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</si>
  <si>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</si>
  <si>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</si>
  <si>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</si>
  <si>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</si>
  <si>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</si>
  <si>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</si>
  <si>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</si>
  <si>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</si>
  <si>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</si>
  <si>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</si>
  <si>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</si>
  <si>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</si>
  <si>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</si>
  <si>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</si>
  <si>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</si>
  <si>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</si>
  <si>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</si>
  <si>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</si>
  <si>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</si>
  <si>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</si>
  <si>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</si>
  <si>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</si>
  <si>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</si>
  <si>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</si>
  <si>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</si>
  <si>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</si>
  <si>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</si>
  <si>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</si>
  <si>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</si>
  <si>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</si>
  <si>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</si>
  <si>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</si>
  <si>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</si>
  <si>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</si>
  <si>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</si>
  <si>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</si>
  <si>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</si>
  <si>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</si>
  <si>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</si>
  <si>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</si>
  <si>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</si>
  <si>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</si>
  <si>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</si>
  <si>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</si>
  <si>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</si>
  <si>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</si>
  <si>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</si>
  <si>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</si>
  <si>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</si>
  <si>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</si>
  <si>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</si>
  <si>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</si>
  <si>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</si>
  <si>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</si>
  <si>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</si>
  <si>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</si>
  <si>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</si>
  <si>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</si>
  <si>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</si>
  <si>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</si>
  <si>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</si>
  <si>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</si>
  <si>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</si>
  <si>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</si>
  <si>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</si>
  <si>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</si>
  <si>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</si>
  <si>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</si>
  <si>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</si>
  <si>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</si>
  <si>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</si>
  <si>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</si>
  <si>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</si>
  <si>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</si>
  <si>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</si>
  <si>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</si>
  <si>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</si>
  <si>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</si>
  <si>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</si>
  <si>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</si>
  <si>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</si>
  <si>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</si>
  <si>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</si>
  <si>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</si>
  <si>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</si>
  <si>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</si>
  <si>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</si>
  <si>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</si>
  <si>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</si>
  <si>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</si>
  <si>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</si>
  <si>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</si>
  <si>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</si>
  <si>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</si>
  <si>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</si>
  <si>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</si>
  <si>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</si>
  <si>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</si>
  <si>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</si>
  <si>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</si>
  <si>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</si>
  <si>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</si>
  <si>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</si>
  <si>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</si>
  <si>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</si>
  <si>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</si>
  <si>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</si>
  <si>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</si>
  <si>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</si>
  <si>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</si>
  <si>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</si>
  <si>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</si>
  <si>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</si>
  <si>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</si>
  <si>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</si>
  <si>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</si>
  <si>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</si>
  <si>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</si>
  <si>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</si>
  <si>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</si>
  <si>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</si>
  <si>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</si>
  <si>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</si>
  <si>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</si>
  <si>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</si>
  <si>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</si>
  <si>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</si>
  <si>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</si>
  <si>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</si>
  <si>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</si>
  <si>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</si>
  <si>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</si>
  <si>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</si>
  <si>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</si>
  <si>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</si>
  <si>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</si>
  <si>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</si>
  <si>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</si>
  <si>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</si>
  <si>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</si>
  <si>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</si>
  <si>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</si>
  <si>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</si>
  <si>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</si>
  <si>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</si>
  <si>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</si>
  <si>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</si>
  <si>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</si>
  <si>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</si>
  <si>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</si>
  <si>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</si>
  <si>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</si>
  <si>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</si>
  <si>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</si>
  <si>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</si>
  <si>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</si>
  <si>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</si>
  <si>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</si>
  <si>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</si>
  <si>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</si>
  <si>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</si>
  <si>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</si>
  <si>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</si>
  <si>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</si>
  <si>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</si>
  <si>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</si>
  <si>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</si>
  <si>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</si>
  <si>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</si>
  <si>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</si>
  <si>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</si>
  <si>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</si>
  <si>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</si>
  <si>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</si>
  <si>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</si>
  <si>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</si>
  <si>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</si>
  <si>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</si>
  <si>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</si>
  <si>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</si>
  <si>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</si>
  <si>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</si>
  <si>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</si>
  <si>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</si>
  <si>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</si>
  <si>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</si>
  <si>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</si>
  <si>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</si>
  <si>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</si>
  <si>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</si>
  <si>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</si>
  <si>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</si>
  <si>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</si>
  <si>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</si>
  <si>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</si>
  <si>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</si>
  <si>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</si>
  <si>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</si>
  <si>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</si>
  <si>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</si>
  <si>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</si>
  <si>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</si>
  <si>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</si>
  <si>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</si>
  <si>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</si>
  <si>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</si>
  <si>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</si>
  <si>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</si>
  <si>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</si>
  <si>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</si>
  <si>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</si>
  <si>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</si>
  <si>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</si>
  <si>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</si>
  <si>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</si>
  <si>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</si>
  <si>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</si>
  <si>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</si>
  <si>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</si>
  <si>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</si>
  <si>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</si>
  <si>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</si>
  <si>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</si>
  <si>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</si>
  <si>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</si>
  <si>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</si>
  <si>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</si>
  <si>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</si>
  <si>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</si>
  <si>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</si>
  <si>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</si>
  <si>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</si>
  <si>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</si>
  <si>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</si>
  <si>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</si>
  <si>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</si>
  <si>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</si>
  <si>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</si>
  <si>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</si>
  <si>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</si>
  <si>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</si>
  <si>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</si>
  <si>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</si>
  <si>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</si>
  <si>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</si>
  <si>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</si>
  <si>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</si>
  <si>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</si>
  <si>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</si>
  <si>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</si>
  <si>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</si>
  <si>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</si>
  <si>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</si>
  <si>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</si>
  <si>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</si>
  <si>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</si>
  <si>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</si>
  <si>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</si>
  <si>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</si>
  <si>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</si>
  <si>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</si>
  <si>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</si>
  <si>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</si>
  <si>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</si>
  <si>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</si>
  <si>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</si>
  <si>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</si>
  <si>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</si>
  <si>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</si>
  <si>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</si>
  <si>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</si>
  <si>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</si>
  <si>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</si>
  <si>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</si>
  <si>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</si>
  <si>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</si>
  <si>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</si>
  <si>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</si>
  <si>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</si>
  <si>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</si>
  <si>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</si>
  <si>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</si>
  <si>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</si>
  <si>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</si>
  <si>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</si>
  <si>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</si>
  <si>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</si>
  <si>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</si>
  <si>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</si>
  <si>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</si>
  <si>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</si>
  <si>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</si>
  <si>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</si>
  <si>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</si>
  <si>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</si>
  <si>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</si>
  <si>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</si>
  <si>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</si>
  <si>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</si>
  <si>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</si>
  <si>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</si>
  <si>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</si>
  <si>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</si>
  <si>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</si>
  <si>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</si>
  <si>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</si>
  <si>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</si>
  <si>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</si>
  <si>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</si>
  <si>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</si>
  <si>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</si>
  <si>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</si>
  <si>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</si>
  <si>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</si>
  <si>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</si>
  <si>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</si>
  <si>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</si>
  <si>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</si>
  <si>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</si>
  <si>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</si>
  <si>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</si>
  <si>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</si>
  <si>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</si>
  <si>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</si>
  <si>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</si>
  <si>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</si>
  <si>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</si>
  <si>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</si>
  <si>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</si>
  <si>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</si>
  <si>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</si>
  <si>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</si>
  <si>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</si>
  <si>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</si>
  <si>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</si>
  <si>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</si>
  <si>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</si>
  <si>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</si>
  <si>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</si>
  <si>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</si>
  <si>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</si>
  <si>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</si>
  <si>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</si>
  <si>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</si>
  <si>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</si>
  <si>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</si>
  <si>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</si>
  <si>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</si>
  <si>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</si>
  <si>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</si>
  <si>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</si>
  <si>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</si>
  <si>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</si>
  <si>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</si>
  <si>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</si>
  <si>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</si>
  <si>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</si>
  <si>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</si>
  <si>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</si>
  <si>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</si>
  <si>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</si>
  <si>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</si>
  <si>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</si>
  <si>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</si>
  <si>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</si>
  <si>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</si>
  <si>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</si>
  <si>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</si>
  <si>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</si>
  <si>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</si>
  <si>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</si>
  <si>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</si>
  <si>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</si>
  <si>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</si>
  <si>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</si>
  <si>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</si>
  <si>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</si>
  <si>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</si>
  <si>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</si>
  <si>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</si>
  <si>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</si>
  <si>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</si>
  <si>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</si>
  <si>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</si>
  <si>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</si>
  <si>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</si>
  <si>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</si>
  <si>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</si>
  <si>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</si>
  <si>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</si>
  <si>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</si>
  <si>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</si>
  <si>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</si>
  <si>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</si>
  <si>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</si>
  <si>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</si>
  <si>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</si>
  <si>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</si>
  <si>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</si>
  <si>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</si>
  <si>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</si>
  <si>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</si>
  <si>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</si>
  <si>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</si>
  <si>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</si>
  <si>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</si>
  <si>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</si>
  <si>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</si>
  <si>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</si>
  <si>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</si>
  <si>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</si>
  <si>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</si>
  <si>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</si>
  <si>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</si>
  <si>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</si>
  <si>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</si>
  <si>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</si>
  <si>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</si>
  <si>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</si>
  <si>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</si>
  <si>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</si>
  <si>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</si>
  <si>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</si>
  <si>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</si>
  <si>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</si>
  <si>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</si>
  <si>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</si>
  <si>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</si>
  <si>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</si>
  <si>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</si>
  <si>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</si>
  <si>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</si>
  <si>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</si>
  <si>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</si>
  <si>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</si>
  <si>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</si>
  <si>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</si>
  <si>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</si>
  <si>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</si>
  <si>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</si>
  <si>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</si>
  <si>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</si>
  <si>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</si>
  <si>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</si>
  <si>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</si>
  <si>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</si>
  <si>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</si>
  <si>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</si>
  <si>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</si>
  <si>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</si>
  <si>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</si>
  <si>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</si>
  <si>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</si>
  <si>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</si>
  <si>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</si>
  <si>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</si>
  <si>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</si>
  <si>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</si>
  <si>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</si>
  <si>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</si>
  <si>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</si>
  <si>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</si>
  <si>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</si>
  <si>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</si>
  <si>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</si>
  <si>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</si>
  <si>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</si>
  <si>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</si>
  <si>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</si>
  <si>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</si>
  <si>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</si>
  <si>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</si>
  <si>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</si>
  <si>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</si>
  <si>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</si>
  <si>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</si>
  <si>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</si>
  <si>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</si>
  <si>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</si>
  <si>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</si>
  <si>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</si>
  <si>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</si>
  <si>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</si>
  <si>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</si>
  <si>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</si>
  <si>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</si>
  <si>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</si>
  <si>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</si>
  <si>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</si>
  <si>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</si>
  <si>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</si>
  <si>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</si>
  <si>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</si>
  <si>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</si>
  <si>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</si>
  <si>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</si>
  <si>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</si>
  <si>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</si>
  <si>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</si>
  <si>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</si>
  <si>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</si>
  <si>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</si>
  <si>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</si>
  <si>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</si>
  <si>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</si>
  <si>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</si>
  <si>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</si>
  <si>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</si>
  <si>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</si>
  <si>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</si>
  <si>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</si>
  <si>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</si>
  <si>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</si>
  <si>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</si>
  <si>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</si>
  <si>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</si>
  <si>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</si>
  <si>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</si>
  <si>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</si>
  <si>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</si>
  <si>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</si>
  <si>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</si>
  <si>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</si>
  <si>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</si>
  <si>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</si>
  <si>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</si>
  <si>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</si>
  <si>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</si>
  <si>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</si>
  <si>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</si>
  <si>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</si>
  <si>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</si>
  <si>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</si>
  <si>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</si>
  <si>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</si>
  <si>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</si>
  <si>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</si>
  <si>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</si>
  <si>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</si>
  <si>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</si>
  <si>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</si>
  <si>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</si>
  <si>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</si>
  <si>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</si>
  <si>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</si>
  <si>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</si>
  <si>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</si>
  <si>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</si>
  <si>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</si>
  <si>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</si>
  <si>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</si>
  <si>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</si>
  <si>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</si>
  <si>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</si>
  <si>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</si>
  <si>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</si>
  <si>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</si>
  <si>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</si>
  <si>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</si>
  <si>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</si>
  <si>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</si>
  <si>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</si>
  <si>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</si>
  <si>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</si>
  <si>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</si>
  <si>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</si>
  <si>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</si>
  <si>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</si>
  <si>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</si>
  <si>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</si>
  <si>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</si>
  <si>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</si>
  <si>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</si>
  <si>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</si>
  <si>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</si>
  <si>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</si>
  <si>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</si>
  <si>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</si>
  <si>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</si>
  <si>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</si>
  <si>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</si>
  <si>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</si>
  <si>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</si>
  <si>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</si>
  <si>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</si>
  <si>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</si>
  <si>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</si>
  <si>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</si>
  <si>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</si>
  <si>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</si>
  <si>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</si>
  <si>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</si>
  <si>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</si>
  <si>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</si>
  <si>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</si>
  <si>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</si>
  <si>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</si>
  <si>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</si>
  <si>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</si>
  <si>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</si>
  <si>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</si>
  <si>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</si>
  <si>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</si>
  <si>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</si>
  <si>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</si>
  <si>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</si>
  <si>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</si>
  <si>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</si>
  <si>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</si>
  <si>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</si>
  <si>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</si>
  <si>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</si>
  <si>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</si>
  <si>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</si>
  <si>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</si>
  <si>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</si>
  <si>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</si>
  <si>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</si>
  <si>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</si>
  <si>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</si>
  <si>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</si>
  <si>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</si>
  <si>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</si>
  <si>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</si>
  <si>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</si>
  <si>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</si>
  <si>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</si>
  <si>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</si>
  <si>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</si>
  <si>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</si>
  <si>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</si>
  <si>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</si>
  <si>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</si>
  <si>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</si>
  <si>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</si>
  <si>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</si>
  <si>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</si>
  <si>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</si>
  <si>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</si>
  <si>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</si>
  <si>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</si>
  <si>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</si>
  <si>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</si>
  <si>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</si>
  <si>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</si>
  <si>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</si>
  <si>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</si>
  <si>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</si>
  <si>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</si>
  <si>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</si>
  <si>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</si>
  <si>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</si>
  <si>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</si>
  <si>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</si>
  <si>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</si>
  <si>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</si>
  <si>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</si>
  <si>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</si>
  <si>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</si>
  <si>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</si>
  <si>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</si>
  <si>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</si>
  <si>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</si>
  <si>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</si>
  <si>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</si>
  <si>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</si>
  <si>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</si>
  <si>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</si>
  <si>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</si>
  <si>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</si>
  <si>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</si>
  <si>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</si>
  <si>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</si>
  <si>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</si>
  <si>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</si>
  <si>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</si>
  <si>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</si>
  <si>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</si>
  <si>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</si>
  <si>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</si>
  <si>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</si>
  <si>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</si>
  <si>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</si>
  <si>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</si>
  <si>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</si>
  <si>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</si>
  <si>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</si>
  <si>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</si>
  <si>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</si>
  <si>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</si>
  <si>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</si>
  <si>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</si>
  <si>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</si>
  <si>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</si>
  <si>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</si>
  <si>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</si>
  <si>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</si>
  <si>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</si>
  <si>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</si>
  <si>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</si>
  <si>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</si>
  <si>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</si>
  <si>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</si>
  <si>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</si>
  <si>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</si>
  <si>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</si>
  <si>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</si>
  <si>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</si>
  <si>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</si>
  <si>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</si>
  <si>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</si>
  <si>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</si>
  <si>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</si>
  <si>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</si>
  <si>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</si>
  <si>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</si>
  <si>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</si>
  <si>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</si>
  <si>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</si>
  <si>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</si>
  <si>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</si>
  <si>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</si>
  <si>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</si>
  <si>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</si>
  <si>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</si>
  <si>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</si>
  <si>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</si>
  <si>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</si>
  <si>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</si>
  <si>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</si>
  <si>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</si>
  <si>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</si>
  <si>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</si>
  <si>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</si>
  <si>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</si>
  <si>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</si>
  <si>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</si>
  <si>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</si>
  <si>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</si>
  <si>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</si>
  <si>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</si>
  <si>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</si>
  <si>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</si>
  <si>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</si>
  <si>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</si>
  <si>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</si>
  <si>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</si>
  <si>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</si>
  <si>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</si>
  <si>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</si>
  <si>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</si>
  <si>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</si>
  <si>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</si>
  <si>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</si>
  <si>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</si>
  <si>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</si>
  <si>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</si>
  <si>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</si>
  <si>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</si>
  <si>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</si>
  <si>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</si>
  <si>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</si>
  <si>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</si>
  <si>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</si>
  <si>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</si>
  <si>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</si>
  <si>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</si>
  <si>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</si>
  <si>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</si>
  <si>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</si>
  <si>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</si>
  <si>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</si>
  <si>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</si>
  <si>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</si>
  <si>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</si>
  <si>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</si>
  <si>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</si>
  <si>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</si>
  <si>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</si>
  <si>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</si>
  <si>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</si>
  <si>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</si>
  <si>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</si>
  <si>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</si>
  <si>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</si>
  <si>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</si>
  <si>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</si>
  <si>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</si>
  <si>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</si>
  <si>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</si>
  <si>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</si>
  <si>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</si>
  <si>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</si>
  <si>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</si>
  <si>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</si>
  <si>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</si>
  <si>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</si>
  <si>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</si>
  <si>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</si>
  <si>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</si>
  <si>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</si>
  <si>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</si>
  <si>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</si>
  <si>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</si>
  <si>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</si>
  <si>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</si>
  <si>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</si>
  <si>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</si>
  <si>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</si>
  <si>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</si>
  <si>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</si>
  <si>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</si>
  <si>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</si>
  <si>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</si>
  <si>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</si>
  <si>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</si>
  <si>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</si>
  <si>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</si>
  <si>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</si>
  <si>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</si>
  <si>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</si>
  <si>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</si>
  <si>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</si>
  <si>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</si>
  <si>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</si>
  <si>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</si>
  <si>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</si>
  <si>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</si>
  <si>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</si>
  <si>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</si>
  <si>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</si>
  <si>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</si>
  <si>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</si>
  <si>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</si>
  <si>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</si>
  <si>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</si>
  <si>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</si>
  <si>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</si>
  <si>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</si>
  <si>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</si>
  <si>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</si>
  <si>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</si>
  <si>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</si>
  <si>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</si>
  <si>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</si>
  <si>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</si>
  <si>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</si>
  <si>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</si>
  <si>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</si>
  <si>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</si>
  <si>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</si>
  <si>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</si>
  <si>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</si>
  <si>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</si>
  <si>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</si>
  <si>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</si>
  <si>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</si>
  <si>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</si>
  <si>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</si>
  <si>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</si>
  <si>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</si>
  <si>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</si>
  <si>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</si>
  <si>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</si>
  <si>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</si>
  <si>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</si>
  <si>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</si>
  <si>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</si>
  <si>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</si>
  <si>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</si>
  <si>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</si>
  <si>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</si>
  <si>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</si>
  <si>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</si>
  <si>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</si>
  <si>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</si>
  <si>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</si>
  <si>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</si>
  <si>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</si>
  <si>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</si>
  <si>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</si>
  <si>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</si>
  <si>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</si>
  <si>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</si>
  <si>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</si>
  <si>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</si>
  <si>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</si>
  <si>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</si>
  <si>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</si>
  <si>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</si>
  <si>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</si>
  <si>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</si>
  <si>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</si>
  <si>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</si>
  <si>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</si>
  <si>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</si>
  <si>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</si>
  <si>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</si>
  <si>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</si>
  <si>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</si>
  <si>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</si>
  <si>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</si>
  <si>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</si>
  <si>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</si>
  <si>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</si>
  <si>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</si>
  <si>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</si>
  <si>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</si>
  <si>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</si>
  <si>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</si>
  <si>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</si>
  <si>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</si>
  <si>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</si>
  <si>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</si>
  <si>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</si>
  <si>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</si>
  <si>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</si>
  <si>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</si>
  <si>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</si>
  <si>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</si>
  <si>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</si>
  <si>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</si>
  <si>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</si>
  <si>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</si>
  <si>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</si>
  <si>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</si>
  <si>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</si>
  <si>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</si>
  <si>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</si>
  <si>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</si>
  <si>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</si>
  <si>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</si>
  <si>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</si>
  <si>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</si>
  <si>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</si>
  <si>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</si>
  <si>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</si>
  <si>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</si>
  <si>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</si>
  <si>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</si>
  <si>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</si>
  <si>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</si>
  <si>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</si>
  <si>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</si>
  <si>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</si>
  <si>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</si>
  <si>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</si>
  <si>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</si>
  <si>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</si>
  <si>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</si>
  <si>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</si>
  <si>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</si>
  <si>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</si>
  <si>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</si>
  <si>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</si>
  <si>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</si>
  <si>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</si>
  <si>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</si>
  <si>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</si>
  <si>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</si>
  <si>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</si>
  <si>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</si>
  <si>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</si>
  <si>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</si>
  <si>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</si>
  <si>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</si>
  <si>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</si>
  <si>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</si>
  <si>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</si>
  <si>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</si>
  <si>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</si>
  <si>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</si>
  <si>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</si>
  <si>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</si>
  <si>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</si>
  <si>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</si>
  <si>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</si>
  <si>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</si>
  <si>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</si>
  <si>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</si>
  <si>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</si>
  <si>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</si>
  <si>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</si>
  <si>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</si>
  <si>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</si>
  <si>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</si>
  <si>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</si>
  <si>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</si>
  <si>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</si>
  <si>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</si>
  <si>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</si>
  <si>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</si>
  <si>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</si>
  <si>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</si>
  <si>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</si>
  <si>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</si>
  <si>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</si>
  <si>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</si>
  <si>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</si>
  <si>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</si>
  <si>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</si>
  <si>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</si>
  <si>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</si>
  <si>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</si>
  <si>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</si>
  <si>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</si>
  <si>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</si>
  <si>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</si>
  <si>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</si>
  <si>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</si>
  <si>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</si>
  <si>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</si>
  <si>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</si>
  <si>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</si>
  <si>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</si>
  <si>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</si>
  <si>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</si>
  <si>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</si>
  <si>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2019-1-0096</t>
    <phoneticPr fontId="6" type="noConversion"/>
  </si>
  <si>
    <t>叶凌</t>
  </si>
  <si>
    <t>陈颖</t>
  </si>
  <si>
    <t>核定资产</t>
  </si>
  <si>
    <t>自然人</t>
  </si>
  <si>
    <t>北京市</t>
  </si>
  <si>
    <t>Ⅱ—01</t>
  </si>
  <si>
    <r>
      <t>A</t>
    </r>
    <r>
      <rPr>
        <sz val="10"/>
        <color indexed="8"/>
        <rFont val="宋体"/>
        <family val="3"/>
        <charset val="134"/>
      </rPr>
      <t>座</t>
    </r>
    <r>
      <rPr>
        <sz val="10"/>
        <color indexed="8"/>
        <rFont val="Arial"/>
        <family val="2"/>
      </rPr>
      <t>6F</t>
    </r>
    <phoneticPr fontId="3" type="noConversion"/>
  </si>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</sst>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4" fontId="64" fillId="17" borderId="1" xfId="0" applyNumberFormat="1" applyFont="1" applyFill="1" applyBorder="1" applyAlignment="1" applyProtection="1">
      <alignment horizontal="center" vertical="center" shrinkToFi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康正预评字2019-1-0096号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估价对象为北京市房地产，为所有。根据《国有土地使用证》[]，估价对象（分摊）出让国有建设用地使用权面积为0平方米，建筑面积为292.44平方米。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估价对象为北京市房地产,属开发建设的，该项目尚在开发建设中。根据《国有土地使用证》[]，估价对象（分摊）出让国有建设用地使用权面积为0平方米，规划建筑面积为292.44平方米。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2019年2月27日（评估专业人员实地查勘之日）</v>
      </c>
    </row>
    <row r="13" spans="1:2" s="1596" customFormat="1">
      <c r="A13" s="1594" t="s">
        <v>1223</v>
      </c>
      <c r="B13" s="1595"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1358</v>
      </c>
    </row>
    <row r="21" spans="1:2" s="1596" customFormat="1">
      <c r="A21" s="1594" t="s">
        <v>1231</v>
      </c>
      <c r="B21" s="1595">
        <f ca="1">'预评函-2'!D7</f>
        <v>46437</v>
      </c>
    </row>
    <row r="22" spans="1:2" s="1596" customFormat="1">
      <c r="A22" s="1594" t="s">
        <v>1232</v>
      </c>
      <c r="B22" s="1595" t="str">
        <f ca="1">'预评函-2'!D6</f>
        <v>壹仟叁佰伍拾捌万元整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1358</v>
      </c>
    </row>
    <row r="31" spans="1:2" s="1596" customFormat="1">
      <c r="A31" s="1594" t="s">
        <v>1270</v>
      </c>
      <c r="B31" s="1595">
        <f ca="1">'预评函-2'!D15</f>
        <v>46437</v>
      </c>
    </row>
    <row r="32" spans="1:2" s="1596" customFormat="1">
      <c r="A32" s="1594" t="s">
        <v>1237</v>
      </c>
      <c r="B32" s="1595" t="str">
        <f ca="1">'预评函-2'!D14</f>
        <v>壹仟叁佰伍拾捌万元整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292.44</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D14" sqref="D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2" t="str">
        <f>IF(B10="北京市","北京市",C10)&amp;F10&amp;IF(结果表!G1="在建","出让国有建设用地使用权及在建建筑物",IF(结果表!G1="土地","出让国有建设用地使用权",))&amp;B9&amp;"预评估"</f>
        <v>北京市预评估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43523</v>
      </c>
      <c r="C3" s="2040" t="s">
        <v>1775</v>
      </c>
      <c r="D3" s="2039">
        <v>43523</v>
      </c>
      <c r="E3" s="2029"/>
      <c r="F3" s="2029"/>
      <c r="G3" s="2029"/>
      <c r="H3" s="2029"/>
      <c r="I3" s="2029"/>
      <c r="J3" s="2029"/>
      <c r="K3" s="2030"/>
      <c r="L3" s="2031"/>
      <c r="M3" s="2031"/>
      <c r="N3" s="2032"/>
      <c r="O3" s="2033"/>
      <c r="P3" s="2032"/>
      <c r="Q3" s="2032"/>
      <c r="R3" s="2032"/>
      <c r="S3" s="2034"/>
    </row>
    <row r="4" spans="1:19" ht="18" customHeight="1" thickBot="1">
      <c r="A4" s="2041" t="s">
        <v>1776</v>
      </c>
      <c r="B4" s="2042" t="s">
        <v>3054</v>
      </c>
      <c r="C4" s="1040">
        <f ca="1">SUMIF(注册房地产估价师,B4,估价师及机构信息!B3:B24)</f>
        <v>1119970111</v>
      </c>
      <c r="D4" s="2042" t="s">
        <v>3055</v>
      </c>
      <c r="E4" s="1041">
        <f ca="1">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3005"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06"/>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3276">
        <v>60606</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46.8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2"/>
      <c r="C16" s="3013"/>
      <c r="D16" s="3014"/>
      <c r="E16" s="2089" t="s">
        <v>1798</v>
      </c>
      <c r="F16" s="3015"/>
      <c r="G16" s="3016"/>
      <c r="H16" s="3016"/>
      <c r="I16" s="3017"/>
      <c r="J16" s="2032"/>
      <c r="K16" s="2086"/>
      <c r="L16" s="2087"/>
      <c r="M16" s="2087"/>
      <c r="N16" s="2088"/>
      <c r="O16" s="2087"/>
      <c r="P16" s="2088"/>
      <c r="Q16" s="2032"/>
      <c r="R16" s="2032"/>
    </row>
    <row r="17" spans="1:22" ht="18" customHeight="1">
      <c r="A17" s="2090" t="s">
        <v>1799</v>
      </c>
      <c r="B17" s="2038" t="s">
        <v>1800</v>
      </c>
      <c r="C17" s="1057">
        <f>'数据-汇总表'!E3</f>
        <v>292.44</v>
      </c>
      <c r="D17" s="2091" t="s">
        <v>1801</v>
      </c>
      <c r="E17" s="3018" t="s">
        <v>1802</v>
      </c>
      <c r="F17" s="3019"/>
      <c r="G17" s="3019"/>
      <c r="H17" s="3019"/>
      <c r="I17" s="3020"/>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21" t="s">
        <v>1805</v>
      </c>
      <c r="F18" s="3022"/>
      <c r="G18" s="3022"/>
      <c r="H18" s="3022"/>
      <c r="I18" s="3023"/>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8" t="s">
        <v>1810</v>
      </c>
      <c r="C20" s="3009"/>
      <c r="D20" s="3010" t="s">
        <v>1811</v>
      </c>
      <c r="E20" s="3011"/>
      <c r="F20" s="2101" t="s">
        <v>1812</v>
      </c>
      <c r="G20" s="2045"/>
      <c r="H20" s="2045"/>
      <c r="I20" s="2045"/>
      <c r="J20" s="2045"/>
      <c r="K20" s="300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5"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5"/>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5"/>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6"/>
      <c r="B30" s="2038" t="s">
        <v>1829</v>
      </c>
      <c r="C30" s="2997"/>
      <c r="D30" s="299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9"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2994" t="s">
        <v>1839</v>
      </c>
      <c r="T34" s="2138" t="str">
        <f>NUMBERSTRING(7-K34,1)&amp;"通"</f>
        <v>七通</v>
      </c>
      <c r="U34" s="2032"/>
      <c r="V34" s="2032"/>
    </row>
    <row r="35" spans="1:22" ht="18" customHeight="1">
      <c r="A35" s="2139"/>
      <c r="B35" s="3001" t="s">
        <v>1840</v>
      </c>
      <c r="C35" s="3001"/>
      <c r="D35" s="3001"/>
      <c r="E35" s="300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4"/>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292.44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292.44</v>
      </c>
      <c r="H5" s="16">
        <f t="shared" ref="H5:AT5" si="0">SUM(H13:H656)</f>
        <v>292.44</v>
      </c>
      <c r="I5" s="16">
        <f t="shared" si="0"/>
        <v>292.44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292.44</v>
      </c>
      <c r="BA5" s="18">
        <f t="shared" si="1"/>
        <v>292.44</v>
      </c>
      <c r="BB5" s="18">
        <f t="shared" si="1"/>
        <v>292.44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3062</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3060</v>
      </c>
      <c r="D13" s="2217" t="s">
        <v>3061</v>
      </c>
      <c r="E13" s="16">
        <f>IF($C$3="是",ROUND($A$3*G13/$B$3,2),ROUND($A$3*(G13-AT13)/$B$3,2))</f>
        <v>0</v>
      </c>
      <c r="F13" s="32"/>
      <c r="G13" s="33">
        <f>H13+AC13+AT13</f>
        <v>292.44</v>
      </c>
      <c r="H13" s="20">
        <f>SUMIF(I$12:AB$12,"总值",I13:AB13)</f>
        <v>292.44</v>
      </c>
      <c r="I13" s="2218">
        <v>292.44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A座6F</v>
      </c>
      <c r="AY13" s="1809">
        <f>ROUND($AY$6*AZ13/$AZ$5,2)</f>
        <v>0</v>
      </c>
      <c r="AZ13" s="16">
        <f>BA13+BL13</f>
        <v>292.44</v>
      </c>
      <c r="BA13" s="16">
        <f>SUM(BB13:BK13)</f>
        <v>292.44</v>
      </c>
      <c r="BB13" s="16">
        <f>IF($D13="是",I13-J13,0)</f>
        <v>292.44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5" t="s">
        <v>1936</v>
      </c>
      <c r="B2" s="3035"/>
      <c r="C2" s="3035"/>
      <c r="D2" s="970" t="s">
        <v>1912</v>
      </c>
      <c r="E2" s="2231" t="s">
        <v>1913</v>
      </c>
      <c r="F2" s="1395"/>
      <c r="G2" s="2232"/>
      <c r="H2" s="2233"/>
      <c r="I2" s="2234" t="s">
        <v>1937</v>
      </c>
      <c r="J2" s="1395"/>
      <c r="K2" s="1395"/>
      <c r="L2" s="1395"/>
      <c r="M2" s="1395"/>
      <c r="N2" s="1430"/>
      <c r="O2" s="1395"/>
      <c r="P2" s="1395"/>
    </row>
    <row r="3" spans="1:16" ht="15.75" thickBot="1">
      <c r="A3" s="3036" t="s">
        <v>1910</v>
      </c>
      <c r="B3" s="3036"/>
      <c r="C3" s="3036"/>
      <c r="D3" s="46">
        <f>'数据-基础表'!AY6</f>
        <v>0</v>
      </c>
      <c r="E3" s="46">
        <f>'数据-基础表'!AZ5</f>
        <v>292.44</v>
      </c>
      <c r="F3" s="1395"/>
      <c r="G3" s="1402"/>
      <c r="H3" s="1250" t="s">
        <v>1911</v>
      </c>
      <c r="I3" s="55" t="e">
        <f>ROUND('数据-基础表'!B3/'数据-基础表'!A3,2)</f>
        <v>#DIV/0!</v>
      </c>
      <c r="J3" s="1395"/>
      <c r="K3" s="1395"/>
      <c r="L3" s="1395"/>
      <c r="M3" s="1395"/>
      <c r="N3" s="1430"/>
      <c r="O3" s="1395"/>
      <c r="P3" s="1395"/>
    </row>
    <row r="4" spans="1:16" ht="15">
      <c r="A4" s="3037"/>
      <c r="B4" s="3038"/>
      <c r="C4" s="3039"/>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40" t="s">
        <v>1915</v>
      </c>
      <c r="C5" s="3040"/>
      <c r="D5" s="48">
        <f>ROUND($D$3*E5/$E$3,2)</f>
        <v>0</v>
      </c>
      <c r="E5" s="49">
        <f>SUMIF('数据-基础表'!$11:$11,"住宅",'数据-基础表'!$5:$5)</f>
        <v>292.44</v>
      </c>
      <c r="F5" s="1395"/>
      <c r="G5" s="1402"/>
      <c r="H5" s="1250" t="s">
        <v>1911</v>
      </c>
      <c r="I5" s="55" t="e">
        <f>ROUND(E31/D31,2)</f>
        <v>#DIV/0!</v>
      </c>
      <c r="J5" s="1395"/>
      <c r="K5" s="1395"/>
      <c r="L5" s="1395"/>
      <c r="M5" s="1395"/>
      <c r="N5" s="1395"/>
      <c r="O5" s="1395"/>
      <c r="P5" s="1395"/>
    </row>
    <row r="6" spans="1:16" ht="15" thickBot="1">
      <c r="A6" s="2238"/>
      <c r="B6" s="3040" t="s">
        <v>1916</v>
      </c>
      <c r="C6" s="3040"/>
      <c r="D6" s="48">
        <f>ROUND($D$3*E6/$E$3,2)</f>
        <v>0</v>
      </c>
      <c r="E6" s="49">
        <f>E3-E5</f>
        <v>0</v>
      </c>
      <c r="F6" s="1395"/>
      <c r="G6" s="2239" t="s">
        <v>1917</v>
      </c>
      <c r="H6" s="1402" t="s">
        <v>1918</v>
      </c>
      <c r="I6" s="942" t="e">
        <f>ROUND(F31/D31,2)</f>
        <v>#DIV/0!</v>
      </c>
      <c r="J6" s="1395"/>
      <c r="K6" s="1395"/>
      <c r="L6" s="1395"/>
      <c r="M6" s="1395"/>
      <c r="N6" s="1395"/>
      <c r="O6" s="1395"/>
      <c r="P6" s="1395"/>
    </row>
    <row r="7" spans="1:16" ht="15">
      <c r="A7" s="3032"/>
      <c r="B7" s="3033"/>
      <c r="C7" s="3034"/>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292.44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292.44</v>
      </c>
      <c r="F16" s="1395"/>
      <c r="G16" s="2241"/>
      <c r="H16" s="2244" t="s">
        <v>1940</v>
      </c>
      <c r="I16" s="2245"/>
      <c r="J16" s="1395"/>
      <c r="K16" s="3029" t="s">
        <v>1940</v>
      </c>
      <c r="L16" s="3030"/>
      <c r="M16" s="3030"/>
      <c r="N16" s="3030"/>
      <c r="O16" s="3030"/>
      <c r="P16" s="3031"/>
    </row>
    <row r="17" spans="1:19" ht="15">
      <c r="A17" s="2246" t="s">
        <v>1941</v>
      </c>
      <c r="B17" s="2247" t="s">
        <v>1942</v>
      </c>
      <c r="C17" s="2248" t="s">
        <v>1943</v>
      </c>
      <c r="D17" s="2249" t="s">
        <v>1931</v>
      </c>
      <c r="E17" s="2250" t="s">
        <v>1932</v>
      </c>
      <c r="F17" s="2251"/>
      <c r="G17" s="2252"/>
      <c r="H17" s="2253" t="s">
        <v>1944</v>
      </c>
      <c r="I17" s="2254" t="s">
        <v>1929</v>
      </c>
      <c r="J17" s="1395"/>
      <c r="K17" s="3026" t="s">
        <v>1945</v>
      </c>
      <c r="L17" s="3027"/>
      <c r="M17" s="3028"/>
      <c r="N17" s="3026" t="s">
        <v>1946</v>
      </c>
      <c r="O17" s="3027"/>
      <c r="P17" s="3028"/>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3064</v>
      </c>
      <c r="D19" s="48">
        <f>ROUND($D$3*E19/$E$3,2)</f>
        <v>0</v>
      </c>
      <c r="E19" s="56">
        <f t="shared" ref="E19:E26" si="1">SUM(F19:G19)</f>
        <v>292.44</v>
      </c>
      <c r="F19" s="57">
        <f>'数据-基础表'!I5</f>
        <v>292.44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292.44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292.44</v>
      </c>
      <c r="F27" s="1396">
        <f>IF(SUM(F19:F26)=E8,SUM(F19:F26),"地上面积有误")</f>
        <v>292.44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292.44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292.44</v>
      </c>
      <c r="F31" s="730">
        <f>F27+F30</f>
        <v>292.44</v>
      </c>
      <c r="G31" s="731">
        <f>G27+G30</f>
        <v>0</v>
      </c>
      <c r="H31" s="1395"/>
      <c r="I31" s="1395"/>
      <c r="J31" s="1395"/>
      <c r="K31" s="1395"/>
      <c r="L31" s="1395"/>
      <c r="M31" s="1395"/>
      <c r="N31" s="1395"/>
      <c r="O31" s="1395"/>
      <c r="P31" s="1395"/>
    </row>
    <row r="32" spans="1:19">
      <c r="A32" s="2237"/>
      <c r="B32" s="2237" t="s">
        <v>1964</v>
      </c>
      <c r="C32" s="2237"/>
      <c r="D32" s="2237"/>
      <c r="E32" s="1277">
        <f>SUMIF(C19:C26,"*住宅*",E19:E26)</f>
        <v>292.44</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3063</v>
      </c>
      <c r="D6" s="1054">
        <f>SUMIF(项目基本情况!D$12:I$12,C6,项目基本情况!D$14:I$14)</f>
        <v>70</v>
      </c>
      <c r="E6" s="1051">
        <f>IF(B6="","",SUMIF(项目基本情况!D$12:I$12,C6,项目基本情况!D$13:I$13))</f>
        <v>60606</v>
      </c>
      <c r="F6" s="72">
        <f>SUMIF(项目基本情况!D$12:I$12,C6,项目基本情况!D$15:I$15)</f>
        <v>46.8</v>
      </c>
      <c r="G6" s="73">
        <f>IF(ISERROR(ROUND(POWER(1+H6,D6-F6)*(POWER(1+H6,F6)-1)/(POWER(1+H6,D6)-1),3)),0,ROUND(POWER(1+H6,D6-F6)*(POWER(1+H6,F6)-1)/(POWER(1+H6,D6)-1),3))</f>
        <v>0.89800000000000002</v>
      </c>
      <c r="H6" s="802">
        <v>0.04</v>
      </c>
      <c r="I6" s="802">
        <v>4.4999999999999998E-2</v>
      </c>
      <c r="J6" s="74">
        <v>0.08</v>
      </c>
      <c r="K6" s="1254">
        <f>SUMIF('数据-汇总表'!C$19:C$33,A6,'数据-汇总表'!E$19:E$33)</f>
        <v>292.44</v>
      </c>
      <c r="L6" s="803">
        <v>2500</v>
      </c>
      <c r="M6" s="75">
        <f t="shared" ref="M6:M14" si="0">ROUND(K6*L6/10000,0)</f>
        <v>73</v>
      </c>
      <c r="N6" s="801">
        <v>0.8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26000</v>
      </c>
      <c r="V6" s="79">
        <v>2.5000000000000001E-2</v>
      </c>
      <c r="W6" s="79">
        <v>0.05</v>
      </c>
      <c r="X6" s="1264"/>
      <c r="Y6" s="80">
        <v>0.8</v>
      </c>
      <c r="Z6" s="81"/>
      <c r="AA6" s="74"/>
      <c r="AB6" s="74"/>
      <c r="AC6" s="1264"/>
      <c r="AD6" s="82">
        <v>0.8</v>
      </c>
      <c r="AE6" s="1265">
        <f ca="1">IF(AN6="",0,SUMIF(INDIRECT("'"&amp;AN6&amp;"'"&amp;"!E:E"),$AE$5,INDIRECT("'"&amp;AN6&amp;"'"&amp;"!F:F")))</f>
        <v>46.8</v>
      </c>
      <c r="AF6" s="1807"/>
      <c r="AG6" s="147">
        <f>IF(AF6="",0,AE6-AF6)</f>
        <v>0</v>
      </c>
      <c r="AH6" s="83">
        <v>1</v>
      </c>
      <c r="AI6" s="85">
        <v>12</v>
      </c>
      <c r="AJ6" s="86"/>
      <c r="AK6" s="87">
        <v>0.02</v>
      </c>
      <c r="AL6" s="88">
        <v>2E-3</v>
      </c>
      <c r="AM6" s="89">
        <v>0.02</v>
      </c>
      <c r="AN6" s="2313" t="s">
        <v>3066</v>
      </c>
      <c r="AO6" s="55">
        <f ca="1">SUMIF(INDIRECT("'"&amp;AN6&amp;"'"&amp;"!A:A"),"总价",INDIRECT("'"&amp;AN6&amp;"'"&amp;"!B:B"))</f>
        <v>744</v>
      </c>
      <c r="AP6" s="2314">
        <f>IF(C6="住宅",K6*L6,0)</f>
        <v>731100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0.04</v>
      </c>
      <c r="I16" s="100"/>
      <c r="J16" s="100"/>
      <c r="K16" s="101">
        <f>SUM(K6:K15)</f>
        <v>292.44</v>
      </c>
      <c r="L16" s="102">
        <f>ROUND(M16*10000/SUM(K6:K14),0)</f>
        <v>2496</v>
      </c>
      <c r="M16" s="102">
        <f>SUM(M6:M14)</f>
        <v>73</v>
      </c>
      <c r="N16" s="103">
        <f>ROUND(SUMPRODUCT(M6:M14,N6:N14)/M16,3)</f>
        <v>0.8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2081</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E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292.44</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1358</v>
      </c>
      <c r="C5" s="1746">
        <f ca="1">ROUND(B5*10000/$B$1,0)</f>
        <v>46437</v>
      </c>
      <c r="D5" s="1746" t="e">
        <f ca="1">ROUND(B5*10000/$B$2,0)</f>
        <v>#DIV/0!</v>
      </c>
      <c r="E5" s="1745"/>
      <c r="F5" s="1743"/>
      <c r="G5" s="1743"/>
    </row>
    <row r="6" spans="1:10" ht="16.5">
      <c r="A6" s="1746" t="s">
        <v>1352</v>
      </c>
      <c r="B6" s="1746">
        <f ca="1">SUM(G14:G23)</f>
        <v>1358</v>
      </c>
      <c r="C6" s="1746">
        <f ca="1">ROUND(B6*10000/$B$1,0)</f>
        <v>46437</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292.44</v>
      </c>
      <c r="C14" s="1744">
        <f>结果表!C118</f>
        <v>0</v>
      </c>
      <c r="D14" s="1744">
        <f ca="1">结果表!H118</f>
        <v>1358</v>
      </c>
      <c r="E14" s="1744">
        <f ca="1">ROUND(D14*10000/B14,0)</f>
        <v>46437</v>
      </c>
      <c r="F14" s="1744" t="e">
        <f ca="1">ROUND(D14*10000/C14,0)</f>
        <v>#DIV/0!</v>
      </c>
      <c r="G14" s="1744">
        <f ca="1">结果表!D122</f>
        <v>1358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3063</v>
      </c>
      <c r="D1" s="2423"/>
      <c r="E1" s="2423"/>
      <c r="F1" s="2425" t="s">
        <v>2119</v>
      </c>
      <c r="G1" s="2074" t="s">
        <v>3068</v>
      </c>
      <c r="H1" s="2426" t="str">
        <f>IF(G1="现房","——","估价对象范围")</f>
        <v>——</v>
      </c>
      <c r="I1" s="2427" t="s">
        <v>70</v>
      </c>
    </row>
    <row r="2" spans="1:12" ht="21.75" customHeight="1" thickBot="1">
      <c r="A2" s="3076" t="str">
        <f>项目基本情况!S2</f>
        <v>北京市房地产</v>
      </c>
      <c r="B2" s="3077"/>
      <c r="C2" s="3077"/>
      <c r="D2" s="3077"/>
      <c r="E2" s="3077"/>
      <c r="F2" s="3077"/>
      <c r="G2" s="3077"/>
      <c r="H2" s="3077"/>
      <c r="I2" s="3078"/>
    </row>
    <row r="3" spans="1:12" ht="12.75">
      <c r="A3" s="3080" t="s">
        <v>2120</v>
      </c>
      <c r="B3" s="3081"/>
      <c r="C3" s="3081"/>
      <c r="D3" s="3081"/>
      <c r="E3" s="3081"/>
      <c r="F3" s="3081"/>
      <c r="G3" s="3081"/>
      <c r="H3" s="3081"/>
      <c r="I3" s="3081"/>
    </row>
    <row r="4" spans="1:12" ht="14.25">
      <c r="A4" s="2430" t="s">
        <v>2121</v>
      </c>
      <c r="B4" s="2431" t="s">
        <v>2122</v>
      </c>
      <c r="C4" s="2432" t="s">
        <v>3066</v>
      </c>
      <c r="D4" s="2432" t="s">
        <v>3067</v>
      </c>
      <c r="E4" s="3073" t="s">
        <v>2123</v>
      </c>
      <c r="F4" s="3074"/>
      <c r="G4" s="3074"/>
      <c r="H4" s="3074"/>
      <c r="I4" s="3082"/>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56" t="s">
        <v>2124</v>
      </c>
      <c r="B5" s="2994">
        <v>25</v>
      </c>
      <c r="C5" s="3059">
        <v>60</v>
      </c>
      <c r="D5" s="3079">
        <f>100-C5</f>
        <v>40</v>
      </c>
      <c r="E5" s="140" t="s">
        <v>2125</v>
      </c>
      <c r="F5" s="2434"/>
      <c r="G5" s="2434"/>
      <c r="H5" s="2434"/>
      <c r="I5" s="1834"/>
    </row>
    <row r="6" spans="1:12" ht="12.75">
      <c r="A6" s="3056"/>
      <c r="B6" s="2994"/>
      <c r="C6" s="3060"/>
      <c r="D6" s="3079"/>
      <c r="E6" s="140" t="s">
        <v>2126</v>
      </c>
      <c r="F6" s="2434"/>
      <c r="G6" s="2434"/>
      <c r="H6" s="2434"/>
      <c r="I6" s="1834"/>
    </row>
    <row r="7" spans="1:12" ht="12.75">
      <c r="A7" s="3056"/>
      <c r="B7" s="2994"/>
      <c r="C7" s="3061"/>
      <c r="D7" s="3079"/>
      <c r="E7" s="140" t="s">
        <v>2127</v>
      </c>
      <c r="F7" s="2434"/>
      <c r="G7" s="2434"/>
      <c r="H7" s="2434"/>
      <c r="I7" s="1834"/>
    </row>
    <row r="8" spans="1:12" ht="12.75">
      <c r="A8" s="3056" t="s">
        <v>2128</v>
      </c>
      <c r="B8" s="2994">
        <v>15</v>
      </c>
      <c r="C8" s="3059"/>
      <c r="D8" s="3079"/>
      <c r="E8" s="140" t="s">
        <v>2129</v>
      </c>
      <c r="F8" s="2434"/>
      <c r="G8" s="2434"/>
      <c r="H8" s="2434"/>
      <c r="I8" s="1834"/>
    </row>
    <row r="9" spans="1:12" ht="12.75">
      <c r="A9" s="3056"/>
      <c r="B9" s="2994"/>
      <c r="C9" s="3061"/>
      <c r="D9" s="3079"/>
      <c r="E9" s="140" t="s">
        <v>2130</v>
      </c>
      <c r="F9" s="2434"/>
      <c r="G9" s="2434"/>
      <c r="H9" s="2434"/>
      <c r="I9" s="1834"/>
    </row>
    <row r="10" spans="1:12" ht="12.75">
      <c r="A10" s="3056" t="s">
        <v>2131</v>
      </c>
      <c r="B10" s="2994">
        <v>15</v>
      </c>
      <c r="C10" s="3059"/>
      <c r="D10" s="3079"/>
      <c r="E10" s="140" t="s">
        <v>2132</v>
      </c>
      <c r="F10" s="2434"/>
      <c r="G10" s="2434"/>
      <c r="H10" s="2434"/>
      <c r="I10" s="1834"/>
    </row>
    <row r="11" spans="1:12" ht="12.75">
      <c r="A11" s="3056"/>
      <c r="B11" s="2994"/>
      <c r="C11" s="3061"/>
      <c r="D11" s="3079"/>
      <c r="E11" s="140" t="s">
        <v>2133</v>
      </c>
      <c r="F11" s="2434"/>
      <c r="G11" s="2434"/>
      <c r="H11" s="2434"/>
      <c r="I11" s="1834"/>
    </row>
    <row r="12" spans="1:12" ht="12.75">
      <c r="A12" s="3056" t="s">
        <v>2134</v>
      </c>
      <c r="B12" s="2994">
        <v>15</v>
      </c>
      <c r="C12" s="3059"/>
      <c r="D12" s="3079"/>
      <c r="E12" s="140" t="s">
        <v>2135</v>
      </c>
      <c r="F12" s="2434"/>
      <c r="G12" s="2434"/>
      <c r="H12" s="2434"/>
      <c r="I12" s="1834"/>
    </row>
    <row r="13" spans="1:12" ht="12.75">
      <c r="A13" s="3056"/>
      <c r="B13" s="2994"/>
      <c r="C13" s="3061"/>
      <c r="D13" s="3079"/>
      <c r="E13" s="140" t="s">
        <v>2136</v>
      </c>
      <c r="F13" s="2434"/>
      <c r="G13" s="2434"/>
      <c r="H13" s="2434"/>
      <c r="I13" s="1834"/>
    </row>
    <row r="14" spans="1:12" ht="12.75">
      <c r="A14" s="3056" t="s">
        <v>2137</v>
      </c>
      <c r="B14" s="2994">
        <v>30</v>
      </c>
      <c r="C14" s="3059"/>
      <c r="D14" s="3079"/>
      <c r="E14" s="140" t="s">
        <v>2138</v>
      </c>
      <c r="F14" s="2434"/>
      <c r="G14" s="2434"/>
      <c r="H14" s="2434"/>
      <c r="I14" s="1834"/>
    </row>
    <row r="15" spans="1:12" ht="12.75">
      <c r="A15" s="3056"/>
      <c r="B15" s="2994"/>
      <c r="C15" s="3060"/>
      <c r="D15" s="3079"/>
      <c r="E15" s="140" t="s">
        <v>2139</v>
      </c>
      <c r="F15" s="2434"/>
      <c r="G15" s="2434"/>
      <c r="H15" s="2434"/>
      <c r="I15" s="1834"/>
    </row>
    <row r="16" spans="1:12" ht="12.75">
      <c r="A16" s="3056"/>
      <c r="B16" s="2994"/>
      <c r="C16" s="3061"/>
      <c r="D16" s="3079"/>
      <c r="E16" s="140" t="s">
        <v>2140</v>
      </c>
      <c r="F16" s="2434"/>
      <c r="G16" s="2434"/>
      <c r="H16" s="2434"/>
      <c r="I16" s="1834"/>
    </row>
    <row r="17" spans="1:35" ht="15">
      <c r="A17" s="2435" t="s">
        <v>2141</v>
      </c>
      <c r="B17" s="64"/>
      <c r="C17" s="141">
        <f>SUM(C5:C16)</f>
        <v>60</v>
      </c>
      <c r="D17" s="141">
        <f>SUM(D5:D16)</f>
        <v>40</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292.44</v>
      </c>
      <c r="M18" s="2433">
        <f>IF(C1="",'数据-汇总表'!E3,SUMIF(项目类型,C1,'数据-汇总表'!E17:E26))</f>
        <v>292.44</v>
      </c>
    </row>
    <row r="19" spans="1:35" ht="15">
      <c r="A19" s="2439" t="s">
        <v>2146</v>
      </c>
      <c r="B19" s="2440" t="s">
        <v>2147</v>
      </c>
      <c r="C19" s="143">
        <f ca="1">SUMIF(INDIRECT("'"&amp;C4&amp;"'"&amp;"!A:A"),结果表!B19,INDIRECT("'"&amp;C4&amp;"'"&amp;"!B:B"))</f>
        <v>744</v>
      </c>
      <c r="D19" s="144">
        <f ca="1">SUMIF(INDIRECT("'"&amp;D4&amp;"'"&amp;"!A:A"),结果表!B19,INDIRECT("'"&amp;D4&amp;"'"&amp;"!B:B"))</f>
        <v>2279</v>
      </c>
      <c r="E19" s="2439" t="s">
        <v>2148</v>
      </c>
      <c r="F19" s="2440" t="s">
        <v>2147</v>
      </c>
      <c r="G19" s="145">
        <f ca="1">ROUND(C19*$C$18+D19*$D$18,0)</f>
        <v>1358</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25443</v>
      </c>
      <c r="D20" s="147">
        <f ca="1">SUMIF(INDIRECT("'"&amp;D4&amp;"'"&amp;"!A:A"),结果表!B20,INDIRECT("'"&amp;D4&amp;"'"&amp;"!B:B"))</f>
        <v>77931</v>
      </c>
      <c r="E20" s="2442"/>
      <c r="F20" s="1250" t="s">
        <v>2151</v>
      </c>
      <c r="G20" s="148">
        <f ca="1">ROUND(C20*$C$18+D20*$D$18,0)</f>
        <v>46438</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2.0631720430107525</v>
      </c>
      <c r="E22" s="138"/>
      <c r="F22" s="138"/>
      <c r="G22" s="138"/>
      <c r="H22" s="138"/>
      <c r="I22" s="138"/>
    </row>
    <row r="23" spans="1:35" ht="13.5" thickBot="1">
      <c r="A23" s="2423"/>
      <c r="B23" s="2423"/>
      <c r="C23" s="2423"/>
      <c r="D23" s="2423"/>
      <c r="E23" s="138"/>
      <c r="F23" s="138"/>
      <c r="G23" s="138"/>
      <c r="H23" s="138"/>
      <c r="I23" s="138"/>
    </row>
    <row r="24" spans="1:35" ht="14.25">
      <c r="A24" s="3050" t="s">
        <v>2155</v>
      </c>
      <c r="B24" s="2440" t="s">
        <v>2147</v>
      </c>
      <c r="C24" s="145">
        <f>IF(B30=0,0,D30)</f>
        <v>0</v>
      </c>
      <c r="D24" s="2447"/>
      <c r="E24" s="138"/>
      <c r="F24" s="138"/>
      <c r="G24" s="138"/>
      <c r="H24" s="138"/>
      <c r="I24" s="138"/>
    </row>
    <row r="25" spans="1:35" ht="14.25">
      <c r="A25" s="305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1358</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68" t="s">
        <v>2169</v>
      </c>
      <c r="B36" s="2466" t="s">
        <v>2170</v>
      </c>
      <c r="C36" s="154"/>
      <c r="D36" s="2467"/>
      <c r="E36" s="2468"/>
      <c r="F36" s="2469"/>
      <c r="G36" s="138"/>
      <c r="H36" s="138"/>
      <c r="I36" s="138"/>
    </row>
    <row r="37" spans="1:15" ht="15.75" thickBot="1">
      <c r="A37" s="3069"/>
      <c r="B37" s="2271" t="s">
        <v>2171</v>
      </c>
      <c r="C37" s="156"/>
      <c r="D37" s="1395"/>
      <c r="E37" s="1395"/>
      <c r="F37" s="2469"/>
      <c r="G37" s="138"/>
      <c r="H37" s="138"/>
      <c r="I37" s="138"/>
    </row>
    <row r="38" spans="1:15" ht="15.75" thickBot="1">
      <c r="A38" s="3070"/>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7" t="s">
        <v>2183</v>
      </c>
      <c r="B45" s="3048"/>
      <c r="C45" s="3049"/>
      <c r="D45" s="164">
        <f ca="1">ROUND(H101*F45,0)</f>
        <v>1358</v>
      </c>
      <c r="E45" s="165" t="s">
        <v>2184</v>
      </c>
      <c r="F45" s="166">
        <v>1</v>
      </c>
      <c r="G45" s="167" t="s">
        <v>2185</v>
      </c>
      <c r="H45" s="138"/>
      <c r="I45" s="138"/>
      <c r="J45" s="3107" t="s">
        <v>2186</v>
      </c>
      <c r="K45" s="3107"/>
      <c r="L45" s="3107"/>
      <c r="M45" s="3107"/>
      <c r="N45" s="3107"/>
      <c r="O45" s="3107"/>
    </row>
    <row r="46" spans="1:15" ht="14.25" customHeight="1">
      <c r="A46" s="3044" t="s">
        <v>2187</v>
      </c>
      <c r="B46" s="3045"/>
      <c r="C46" s="3045"/>
      <c r="D46" s="3045"/>
      <c r="E46" s="3045"/>
      <c r="F46" s="3045"/>
      <c r="G46" s="3046"/>
      <c r="H46" s="2485"/>
      <c r="I46" s="168"/>
      <c r="J46" s="1812">
        <v>1</v>
      </c>
      <c r="K46" s="3107" t="s">
        <v>2188</v>
      </c>
      <c r="L46" s="3107"/>
      <c r="M46" s="3127"/>
      <c r="N46" s="3127"/>
      <c r="O46" s="3127"/>
    </row>
    <row r="47" spans="1:15" ht="12" customHeight="1">
      <c r="A47" s="169" t="s">
        <v>2189</v>
      </c>
      <c r="B47" s="170"/>
      <c r="C47" s="171"/>
      <c r="D47" s="172" t="s">
        <v>2190</v>
      </c>
      <c r="E47" s="24" t="s">
        <v>2191</v>
      </c>
      <c r="F47" s="173" t="s">
        <v>2192</v>
      </c>
      <c r="G47" s="174" t="s">
        <v>2193</v>
      </c>
      <c r="H47" s="2485"/>
      <c r="I47" s="168"/>
      <c r="J47" s="1812">
        <v>2</v>
      </c>
      <c r="K47" s="3107" t="s">
        <v>2194</v>
      </c>
      <c r="L47" s="3107"/>
      <c r="M47" s="3128">
        <f>'数据-取费表'!B2</f>
        <v>43523</v>
      </c>
      <c r="N47" s="3128"/>
      <c r="O47" s="3128"/>
    </row>
    <row r="48" spans="1:15" ht="25.5">
      <c r="A48" s="3075" t="s">
        <v>2195</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7" t="s">
        <v>2198</v>
      </c>
      <c r="L48" s="3107"/>
      <c r="M48" s="3129">
        <f ca="1">H101</f>
        <v>1358</v>
      </c>
      <c r="N48" s="3129"/>
      <c r="O48" s="3129"/>
    </row>
    <row r="49" spans="1:35" ht="25.5" customHeight="1">
      <c r="A49" s="176" t="s">
        <v>2199</v>
      </c>
      <c r="B49" s="3043" t="s">
        <v>2200</v>
      </c>
      <c r="C49" s="3043"/>
      <c r="D49" s="177">
        <v>0</v>
      </c>
      <c r="E49" s="23" t="s">
        <v>2201</v>
      </c>
      <c r="F49" s="28" t="s">
        <v>34</v>
      </c>
      <c r="G49" s="3113"/>
      <c r="H49" s="138"/>
      <c r="I49" s="2488"/>
      <c r="J49" s="1812">
        <v>4</v>
      </c>
      <c r="K49" s="3107" t="str">
        <f>IF(项目基本情况!E8="房地产抵押价值","房地产抵押价值","抵押担保权已注销时的房地产抵押价值")</f>
        <v>抵押担保权已注销时的房地产抵押价值</v>
      </c>
      <c r="L49" s="3107"/>
      <c r="M49" s="3129" t="str">
        <f>IF(项目基本情况!E8="房地产抵押价值",H107,H109)</f>
        <v>——</v>
      </c>
      <c r="N49" s="3129"/>
      <c r="O49" s="3129"/>
    </row>
    <row r="50" spans="1:35" ht="25.5" customHeight="1">
      <c r="A50" s="178"/>
      <c r="B50" s="3043" t="s">
        <v>2202</v>
      </c>
      <c r="C50" s="3043"/>
      <c r="D50" s="179"/>
      <c r="E50" s="31"/>
      <c r="F50" s="180"/>
      <c r="G50" s="3114"/>
      <c r="H50" s="138"/>
      <c r="I50" s="2488"/>
      <c r="J50" s="3107" t="s">
        <v>2203</v>
      </c>
      <c r="K50" s="3107"/>
      <c r="L50" s="3107"/>
      <c r="M50" s="3107"/>
      <c r="N50" s="3107"/>
      <c r="O50" s="3107"/>
    </row>
    <row r="51" spans="1:35" ht="12" customHeight="1">
      <c r="A51" s="181"/>
      <c r="B51" s="3043" t="s">
        <v>2204</v>
      </c>
      <c r="C51" s="3043"/>
      <c r="D51" s="182"/>
      <c r="E51" s="30"/>
      <c r="F51" s="180"/>
      <c r="G51" s="3115"/>
      <c r="H51" s="138"/>
      <c r="I51" s="2488"/>
      <c r="J51" s="2489" t="s">
        <v>2205</v>
      </c>
      <c r="K51" s="3107" t="s">
        <v>2206</v>
      </c>
      <c r="L51" s="3107"/>
      <c r="M51" s="2489" t="s">
        <v>2207</v>
      </c>
      <c r="N51" s="2489" t="s">
        <v>2208</v>
      </c>
      <c r="O51" s="2489" t="s">
        <v>2209</v>
      </c>
    </row>
    <row r="52" spans="1:35" ht="24" customHeight="1">
      <c r="A52" s="183" t="s">
        <v>2210</v>
      </c>
      <c r="B52" s="3043" t="s">
        <v>2211</v>
      </c>
      <c r="C52" s="3043"/>
      <c r="D52" s="182">
        <f ca="1">ROUND(D45*'数据-取费表'!B41/(1+'数据-取费表'!C42),0)</f>
        <v>72</v>
      </c>
      <c r="E52" s="11" t="s">
        <v>2212</v>
      </c>
      <c r="F52" s="184">
        <f>'数据-取费表'!B41</f>
        <v>5.6000000000000001E-2</v>
      </c>
      <c r="G52" s="2490"/>
      <c r="H52" s="138"/>
      <c r="I52" s="2488"/>
      <c r="J52" s="1812">
        <v>1</v>
      </c>
      <c r="K52" s="3108" t="s">
        <v>2213</v>
      </c>
      <c r="L52" s="3108"/>
      <c r="M52" s="1754">
        <f>D48</f>
        <v>0</v>
      </c>
      <c r="N52" s="1812" t="str">
        <f>E48</f>
        <v>销售额×税（费）率</v>
      </c>
      <c r="O52" s="1755" t="str">
        <f>F48</f>
        <v>免征</v>
      </c>
    </row>
    <row r="53" spans="1:35" ht="12" customHeight="1">
      <c r="A53" s="183" t="s">
        <v>2214</v>
      </c>
      <c r="B53" s="3066" t="s">
        <v>2215</v>
      </c>
      <c r="C53" s="3067"/>
      <c r="D53" s="182">
        <f ca="1">ROUND(D45*'数据-取费表'!B41/(1+'数据-取费表'!C42),0)</f>
        <v>72</v>
      </c>
      <c r="E53" s="11" t="s">
        <v>2212</v>
      </c>
      <c r="F53" s="184">
        <f>'数据-取费表'!B41</f>
        <v>5.6000000000000001E-2</v>
      </c>
      <c r="G53" s="2490"/>
      <c r="H53" s="138"/>
      <c r="I53" s="2488"/>
      <c r="J53" s="1812">
        <v>2</v>
      </c>
      <c r="K53" s="3108" t="s">
        <v>2216</v>
      </c>
      <c r="L53" s="3108"/>
      <c r="M53" s="1754">
        <f t="shared" ref="M53:O54" ca="1" si="0">D55</f>
        <v>1</v>
      </c>
      <c r="N53" s="1812" t="str">
        <f t="shared" si="0"/>
        <v>销售额×税（费）率</v>
      </c>
      <c r="O53" s="1755">
        <f t="shared" si="0"/>
        <v>5.0000000000000001E-4</v>
      </c>
    </row>
    <row r="54" spans="1:35" ht="12" customHeight="1">
      <c r="A54" s="183" t="s">
        <v>2217</v>
      </c>
      <c r="B54" s="3066" t="s">
        <v>2218</v>
      </c>
      <c r="C54" s="3067"/>
      <c r="D54" s="182">
        <f ca="1">C68</f>
        <v>72</v>
      </c>
      <c r="E54" s="30" t="s">
        <v>2219</v>
      </c>
      <c r="F54" s="184">
        <f>'数据-取费表'!B41</f>
        <v>5.6000000000000001E-2</v>
      </c>
      <c r="G54" s="2490"/>
      <c r="H54" s="2491"/>
      <c r="I54" s="2488"/>
      <c r="J54" s="1812">
        <v>3</v>
      </c>
      <c r="K54" s="3108" t="s">
        <v>2220</v>
      </c>
      <c r="L54" s="3108"/>
      <c r="M54" s="1754">
        <f t="shared" ca="1" si="0"/>
        <v>768</v>
      </c>
      <c r="N54" s="1812" t="str">
        <f t="shared" si="0"/>
        <v>增值额×税（费）率</v>
      </c>
      <c r="O54" s="1756" t="str">
        <f t="shared" si="0"/>
        <v>——</v>
      </c>
    </row>
    <row r="55" spans="1:35" ht="24" customHeight="1">
      <c r="A55" s="3057" t="s">
        <v>2221</v>
      </c>
      <c r="B55" s="3058"/>
      <c r="C55" s="3058"/>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08" t="str">
        <f>IF(H59="非个人房产","——","个人所得税")</f>
        <v>——</v>
      </c>
      <c r="L55" s="3108"/>
      <c r="M55" s="1757" t="str">
        <f>D59</f>
        <v>——</v>
      </c>
      <c r="N55" s="1810" t="str">
        <f>E59</f>
        <v>——</v>
      </c>
      <c r="O55" s="1758" t="str">
        <f>F59</f>
        <v>——</v>
      </c>
    </row>
    <row r="56" spans="1:35" ht="24.75">
      <c r="A56" s="3057" t="s">
        <v>2224</v>
      </c>
      <c r="B56" s="3058"/>
      <c r="C56" s="3058"/>
      <c r="D56" s="185">
        <f ca="1">IF(H56="个人住宅",D57,D58)</f>
        <v>768</v>
      </c>
      <c r="E56" s="11" t="s">
        <v>2225</v>
      </c>
      <c r="F56" s="184" t="str">
        <f>IF(H56="正常",F58,"免征")</f>
        <v>——</v>
      </c>
      <c r="G56" s="2492" t="s">
        <v>2226</v>
      </c>
      <c r="H56" s="2493" t="s">
        <v>2223</v>
      </c>
      <c r="I56" s="2494"/>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2199</v>
      </c>
      <c r="B57" s="3073" t="s">
        <v>2227</v>
      </c>
      <c r="C57" s="3082"/>
      <c r="D57" s="187">
        <v>0</v>
      </c>
      <c r="E57" s="23" t="s">
        <v>2201</v>
      </c>
      <c r="F57" s="155"/>
      <c r="G57" s="2490"/>
      <c r="H57" s="2494"/>
      <c r="I57" s="2494"/>
      <c r="J57" s="3108">
        <f>IF(AND(J55="",J56=""),4,IF(项目基本情况!K6="上海银行",结果表!J56+1,结果表!J55+1))</f>
        <v>4</v>
      </c>
      <c r="K57" s="3108" t="s">
        <v>2228</v>
      </c>
      <c r="L57" s="2495" t="s">
        <v>2229</v>
      </c>
      <c r="M57" s="1759"/>
      <c r="N57" s="1760">
        <f ca="1">SUMIF(M52:M56,"&lt;9e307")</f>
        <v>769</v>
      </c>
      <c r="O57" s="2496"/>
      <c r="P57" s="1753" t="e">
        <f ca="1">N57/M49</f>
        <v>#VALUE!</v>
      </c>
    </row>
    <row r="58" spans="1:35" ht="24.75">
      <c r="A58" s="183" t="s">
        <v>2210</v>
      </c>
      <c r="B58" s="3073" t="s">
        <v>2230</v>
      </c>
      <c r="C58" s="3074"/>
      <c r="D58" s="185">
        <f ca="1">IF(H58="转让取得",C81,C97)</f>
        <v>768</v>
      </c>
      <c r="E58" s="11" t="s">
        <v>2225</v>
      </c>
      <c r="F58" s="24" t="s">
        <v>34</v>
      </c>
      <c r="G58" s="2490"/>
      <c r="H58" s="2493" t="s">
        <v>2231</v>
      </c>
      <c r="I58" s="2494"/>
      <c r="J58" s="3108"/>
      <c r="K58" s="3108"/>
      <c r="L58" s="2495" t="s">
        <v>2232</v>
      </c>
      <c r="M58" s="1761"/>
      <c r="N58" s="2497" t="str">
        <f ca="1">NUMBERSTRING(INT(N57*10000),2)&amp;"元整"</f>
        <v>柒佰陆拾玖万元整</v>
      </c>
      <c r="O58" s="2498"/>
    </row>
    <row r="59" spans="1:35" ht="24.75" thickBot="1">
      <c r="A59" s="3111" t="s">
        <v>2233</v>
      </c>
      <c r="B59" s="3112"/>
      <c r="C59" s="3112"/>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09">
        <f>J57+1</f>
        <v>5</v>
      </c>
      <c r="K59" s="3108" t="s">
        <v>2235</v>
      </c>
      <c r="L59" s="1812" t="s">
        <v>2229</v>
      </c>
      <c r="M59" s="1762"/>
      <c r="N59" s="1763" t="e">
        <f ca="1">M49-N57</f>
        <v>#VALUE!</v>
      </c>
      <c r="O59" s="2500"/>
    </row>
    <row r="60" spans="1:35" ht="12" customHeight="1">
      <c r="A60" s="2501"/>
      <c r="B60" s="2423"/>
      <c r="C60" s="2423"/>
      <c r="D60" s="2423"/>
      <c r="E60" s="2170"/>
      <c r="F60" s="2494"/>
      <c r="G60" s="2494"/>
      <c r="H60" s="2502"/>
      <c r="I60" s="138"/>
      <c r="J60" s="3110"/>
      <c r="K60" s="3108"/>
      <c r="L60" s="2495" t="s">
        <v>2232</v>
      </c>
      <c r="M60" s="1761"/>
      <c r="N60" s="2497" t="e">
        <f ca="1">NUMBERSTRING(INT(N59*10000),2)&amp;"元整"</f>
        <v>#VALUE!</v>
      </c>
      <c r="O60" s="2498"/>
    </row>
    <row r="61" spans="1:35" ht="13.5" thickBot="1">
      <c r="A61" s="3055" t="s">
        <v>2236</v>
      </c>
      <c r="B61" s="3055"/>
      <c r="C61" s="3055"/>
      <c r="D61" s="3055"/>
      <c r="E61" s="3055"/>
      <c r="F61" s="2494"/>
      <c r="G61" s="2494"/>
      <c r="H61" s="2502"/>
      <c r="I61" s="138"/>
      <c r="J61" s="1812">
        <f>J59+1</f>
        <v>6</v>
      </c>
      <c r="K61" s="3108" t="s">
        <v>2237</v>
      </c>
      <c r="L61" s="3108"/>
      <c r="M61" s="1764"/>
      <c r="N61" s="1765" t="e">
        <f ca="1">ROUND(N59*10000/'数据-汇总表'!E3,0)</f>
        <v>#VALUE!</v>
      </c>
      <c r="O61" s="2503"/>
    </row>
    <row r="62" spans="1:35" ht="12.75">
      <c r="A62" s="3071" t="s">
        <v>2238</v>
      </c>
      <c r="B62" s="3072"/>
      <c r="C62" s="1804"/>
      <c r="D62" s="1804" t="s">
        <v>2239</v>
      </c>
      <c r="E62" s="192" t="s">
        <v>2240</v>
      </c>
      <c r="F62" s="2494"/>
      <c r="G62" s="2494"/>
      <c r="H62" s="2502"/>
      <c r="I62" s="138"/>
    </row>
    <row r="63" spans="1:35" ht="12.75">
      <c r="A63" s="203" t="s">
        <v>775</v>
      </c>
      <c r="B63" s="193" t="s">
        <v>2241</v>
      </c>
      <c r="C63" s="194">
        <f ca="1">ROUND((C64+C65)/(1+'数据-取费表'!C42),0)</f>
        <v>1293</v>
      </c>
      <c r="D63" s="195"/>
      <c r="E63" s="196"/>
      <c r="F63" s="2494"/>
      <c r="G63" s="2494"/>
      <c r="H63" s="2502"/>
      <c r="I63" s="138"/>
      <c r="J63" s="3133"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1358</v>
      </c>
      <c r="D64" s="200" t="s">
        <v>32</v>
      </c>
      <c r="E64" s="201"/>
      <c r="F64" s="2494"/>
      <c r="G64" s="2494"/>
      <c r="H64" s="2502"/>
      <c r="I64" s="138"/>
      <c r="J64" s="3133"/>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33"/>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33"/>
      <c r="K66" s="2504" t="s">
        <v>2250</v>
      </c>
      <c r="L66" s="1752" t="e">
        <f>M49*0.5%</f>
        <v>#VALUE!</v>
      </c>
      <c r="M66" s="24" t="e">
        <f>IF(L66&gt;0.5,0.5,ROUND(L66,0))</f>
        <v>#VALUE!</v>
      </c>
      <c r="N66" s="138" t="s">
        <v>2251</v>
      </c>
      <c r="Z66" s="2428"/>
      <c r="AI66" s="2429"/>
    </row>
    <row r="67" spans="1:35" ht="14.25" customHeight="1">
      <c r="A67" s="203" t="s">
        <v>773</v>
      </c>
      <c r="B67" s="204" t="s">
        <v>2252</v>
      </c>
      <c r="C67" s="207">
        <f ca="1">C63-C66</f>
        <v>1293</v>
      </c>
      <c r="D67" s="200" t="s">
        <v>32</v>
      </c>
      <c r="E67" s="201"/>
      <c r="F67" s="2494"/>
      <c r="G67" s="2494"/>
      <c r="H67" s="2502"/>
      <c r="I67" s="138"/>
      <c r="J67" s="3133"/>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72</v>
      </c>
      <c r="D68" s="211">
        <f>'数据-取费表'!B41</f>
        <v>5.6000000000000001E-2</v>
      </c>
      <c r="E68" s="212"/>
      <c r="F68" s="2494"/>
      <c r="G68" s="2494"/>
      <c r="H68" s="2502"/>
      <c r="I68" s="138"/>
      <c r="J68" s="3133"/>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3"/>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2" t="s">
        <v>2257</v>
      </c>
      <c r="B70" s="3093"/>
      <c r="C70" s="3093"/>
      <c r="D70" s="3093"/>
      <c r="E70" s="3093"/>
      <c r="F70" s="3093"/>
      <c r="G70" s="3093"/>
      <c r="H70" s="309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1" t="s">
        <v>2238</v>
      </c>
      <c r="B71" s="3072"/>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1293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6" t="s">
        <v>2266</v>
      </c>
      <c r="F76" s="3043"/>
      <c r="G76" s="3043"/>
      <c r="H76" s="309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6.000000000000001E-3</v>
      </c>
      <c r="E78" s="3052" t="s">
        <v>2271</v>
      </c>
      <c r="F78" s="3053"/>
      <c r="G78" s="3053"/>
      <c r="H78" s="306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1285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160.625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2" t="s">
        <v>2275</v>
      </c>
      <c r="B83" s="3093"/>
      <c r="C83" s="3093"/>
      <c r="D83" s="3093"/>
      <c r="E83" s="3093"/>
      <c r="F83" s="3093"/>
      <c r="G83" s="3093"/>
      <c r="H83" s="309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1" t="s">
        <v>2238</v>
      </c>
      <c r="B84" s="3072"/>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1293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2" t="s">
        <v>2284</v>
      </c>
      <c r="F91" s="3053"/>
      <c r="G91" s="3053"/>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2" t="s">
        <v>2288</v>
      </c>
      <c r="F92" s="3053"/>
      <c r="G92" s="3053"/>
      <c r="H92" s="306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6.000000000000001E-3</v>
      </c>
      <c r="E93" s="3052" t="s">
        <v>2271</v>
      </c>
      <c r="F93" s="3053"/>
      <c r="G93" s="3053"/>
      <c r="H93" s="306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3" t="s">
        <v>2292</v>
      </c>
      <c r="F94" s="3064"/>
      <c r="G94" s="3064"/>
      <c r="H94" s="306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1285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160.625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7" t="s">
        <v>2294</v>
      </c>
      <c r="B100" s="3038"/>
      <c r="C100" s="3038"/>
      <c r="D100" s="3054"/>
      <c r="E100" s="3038" t="s">
        <v>2295</v>
      </c>
      <c r="F100" s="3038"/>
      <c r="G100" s="3038"/>
      <c r="H100" s="3054"/>
      <c r="I100" s="138"/>
    </row>
    <row r="101" spans="1:35" ht="18.75" customHeight="1">
      <c r="A101" s="3116" t="s">
        <v>2296</v>
      </c>
      <c r="B101" s="3117"/>
      <c r="C101" s="736" t="str">
        <f>C4</f>
        <v>收益法 (元)</v>
      </c>
      <c r="D101" s="737" t="str">
        <f>D4</f>
        <v>成本法 (元)</v>
      </c>
      <c r="E101" s="3130" t="s">
        <v>2297</v>
      </c>
      <c r="F101" s="3084"/>
      <c r="G101" s="2525" t="s">
        <v>2298</v>
      </c>
      <c r="H101" s="1048">
        <f ca="1">H118</f>
        <v>1358</v>
      </c>
      <c r="I101" s="138"/>
    </row>
    <row r="102" spans="1:35" ht="18.75" customHeight="1">
      <c r="A102" s="3086" t="s">
        <v>2299</v>
      </c>
      <c r="B102" s="2525" t="s">
        <v>2298</v>
      </c>
      <c r="C102" s="736">
        <f ca="1">C19</f>
        <v>744</v>
      </c>
      <c r="D102" s="737">
        <f ca="1">D19</f>
        <v>2279</v>
      </c>
      <c r="E102" s="3130"/>
      <c r="F102" s="3084"/>
      <c r="G102" s="2525" t="s">
        <v>2300</v>
      </c>
      <c r="H102" s="371">
        <f ca="1">I118</f>
        <v>46437</v>
      </c>
      <c r="I102" s="138"/>
    </row>
    <row r="103" spans="1:35" ht="42.75" customHeight="1">
      <c r="A103" s="3086"/>
      <c r="B103" s="2525" t="s">
        <v>2300</v>
      </c>
      <c r="C103" s="738">
        <f ca="1">C20</f>
        <v>25443</v>
      </c>
      <c r="D103" s="739">
        <f ca="1">D20</f>
        <v>77931</v>
      </c>
      <c r="E103" s="3125" t="s">
        <v>2301</v>
      </c>
      <c r="F103" s="3126"/>
      <c r="G103" s="2526" t="s">
        <v>2302</v>
      </c>
      <c r="H103" s="1048">
        <f>IF(D36="正常操作",H104+H105+H106,H105+H106)</f>
        <v>0</v>
      </c>
      <c r="I103" s="138"/>
    </row>
    <row r="104" spans="1:35" ht="18.75" customHeight="1">
      <c r="A104" s="3086" t="s">
        <v>2303</v>
      </c>
      <c r="B104" s="2527" t="s">
        <v>2298</v>
      </c>
      <c r="C104" s="740">
        <f ca="1">H118</f>
        <v>1358</v>
      </c>
      <c r="D104" s="741"/>
      <c r="E104" s="2271" t="s">
        <v>2304</v>
      </c>
      <c r="F104" s="2262"/>
      <c r="G104" s="2526" t="s">
        <v>2302</v>
      </c>
      <c r="H104" s="1049">
        <f>IF(D36="同一抵押权人同一抵押物续贷",C36&amp;"（未扣减，详见特别提示）",C36)</f>
        <v>0</v>
      </c>
      <c r="I104" s="138"/>
    </row>
    <row r="105" spans="1:35" ht="18.75" customHeight="1" thickBot="1">
      <c r="A105" s="3087"/>
      <c r="B105" s="2528" t="s">
        <v>2300</v>
      </c>
      <c r="C105" s="742">
        <f ca="1">I118</f>
        <v>46437</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3" t="str">
        <f>IF(项目基本情况!E8="已注销","——","3.房地产抵押价值")</f>
        <v>3.房地产抵押价值</v>
      </c>
      <c r="F107" s="3084"/>
      <c r="G107" s="2525" t="s">
        <v>2298</v>
      </c>
      <c r="H107" s="1048">
        <f ca="1">IF(E107="——","——",H101-H103)</f>
        <v>1358</v>
      </c>
      <c r="I107" s="138"/>
    </row>
    <row r="108" spans="1:35" ht="18.75" customHeight="1">
      <c r="A108" s="138"/>
      <c r="B108" s="138"/>
      <c r="C108" s="138"/>
      <c r="D108" s="138"/>
      <c r="E108" s="3083"/>
      <c r="F108" s="3084"/>
      <c r="G108" s="2525" t="s">
        <v>2300</v>
      </c>
      <c r="H108" s="371">
        <f ca="1">ROUND(H107*10000/'数据-汇总表'!E3,0)</f>
        <v>46437</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25" t="s">
        <v>2298</v>
      </c>
      <c r="H109" s="348" t="str">
        <f>IF(E109="——","——",H101-H105-H106)</f>
        <v>——</v>
      </c>
      <c r="I109" s="138"/>
    </row>
    <row r="110" spans="1:35" ht="18.75" customHeight="1">
      <c r="A110" s="138"/>
      <c r="B110" s="138"/>
      <c r="C110" s="138"/>
      <c r="D110" s="138"/>
      <c r="E110" s="3083"/>
      <c r="F110" s="3084"/>
      <c r="G110" s="2525" t="s">
        <v>2300</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5" t="s">
        <v>2298</v>
      </c>
      <c r="H111" s="1048" t="str">
        <f>IF(E111="——","——",N59)</f>
        <v>——</v>
      </c>
      <c r="I111" s="138"/>
    </row>
    <row r="112" spans="1:35" ht="18.75" customHeight="1" thickBot="1">
      <c r="A112" s="138"/>
      <c r="B112" s="138"/>
      <c r="C112" s="138"/>
      <c r="D112" s="138"/>
      <c r="E112" s="3120"/>
      <c r="F112" s="3121"/>
      <c r="G112" s="2530" t="s">
        <v>2300</v>
      </c>
      <c r="H112" s="790" t="str">
        <f>IF(E111="——","——",N61)</f>
        <v>——</v>
      </c>
      <c r="I112" s="138"/>
    </row>
    <row r="113" spans="1:11" ht="18.75" customHeight="1">
      <c r="A113" s="138"/>
      <c r="B113" s="138"/>
      <c r="C113" s="138"/>
      <c r="D113" s="138"/>
      <c r="E113" s="3088" t="s">
        <v>2306</v>
      </c>
      <c r="F113" s="3088"/>
      <c r="G113" s="3088"/>
      <c r="H113" s="3088"/>
      <c r="I113" s="138"/>
    </row>
    <row r="114" spans="1:11" ht="3.75" customHeight="1">
      <c r="A114" s="2423"/>
      <c r="B114" s="2423"/>
      <c r="C114" s="2423"/>
      <c r="D114" s="2423"/>
      <c r="E114" s="2501"/>
      <c r="F114" s="2501"/>
      <c r="G114" s="2501"/>
      <c r="H114" s="2501"/>
      <c r="I114" s="2423"/>
    </row>
    <row r="115" spans="1:11" ht="18.75" customHeight="1">
      <c r="A115" s="3101" t="s">
        <v>2308</v>
      </c>
      <c r="B115" s="3102"/>
      <c r="C115" s="3102"/>
      <c r="D115" s="3102"/>
      <c r="E115" s="3102"/>
      <c r="F115" s="3102"/>
      <c r="G115" s="3102"/>
      <c r="H115" s="3102"/>
      <c r="I115" s="3103"/>
    </row>
    <row r="116" spans="1:11" ht="27" customHeight="1">
      <c r="A116" s="2994" t="s">
        <v>2309</v>
      </c>
      <c r="B116" s="3089" t="s">
        <v>2310</v>
      </c>
      <c r="C116" s="3089" t="s">
        <v>2311</v>
      </c>
      <c r="D116" s="3105" t="s">
        <v>2312</v>
      </c>
      <c r="E116" s="3106"/>
      <c r="F116" s="3097" t="s">
        <v>2313</v>
      </c>
      <c r="G116" s="3097"/>
      <c r="H116" s="2994" t="s">
        <v>2314</v>
      </c>
      <c r="I116" s="2994"/>
    </row>
    <row r="117" spans="1:11" ht="18.75" customHeight="1">
      <c r="A117" s="2994"/>
      <c r="B117" s="3090"/>
      <c r="C117" s="3090"/>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292.44</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1358</v>
      </c>
      <c r="I118" s="1798">
        <f ca="1">ROUND(IF(D32="楼面单价",C32,H118*10000/B118),0)</f>
        <v>46437</v>
      </c>
    </row>
    <row r="119" spans="1:11" ht="18.75" customHeight="1">
      <c r="A119" s="2994" t="s">
        <v>2318</v>
      </c>
      <c r="B119" s="2994"/>
      <c r="C119" s="2994"/>
      <c r="D119" s="3094" t="e">
        <f ca="1">NUMBERSTRING(INT(D118*10000),2)&amp;"元整"</f>
        <v>#REF!</v>
      </c>
      <c r="E119" s="3096"/>
      <c r="F119" s="3094" t="e">
        <f ca="1">NUMBERSTRING(INT(F118*10000),2)&amp;"元整"</f>
        <v>#REF!</v>
      </c>
      <c r="G119" s="3096"/>
      <c r="H119" s="3094" t="str">
        <f ca="1">NUMBERSTRING(INT(H118*10000),2)&amp;"元整"</f>
        <v>壹仟叁佰伍拾捌万元整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8" t="str">
        <f>IF(D120=0,"故，本次评估不存在"&amp;A120,"故，本次评估"&amp;A120&amp;"为人民币"&amp;D120&amp;"万元整。")</f>
        <v>故，本次评估不存在估价师知悉的法定优先受偿款</v>
      </c>
    </row>
    <row r="121" spans="1:11" ht="18.75" customHeight="1">
      <c r="A121" s="3098" t="s">
        <v>2318</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1358</v>
      </c>
      <c r="E122" s="3123"/>
      <c r="F122" s="3123"/>
      <c r="G122" s="3123"/>
      <c r="H122" s="3123"/>
      <c r="I122" s="3124"/>
    </row>
    <row r="123" spans="1:11" ht="18.75" customHeight="1">
      <c r="A123" s="2994" t="s">
        <v>2318</v>
      </c>
      <c r="B123" s="2994"/>
      <c r="C123" s="2994"/>
      <c r="D123" s="3094" t="str">
        <f ca="1">NUMBERSTRING(INT(D122*10000),2)&amp;"元整"</f>
        <v>壹仟叁佰伍拾捌万元整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2318</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2318</v>
      </c>
      <c r="B127" s="2994"/>
      <c r="C127" s="2994"/>
      <c r="D127" s="3094" t="e">
        <f>NUMBERSTRING(INT(D126*10000),2)&amp;"元整"</f>
        <v>#VALUE!</v>
      </c>
      <c r="E127" s="3095"/>
      <c r="F127" s="3095"/>
      <c r="G127" s="3095"/>
      <c r="H127" s="3095"/>
      <c r="I127" s="3096"/>
    </row>
    <row r="128" spans="1:11" ht="21.75" customHeight="1">
      <c r="A128" s="3104" t="s">
        <v>2319</v>
      </c>
      <c r="B128" s="3104"/>
      <c r="C128" s="3104"/>
      <c r="D128" s="3104"/>
      <c r="E128" s="3104"/>
      <c r="F128" s="3104"/>
      <c r="G128" s="3104"/>
      <c r="H128" s="3104"/>
      <c r="I128" s="3104"/>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406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13883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5</v>
      </c>
      <c r="D9" s="1035">
        <f ca="1">IF(B1="",'数据-汇总表'!E5,IF(INDIRECT("'数据-取费表'!c"&amp;$G$1)="住宅",INDIRECT("'数据-取费表'!k"&amp;$G$1),0))</f>
        <v>292.44</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6</v>
      </c>
      <c r="D19" s="1039">
        <f ca="1">D9+D10</f>
        <v>292.44</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73</v>
      </c>
      <c r="D34" s="261"/>
      <c r="E34" s="264"/>
      <c r="F34" s="301">
        <f ca="1">IF('数据-取费表'!B24=0,1,IF(B1="",'数据-取费表'!N16,INDIRECT("'数据-取费表'!n"&amp;$G$1)))</f>
        <v>1</v>
      </c>
      <c r="G34" s="263" t="s">
        <v>2392</v>
      </c>
    </row>
    <row r="35" spans="1:7" ht="13.5" customHeight="1">
      <c r="A35" s="954" t="s">
        <v>796</v>
      </c>
      <c r="B35" s="259" t="s">
        <v>2393</v>
      </c>
      <c r="C35" s="264">
        <f ca="1">ROUND(C34*F35,0)</f>
        <v>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2396</v>
      </c>
    </row>
    <row r="37" spans="1:7" s="302" customFormat="1" ht="13.5" customHeight="1">
      <c r="A37" s="954" t="s">
        <v>798</v>
      </c>
      <c r="B37" s="259" t="s">
        <v>2397</v>
      </c>
      <c r="C37" s="293">
        <f ca="1">ROUND(E37*D37*F34/10000,0)</f>
        <v>6</v>
      </c>
      <c r="D37" s="261">
        <f ca="1">D19</f>
        <v>292.44</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v>
      </c>
      <c r="D42" s="282"/>
      <c r="E42" s="282"/>
      <c r="F42" s="283"/>
      <c r="G42" s="3136" t="s">
        <v>2410</v>
      </c>
    </row>
    <row r="43" spans="1:7" ht="13.5" customHeight="1">
      <c r="A43" s="954" t="s">
        <v>792</v>
      </c>
      <c r="B43" s="259" t="s">
        <v>2411</v>
      </c>
      <c r="C43" s="282">
        <f ca="1">ROUND(IF('数据-取费表'!B22&lt;=1,C39*F22*'数据-取费表'!B21/2,C39*(POWER((1+F22),'数据-取费表'!B21/2)-1)),0)</f>
        <v>0</v>
      </c>
      <c r="D43" s="282"/>
      <c r="E43" s="282"/>
      <c r="F43" s="283"/>
      <c r="G43" s="3137"/>
    </row>
    <row r="44" spans="1:7" ht="13.5" customHeight="1">
      <c r="A44" s="954" t="s">
        <v>793</v>
      </c>
      <c r="B44" s="259" t="s">
        <v>2412</v>
      </c>
      <c r="C44" s="282">
        <f ca="1">ROUND(IF('数据-取费表'!B22&lt;=1,C40*F22*'数据-取费表'!B21/2,C40*(POWER((1+F22),'数据-取费表'!B21/2)-1)),4)</f>
        <v>1E-3</v>
      </c>
      <c r="D44" s="282"/>
      <c r="E44" s="282"/>
      <c r="F44" s="283"/>
      <c r="G44" s="3138"/>
    </row>
    <row r="45" spans="1:7" s="258" customFormat="1" ht="13.5" customHeight="1">
      <c r="A45" s="299" t="s">
        <v>2413</v>
      </c>
      <c r="B45" s="288" t="s">
        <v>2379</v>
      </c>
      <c r="C45" s="289">
        <f ca="1">C46</f>
        <v>22</v>
      </c>
      <c r="D45" s="279">
        <f ca="1">C47</f>
        <v>5.0000000000000001E-3</v>
      </c>
      <c r="E45" s="280" t="s">
        <v>2405</v>
      </c>
      <c r="F45" s="290"/>
      <c r="G45" s="291" t="s">
        <v>2414</v>
      </c>
    </row>
    <row r="46" spans="1:7" s="258" customFormat="1" ht="13.5" customHeight="1">
      <c r="A46" s="954" t="s">
        <v>791</v>
      </c>
      <c r="B46" s="292" t="s">
        <v>2415</v>
      </c>
      <c r="C46" s="293">
        <f ca="1">ROUND((C33+C39)*F27,0)</f>
        <v>22</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124</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99</v>
      </c>
      <c r="D51" s="276"/>
      <c r="E51" s="276"/>
      <c r="F51" s="308"/>
      <c r="G51" s="278" t="s">
        <v>2426</v>
      </c>
    </row>
    <row r="52" spans="1:7" s="252" customFormat="1" ht="16.5" thickBot="1">
      <c r="A52" s="309" t="s">
        <v>2427</v>
      </c>
      <c r="B52" s="310"/>
      <c r="C52" s="311">
        <f ca="1">C31+C51</f>
        <v>406</v>
      </c>
      <c r="D52" s="310"/>
      <c r="E52" s="310"/>
      <c r="F52" s="310"/>
      <c r="G52" s="312"/>
    </row>
    <row r="55" spans="1:7" ht="15">
      <c r="B55" s="314" t="s">
        <v>2428</v>
      </c>
      <c r="C55" s="315"/>
    </row>
    <row r="56" spans="1:7">
      <c r="B56" s="317" t="s">
        <v>1509</v>
      </c>
      <c r="C56" s="319">
        <f ca="1">1-C57</f>
        <v>0.75600000000000001</v>
      </c>
    </row>
    <row r="57" spans="1:7">
      <c r="B57" s="317" t="s">
        <v>1510</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项目基本情况!K5</f>
        <v/>
      </c>
    </row>
    <row r="48" spans="1:9">
      <c r="A48" s="1017" t="s">
        <v>818</v>
      </c>
      <c r="B48" s="1017" t="s">
        <v>824</v>
      </c>
    </row>
    <row r="49" spans="2:2">
      <c r="B49" s="1945" t="str">
        <f>"康正预评字"&amp;项目基本情况!B2&amp;"号"</f>
        <v>康正预评字2019-1-0096号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744</v>
      </c>
      <c r="C2" s="1848" t="s">
        <v>1587</v>
      </c>
      <c r="D2" s="1941">
        <f ca="1">C40+J29+L46</f>
        <v>7440487</v>
      </c>
      <c r="E2" s="1849" t="s">
        <v>1588</v>
      </c>
      <c r="F2" s="1850"/>
      <c r="G2" s="1851"/>
      <c r="H2" s="1843"/>
      <c r="I2" s="1843"/>
      <c r="J2" s="1843"/>
      <c r="K2" s="1844"/>
      <c r="L2" s="1843"/>
      <c r="M2" s="1843"/>
    </row>
    <row r="3" spans="1:37" ht="18" customHeight="1" thickBot="1">
      <c r="A3" s="1852" t="s">
        <v>1589</v>
      </c>
      <c r="B3" s="1853">
        <f ca="1">IF(ISERROR(D2/F43),0,ROUND(D2/F43,0))</f>
        <v>25443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297512</v>
      </c>
      <c r="D5" s="1825" t="s">
        <v>1597</v>
      </c>
      <c r="E5" s="1296"/>
      <c r="F5" s="1297"/>
      <c r="G5" s="1854"/>
      <c r="H5" s="344">
        <v>1</v>
      </c>
      <c r="I5" s="345" t="s">
        <v>1596</v>
      </c>
      <c r="J5" s="1295">
        <f ca="1">J6+J10+J12</f>
        <v>0</v>
      </c>
      <c r="K5" s="1825" t="s">
        <v>1597</v>
      </c>
      <c r="L5" s="1296"/>
      <c r="M5" s="1297"/>
    </row>
    <row r="6" spans="1:37" ht="18" customHeight="1">
      <c r="A6" s="1294" t="s">
        <v>1032</v>
      </c>
      <c r="B6" s="3139" t="s">
        <v>1399</v>
      </c>
      <c r="C6" s="1299">
        <f ca="1">ROUND(F6*F8*F7*(1-F9),0)</f>
        <v>296400</v>
      </c>
      <c r="D6" s="164" t="s">
        <v>3029</v>
      </c>
      <c r="E6" s="347" t="s">
        <v>1401</v>
      </c>
      <c r="F6" s="348">
        <f ca="1">INDIRECT("'数据-取费表'!u"&amp;$G$1)</f>
        <v>26000</v>
      </c>
      <c r="G6" s="1854"/>
      <c r="H6" s="1294" t="s">
        <v>1032</v>
      </c>
      <c r="I6" s="3139" t="s">
        <v>1399</v>
      </c>
      <c r="J6" s="346">
        <f ca="1">ROUND(M6*M8*M7*(1-M9),0)</f>
        <v>0</v>
      </c>
      <c r="K6" s="1837" t="s">
        <v>3030</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1</v>
      </c>
      <c r="G7" s="1854"/>
      <c r="H7" s="349"/>
      <c r="I7" s="3140"/>
      <c r="J7" s="351"/>
      <c r="K7" s="352"/>
      <c r="L7" s="347" t="s">
        <v>1402</v>
      </c>
      <c r="M7" s="348">
        <f ca="1">F7</f>
        <v>1</v>
      </c>
    </row>
    <row r="8" spans="1:37" ht="18" customHeight="1">
      <c r="A8" s="349"/>
      <c r="B8" s="3140"/>
      <c r="C8" s="351"/>
      <c r="D8" s="352"/>
      <c r="E8" s="347" t="s">
        <v>1403</v>
      </c>
      <c r="F8" s="348">
        <f ca="1">INDIRECT("'数据-取费表'!ai"&amp;$G$1)</f>
        <v>12</v>
      </c>
      <c r="G8" s="1854"/>
      <c r="H8" s="349"/>
      <c r="I8" s="3140"/>
      <c r="J8" s="351"/>
      <c r="K8" s="352"/>
      <c r="L8" s="347" t="s">
        <v>1403</v>
      </c>
      <c r="M8" s="348">
        <f ca="1">INDIRECT("'数据-取费表'!ai"&amp;$G$1)</f>
        <v>12</v>
      </c>
    </row>
    <row r="9" spans="1:37" ht="18" customHeight="1">
      <c r="A9" s="349"/>
      <c r="B9" s="3141"/>
      <c r="C9" s="351"/>
      <c r="D9" s="352"/>
      <c r="E9" s="347" t="s">
        <v>1404</v>
      </c>
      <c r="F9" s="357">
        <f ca="1">INDIRECT("'数据-取费表'!w"&amp;$G$1)</f>
        <v>0.05</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1112</v>
      </c>
      <c r="D10" s="1827" t="s">
        <v>3040</v>
      </c>
      <c r="E10" s="358" t="s">
        <v>1406</v>
      </c>
      <c r="F10" s="1369" t="s">
        <v>3069</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987858</v>
      </c>
      <c r="D13" s="1334" t="s">
        <v>1411</v>
      </c>
      <c r="E13" s="1334" t="s">
        <v>1412</v>
      </c>
      <c r="F13" s="1335">
        <f ca="1">INDIRECT("'数据-取费表'!y"&amp;$G$1)</f>
        <v>0.8</v>
      </c>
      <c r="G13" s="1854"/>
      <c r="H13" s="1332">
        <v>2</v>
      </c>
      <c r="I13" s="1333" t="s">
        <v>1410</v>
      </c>
      <c r="J13" s="1293">
        <f ca="1">ROUND(J14*J15,0)</f>
        <v>987858</v>
      </c>
      <c r="K13" s="1340" t="s">
        <v>1411</v>
      </c>
      <c r="L13" s="1855"/>
      <c r="M13" s="1856"/>
    </row>
    <row r="14" spans="1:37" ht="18" customHeight="1">
      <c r="A14" s="1204" t="s">
        <v>1031</v>
      </c>
      <c r="B14" s="347" t="s">
        <v>1413</v>
      </c>
      <c r="C14" s="363">
        <f ca="1">ROUND(INDIRECT("'数据-取费表'!l"&amp;$G$1)*F43+'数据-取费表'!L14*INDIRECT("'数据-取费表'!S"&amp;$G$1),0)</f>
        <v>731100</v>
      </c>
      <c r="D14" s="1803" t="s">
        <v>1414</v>
      </c>
      <c r="E14" s="1797"/>
      <c r="F14" s="364"/>
      <c r="G14" s="1854"/>
      <c r="H14" s="1204" t="s">
        <v>1032</v>
      </c>
      <c r="I14" s="347" t="s">
        <v>1415</v>
      </c>
      <c r="J14" s="24">
        <f ca="1">C29</f>
        <v>1234822</v>
      </c>
      <c r="K14" s="15"/>
      <c r="L14" s="982"/>
      <c r="M14" s="983"/>
    </row>
    <row r="15" spans="1:37" s="1861" customFormat="1" ht="18" customHeight="1" thickBot="1">
      <c r="A15" s="1204" t="s">
        <v>1033</v>
      </c>
      <c r="B15" s="347" t="s">
        <v>1416</v>
      </c>
      <c r="C15" s="24">
        <f ca="1">ROUND(C14*F15,0)</f>
        <v>21933</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36555</v>
      </c>
      <c r="D16" s="347" t="s">
        <v>1417</v>
      </c>
      <c r="E16" s="347" t="s">
        <v>1418</v>
      </c>
      <c r="F16" s="367">
        <f ca="1">IF(INDIRECT("'数据-取费表'!c"&amp;$G$1)="住宅",'数据-取费表'!B34,0)</f>
        <v>0.05</v>
      </c>
      <c r="G16" s="1854"/>
      <c r="H16" s="1332" t="s">
        <v>1027</v>
      </c>
      <c r="I16" s="1333" t="s">
        <v>1420</v>
      </c>
      <c r="J16" s="355">
        <f ca="1">ROUND(J17+J22+J23+J24,0)</f>
        <v>26672</v>
      </c>
      <c r="K16" s="1340" t="s">
        <v>1421</v>
      </c>
      <c r="L16" s="1341"/>
      <c r="M16" s="1297"/>
    </row>
    <row r="17" spans="1:37" s="1861" customFormat="1" ht="18" customHeight="1">
      <c r="A17" s="1204" t="s">
        <v>1386</v>
      </c>
      <c r="B17" s="347" t="s">
        <v>1422</v>
      </c>
      <c r="C17" s="24">
        <f ca="1">ROUND(F17*(F43+INDIRECT("'数据-取费表'!S"&amp;$G$1)),0)</f>
        <v>58488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10967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859043</v>
      </c>
      <c r="D19" s="140" t="s">
        <v>1432</v>
      </c>
      <c r="E19" s="1821"/>
      <c r="F19" s="26"/>
      <c r="G19" s="1854"/>
      <c r="H19" s="1204" t="s">
        <v>1033</v>
      </c>
      <c r="I19" s="347" t="s">
        <v>1433</v>
      </c>
      <c r="J19" s="24">
        <f ca="1">IF(K19="按租金收入计税",ROUND(J5*M19,0),ROUND(C29*M19*0.7,0))</f>
        <v>10373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17181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24696</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41621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1976</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-26672</v>
      </c>
      <c r="K25" s="1348" t="s">
        <v>1460</v>
      </c>
      <c r="L25" s="1349"/>
      <c r="M25" s="1350"/>
    </row>
    <row r="26" spans="1:37" ht="18" customHeight="1">
      <c r="A26" s="1204" t="s">
        <v>1031</v>
      </c>
      <c r="B26" s="347" t="s">
        <v>1461</v>
      </c>
      <c r="C26" s="24">
        <f ca="1">ROUND((C19+C20)*F26,0)</f>
        <v>219056</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1234822</v>
      </c>
      <c r="D29" s="1345"/>
      <c r="E29" s="1343"/>
      <c r="F29" s="1346"/>
      <c r="G29" s="1857"/>
      <c r="H29" s="380" t="s">
        <v>1030</v>
      </c>
      <c r="I29" s="381" t="s">
        <v>1475</v>
      </c>
      <c r="J29" s="382">
        <f ca="1">ROUND(J26/(1+F40)^F41,0)</f>
        <v>0</v>
      </c>
      <c r="K29" s="383" t="s">
        <v>1476</v>
      </c>
      <c r="L29" s="384"/>
      <c r="M29" s="385">
        <f ca="1">INDIRECT("'数据-取费表'!k"&amp;$G$1)</f>
        <v>292.44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47498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14876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24696</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ROUND(C13*F37,0)</f>
        <v>1976</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5950.2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250014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7440487</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25443</v>
      </c>
      <c r="D43" s="383" t="s">
        <v>1484</v>
      </c>
      <c r="E43" s="384" t="s">
        <v>1485</v>
      </c>
      <c r="F43" s="385">
        <f ca="1">INDIRECT("'数据-取费表'!k"&amp;$G$1)</f>
        <v>292.44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-8234253</v>
      </c>
      <c r="D45" s="1943" t="s">
        <v>1600</v>
      </c>
      <c r="E45" s="1869"/>
      <c r="F45" s="1869"/>
      <c r="O45" s="1872" t="s">
        <v>1515</v>
      </c>
      <c r="P45" s="1842"/>
      <c r="Q45" s="1842"/>
      <c r="R45" s="1842"/>
    </row>
    <row r="46" spans="1:18" s="1845" customFormat="1" ht="13.5" thickBot="1">
      <c r="A46" s="1873" t="s">
        <v>1516</v>
      </c>
      <c r="C46" s="1874">
        <f ca="1">ROUND(C45/10000,0)</f>
        <v>-823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3070</v>
      </c>
      <c r="K47" s="1885" t="s">
        <v>1523</v>
      </c>
      <c r="L47" s="1886">
        <f ca="1">INDIRECT("'数据-取费表'!d"&amp;$G$1)</f>
        <v>70</v>
      </c>
      <c r="M47" s="1841" t="str">
        <f>IF(ISNUMBER(FIND("住宅",C1)),"住宅","非住宅")</f>
        <v>住宅</v>
      </c>
      <c r="O47" s="1887" t="s">
        <v>1037</v>
      </c>
      <c r="P47" s="1888" t="s">
        <v>1524</v>
      </c>
      <c r="Q47" s="1889">
        <f ca="1">C40+J29</f>
        <v>7440487</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46.8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1234822</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3592706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46.8</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46.8</v>
      </c>
      <c r="K53" s="3142" t="s">
        <v>1544</v>
      </c>
      <c r="L53" s="3143"/>
      <c r="O53" s="1887" t="s">
        <v>1043</v>
      </c>
      <c r="P53" s="1888" t="s">
        <v>1545</v>
      </c>
      <c r="Q53" s="1889">
        <f ca="1">Q47+Q48</f>
        <v>7440487</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987858</v>
      </c>
      <c r="D56" s="1917"/>
      <c r="E56" s="1918"/>
      <c r="F56" s="1910"/>
      <c r="I56" s="1919" t="s">
        <v>1550</v>
      </c>
      <c r="J56" s="1920" t="s">
        <v>3061</v>
      </c>
      <c r="K56" s="1890" t="s">
        <v>1551</v>
      </c>
      <c r="L56" s="1893">
        <f ca="1">IF(L48&lt;J51,"——",L48-J51)</f>
        <v>5.7999999999999972</v>
      </c>
      <c r="O56" s="1887" t="s">
        <v>1037</v>
      </c>
      <c r="P56" s="1888" t="s">
        <v>1524</v>
      </c>
      <c r="Q56" s="1889">
        <f ca="1">C40+J29</f>
        <v>7440487</v>
      </c>
      <c r="R56" s="1889" t="s">
        <v>1525</v>
      </c>
    </row>
    <row r="57" spans="1:18" s="1845" customFormat="1" ht="24.75" thickBot="1">
      <c r="A57" s="1921"/>
      <c r="B57" s="1172" t="s">
        <v>1474</v>
      </c>
      <c r="C57" s="282">
        <f ca="1">C29</f>
        <v>1234822</v>
      </c>
      <c r="D57" s="1922"/>
      <c r="E57" s="1923"/>
      <c r="F57" s="1924"/>
      <c r="I57" s="1925" t="s">
        <v>1552</v>
      </c>
      <c r="J57" s="1926" t="str">
        <f ca="1">IF(OR(M47="住宅",J51&lt;L48,J56="是"),"——",J51-L48)</f>
        <v>——</v>
      </c>
      <c r="K57" s="1890" t="s">
        <v>1601</v>
      </c>
      <c r="L57" s="1893">
        <f ca="1">IF(L48&lt;J51,"——",IF(L55="比较法",L49,IF(L55="基准地价",L50,L51)))</f>
        <v>3592706</v>
      </c>
      <c r="O57" s="1887" t="s">
        <v>1038</v>
      </c>
      <c r="P57" s="1888" t="s">
        <v>1602</v>
      </c>
      <c r="Q57" s="1889">
        <f ca="1">L60</f>
        <v>0</v>
      </c>
      <c r="R57" s="1889" t="s">
        <v>1603</v>
      </c>
    </row>
    <row r="58" spans="1:18" s="1845" customFormat="1" ht="24.75" thickBot="1">
      <c r="A58" s="360" t="s">
        <v>1027</v>
      </c>
      <c r="B58" s="1180" t="s">
        <v>1420</v>
      </c>
      <c r="C58" s="361">
        <f ca="1">ROUND(C59+C64+C65+C66,0)</f>
        <v>26672</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7440487</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24696</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1976</v>
      </c>
      <c r="D65" s="1186" t="s">
        <v>1450</v>
      </c>
      <c r="E65" s="1172" t="s">
        <v>1451</v>
      </c>
      <c r="F65" s="376">
        <f t="shared" ca="1" si="0"/>
        <v>2E-3</v>
      </c>
      <c r="I65" s="1932" t="s">
        <v>1575</v>
      </c>
      <c r="J65" s="1933">
        <v>40</v>
      </c>
      <c r="K65" s="1933">
        <v>30</v>
      </c>
      <c r="L65" s="1933">
        <v>50</v>
      </c>
      <c r="M65" s="1935">
        <v>0.02</v>
      </c>
      <c r="O65" s="1887" t="s">
        <v>1037</v>
      </c>
      <c r="P65" s="1888" t="s">
        <v>1576</v>
      </c>
      <c r="Q65" s="1889">
        <f ca="1">C40+J29</f>
        <v>7440487</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-26672</v>
      </c>
      <c r="D67" s="1185" t="s">
        <v>1460</v>
      </c>
      <c r="E67" s="1190"/>
      <c r="F67" s="1191"/>
      <c r="O67" s="1897" t="s">
        <v>1039</v>
      </c>
      <c r="P67" s="1888" t="s">
        <v>1558</v>
      </c>
      <c r="Q67" s="1936">
        <f ca="1">L51</f>
        <v>3592706</v>
      </c>
      <c r="R67" s="1889" t="s">
        <v>1578</v>
      </c>
    </row>
    <row r="68" spans="1:18" s="1845" customFormat="1" ht="16.5" thickBot="1">
      <c r="A68" s="1169" t="s">
        <v>1029</v>
      </c>
      <c r="B68" s="1170" t="s">
        <v>1481</v>
      </c>
      <c r="C68" s="346">
        <f ca="1">ROUND(C67*(1-((1+F70)/(1+F68))^F69)/(F68-F70),0)</f>
        <v>-793766</v>
      </c>
      <c r="D68" s="1187" t="s">
        <v>1465</v>
      </c>
      <c r="E68" s="1172" t="s">
        <v>1466</v>
      </c>
      <c r="F68" s="357">
        <f ca="1">F40</f>
        <v>4.4999999999999998E-2</v>
      </c>
      <c r="O68" s="1897" t="s">
        <v>1040</v>
      </c>
      <c r="P68" s="1937" t="s">
        <v>1579</v>
      </c>
      <c r="Q68" s="1889">
        <f ca="1">ROUND(Q69-Q70*Q71,0)</f>
        <v>170985</v>
      </c>
      <c r="R68" s="1889" t="s">
        <v>1048</v>
      </c>
    </row>
    <row r="69" spans="1:18" s="1845" customFormat="1" ht="13.5" thickBot="1">
      <c r="A69" s="1173"/>
      <c r="B69" s="1174"/>
      <c r="C69" s="351"/>
      <c r="D69" s="1192" t="s">
        <v>1469</v>
      </c>
      <c r="E69" s="1172" t="s">
        <v>1470</v>
      </c>
      <c r="F69" s="379">
        <f ca="1">F41</f>
        <v>46.8</v>
      </c>
      <c r="O69" s="1897" t="s">
        <v>1045</v>
      </c>
      <c r="P69" s="1937" t="s">
        <v>1580</v>
      </c>
      <c r="Q69" s="1889">
        <f ca="1">C39</f>
        <v>250014</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987858</v>
      </c>
      <c r="R70" s="1889" t="s">
        <v>1525</v>
      </c>
    </row>
    <row r="71" spans="1:18" s="1845" customFormat="1" ht="13.5" thickBot="1">
      <c r="A71" s="1193" t="s">
        <v>1030</v>
      </c>
      <c r="B71" s="1194" t="s">
        <v>1483</v>
      </c>
      <c r="C71" s="382">
        <f ca="1">ROUND(C68/F71,0)</f>
        <v>-2714</v>
      </c>
      <c r="D71" s="1195" t="s">
        <v>1484</v>
      </c>
      <c r="E71" s="1196" t="s">
        <v>1485</v>
      </c>
      <c r="F71" s="385">
        <f ca="1">F43</f>
        <v>292.44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79029</v>
      </c>
      <c r="D75" s="1845"/>
      <c r="E75" s="1845"/>
      <c r="F75" s="1845"/>
      <c r="K75" s="1871"/>
      <c r="L75" s="1845"/>
      <c r="O75" s="1887" t="s">
        <v>1043</v>
      </c>
      <c r="P75" s="1888" t="s">
        <v>1545</v>
      </c>
      <c r="Q75" s="1889">
        <f ca="1">Q65+Q66</f>
        <v>7440487</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0.68399999999999994</v>
      </c>
    </row>
    <row r="80" spans="1:18">
      <c r="B80" s="386" t="s">
        <v>1507</v>
      </c>
      <c r="C80" s="318">
        <f ca="1">ROUND(C75/C39,3)</f>
        <v>0.316</v>
      </c>
    </row>
    <row r="81" spans="2:3">
      <c r="B81" s="314" t="s">
        <v>1508</v>
      </c>
      <c r="C81" s="282"/>
    </row>
    <row r="82" spans="2:3">
      <c r="B82" s="317" t="s">
        <v>1509</v>
      </c>
      <c r="C82" s="319">
        <f ca="1">1-C83</f>
        <v>0.86699999999999999</v>
      </c>
    </row>
    <row r="83" spans="2:3">
      <c r="B83" s="317" t="s">
        <v>1510</v>
      </c>
      <c r="C83" s="318">
        <f ca="1">ROUND(C13/C40,3)</f>
        <v>0.13300000000000001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39" t="s">
        <v>1399</v>
      </c>
      <c r="C6" s="1299">
        <f ca="1">ROUND(F6*F8*F7*(1-F9)/10000,0)</f>
        <v>0</v>
      </c>
      <c r="D6" s="164" t="s">
        <v>3032</v>
      </c>
      <c r="E6" s="347" t="s">
        <v>1401</v>
      </c>
      <c r="F6" s="348">
        <f ca="1">INDIRECT("'数据-取费表'!u"&amp;$G$1)</f>
        <v>0</v>
      </c>
      <c r="G6" s="1854"/>
      <c r="H6" s="1294" t="s">
        <v>1032</v>
      </c>
      <c r="I6" s="3139" t="s">
        <v>1399</v>
      </c>
      <c r="J6" s="346">
        <f ca="1">ROUND(M6*M8*M7*(1-M9)/10000,0)</f>
        <v>0</v>
      </c>
      <c r="K6" s="164" t="s">
        <v>3031</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0</v>
      </c>
      <c r="G7" s="1854"/>
      <c r="H7" s="349"/>
      <c r="I7" s="3140"/>
      <c r="J7" s="351"/>
      <c r="K7" s="352"/>
      <c r="L7" s="347" t="s">
        <v>1402</v>
      </c>
      <c r="M7" s="348">
        <f ca="1">F7</f>
        <v>0</v>
      </c>
    </row>
    <row r="8" spans="1:37" ht="18" customHeight="1">
      <c r="A8" s="349"/>
      <c r="B8" s="3140"/>
      <c r="C8" s="351"/>
      <c r="D8" s="352"/>
      <c r="E8" s="347" t="s">
        <v>1403</v>
      </c>
      <c r="F8" s="348">
        <f ca="1">INDIRECT("'数据-取费表'!ai"&amp;$G$1)</f>
        <v>0</v>
      </c>
      <c r="G8" s="1854"/>
      <c r="H8" s="349"/>
      <c r="I8" s="3140"/>
      <c r="J8" s="351"/>
      <c r="K8" s="352"/>
      <c r="L8" s="347" t="s">
        <v>1403</v>
      </c>
      <c r="M8" s="348">
        <f ca="1">INDIRECT("'数据-取费表'!ai"&amp;$G$1)</f>
        <v>0</v>
      </c>
    </row>
    <row r="9" spans="1:37" ht="18" customHeight="1">
      <c r="A9" s="349"/>
      <c r="B9" s="3141"/>
      <c r="C9" s="351"/>
      <c r="D9" s="352"/>
      <c r="E9" s="347" t="s">
        <v>1404</v>
      </c>
      <c r="F9" s="357">
        <f ca="1">INDIRECT("'数据-取费表'!w"&amp;$G$1)</f>
        <v>0</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2" t="s">
        <v>1544</v>
      </c>
      <c r="L53" s="314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3063</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2279</v>
      </c>
      <c r="C2" s="243" t="s">
        <v>2329</v>
      </c>
      <c r="D2" s="2554" t="s">
        <v>70</v>
      </c>
      <c r="E2" s="1443">
        <f ca="1">SUMIF(INDIRECT("'"&amp;G2&amp;"'"&amp;"!A:A"),"承租人权益价值",INDIRECT("'"&amp;G2&amp;"'"&amp;"!c:c"))</f>
        <v>0</v>
      </c>
      <c r="F2" s="2555" t="s">
        <v>2329</v>
      </c>
      <c r="G2" s="2556" t="s">
        <v>3067</v>
      </c>
    </row>
    <row r="3" spans="1:8" s="244" customFormat="1" ht="18" customHeight="1" thickBot="1">
      <c r="A3" s="247" t="s">
        <v>2330</v>
      </c>
      <c r="B3" s="248">
        <f ca="1">ROUND(B2*10000/(IF(B1="",'数据-汇总表'!E3,INDIRECT("'数据-取费表'!k"&amp;$G$1))),0)</f>
        <v>77931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14619929</v>
      </c>
      <c r="D5" s="255" t="s">
        <v>2335</v>
      </c>
      <c r="E5" s="256" t="s">
        <v>2336</v>
      </c>
      <c r="F5" s="256" t="s">
        <v>2337</v>
      </c>
      <c r="G5" s="257"/>
    </row>
    <row r="6" spans="1:8" s="258" customFormat="1" ht="13.5" customHeight="1">
      <c r="A6" s="952" t="s">
        <v>2338</v>
      </c>
      <c r="B6" s="259" t="s">
        <v>2339</v>
      </c>
      <c r="C6" s="260">
        <f ca="1">ROUND(基准地价修正!C29*基准地价修正!D29,0)</f>
        <v>14141814</v>
      </c>
      <c r="D6" s="261"/>
      <c r="E6" s="262"/>
      <c r="F6" s="262"/>
      <c r="G6" s="263"/>
    </row>
    <row r="7" spans="1:8" s="258" customFormat="1" ht="13.5" customHeight="1">
      <c r="A7" s="952" t="s">
        <v>2340</v>
      </c>
      <c r="B7" s="259" t="s">
        <v>2341</v>
      </c>
      <c r="C7" s="264">
        <f ca="1">ROUND(C6*F7,0)</f>
        <v>431325</v>
      </c>
      <c r="D7" s="264"/>
      <c r="E7" s="262"/>
      <c r="F7" s="265">
        <f>'数据-取费表'!B48+'数据-取费表'!B49</f>
        <v>3.0499999999999999E-2</v>
      </c>
      <c r="G7" s="263"/>
    </row>
    <row r="8" spans="1:8" s="267" customFormat="1">
      <c r="A8" s="952" t="s">
        <v>2342</v>
      </c>
      <c r="B8" s="259" t="s">
        <v>2343</v>
      </c>
      <c r="C8" s="264">
        <f ca="1">IF(G8="已包含在土地购买价格中",0,C9+C10)</f>
        <v>46790</v>
      </c>
      <c r="D8" s="266"/>
      <c r="E8" s="264"/>
      <c r="F8" s="265"/>
      <c r="G8" s="2557" t="s">
        <v>3082</v>
      </c>
    </row>
    <row r="9" spans="1:8" s="258" customFormat="1" ht="13.5" customHeight="1">
      <c r="A9" s="953" t="s">
        <v>800</v>
      </c>
      <c r="B9" s="268" t="s">
        <v>2344</v>
      </c>
      <c r="C9" s="269">
        <f ca="1">ROUND(D9*E9,0)</f>
        <v>46790</v>
      </c>
      <c r="D9" s="1035">
        <f ca="1">IF(B1="",'数据-汇总表'!E5,IF(INDIRECT("'数据-取费表'!c"&amp;$G$1)="住宅",INDIRECT("'数据-取费表'!k"&amp;$G$1),0))</f>
        <v>292.44</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292.44</v>
      </c>
      <c r="E19" s="255">
        <f>'数据-取费表'!B31</f>
        <v>200</v>
      </c>
      <c r="F19" s="275"/>
      <c r="G19" s="2557" t="s">
        <v>3085</v>
      </c>
    </row>
    <row r="20" spans="1:7" s="258" customFormat="1" ht="13.5" customHeight="1">
      <c r="A20" s="299" t="s">
        <v>2440</v>
      </c>
      <c r="B20" s="254" t="s">
        <v>2441</v>
      </c>
      <c r="C20" s="276">
        <f ca="1">ROUND((C5+C19)*F20,0)</f>
        <v>292399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1435768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1421879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13889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3728082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3728082</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21805342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859043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731100</v>
      </c>
      <c r="D34" s="261"/>
      <c r="E34" s="264"/>
      <c r="F34" s="301"/>
      <c r="G34" s="263"/>
    </row>
    <row r="35" spans="1:7" ht="13.5" customHeight="1">
      <c r="A35" s="954" t="s">
        <v>796</v>
      </c>
      <c r="B35" s="259" t="s">
        <v>2393</v>
      </c>
      <c r="C35" s="264">
        <f ca="1">ROUND(C34*F35,0)</f>
        <v>21933</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36555</v>
      </c>
      <c r="D36" s="264"/>
      <c r="E36" s="264"/>
      <c r="F36" s="303">
        <f>'数据-取费表'!B34</f>
        <v>0.05</v>
      </c>
      <c r="G36" s="304" t="s">
        <v>2396</v>
      </c>
    </row>
    <row r="37" spans="1:7" s="302" customFormat="1" ht="13.5" customHeight="1">
      <c r="A37" s="954" t="s">
        <v>798</v>
      </c>
      <c r="B37" s="259" t="s">
        <v>2397</v>
      </c>
      <c r="C37" s="293">
        <f ca="1">ROUND(E37*D37,0)</f>
        <v>58488</v>
      </c>
      <c r="D37" s="261">
        <f ca="1">D19</f>
        <v>292.44</v>
      </c>
      <c r="E37" s="293">
        <f>'数据-取费表'!B35</f>
        <v>200</v>
      </c>
      <c r="F37" s="303"/>
      <c r="G37" s="305"/>
    </row>
    <row r="38" spans="1:7" ht="13.5" customHeight="1">
      <c r="A38" s="954" t="s">
        <v>799</v>
      </c>
      <c r="B38" s="259" t="s">
        <v>2399</v>
      </c>
      <c r="C38" s="264">
        <f ca="1">ROUND(C34*F38,0)</f>
        <v>10967</v>
      </c>
      <c r="D38" s="264"/>
      <c r="E38" s="264"/>
      <c r="F38" s="303">
        <f>'数据-取费表'!B36</f>
        <v>1.4999999999999999E-2</v>
      </c>
      <c r="G38" s="263" t="s">
        <v>2394</v>
      </c>
    </row>
    <row r="39" spans="1:7" s="258" customFormat="1" ht="13.5" customHeight="1">
      <c r="A39" s="299" t="s">
        <v>2400</v>
      </c>
      <c r="B39" s="254" t="s">
        <v>2401</v>
      </c>
      <c r="C39" s="276">
        <f ca="1">ROUND(C33*F20,0)</f>
        <v>17181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41621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40805</v>
      </c>
      <c r="D42" s="282"/>
      <c r="E42" s="282"/>
      <c r="F42" s="283"/>
      <c r="G42" s="3136" t="s">
        <v>2457</v>
      </c>
    </row>
    <row r="43" spans="1:7" ht="13.5" customHeight="1">
      <c r="A43" s="954" t="s">
        <v>792</v>
      </c>
      <c r="B43" s="259" t="s">
        <v>2411</v>
      </c>
      <c r="C43" s="282">
        <f ca="1">ROUND(IF('数据-取费表'!B22&lt;=1,C39*F22*'数据-取费表'!B20/2,C39*(POWER((1+F22),'数据-取费表'!B20/2)-1)),0)</f>
        <v>816</v>
      </c>
      <c r="D43" s="282"/>
      <c r="E43" s="282"/>
      <c r="F43" s="283"/>
      <c r="G43" s="3137"/>
    </row>
    <row r="44" spans="1:7" ht="13.5" customHeight="1">
      <c r="A44" s="954" t="s">
        <v>793</v>
      </c>
      <c r="B44" s="259" t="s">
        <v>2412</v>
      </c>
      <c r="C44" s="282">
        <f ca="1">ROUND(IF('数据-取费表'!B22&lt;=1,C40*F22*'数据-取费表'!B20/2,C40*(POWER((1+F22),'数据-取费表'!B20/2)-1)),4)</f>
        <v>1E-3</v>
      </c>
      <c r="D44" s="282"/>
      <c r="E44" s="282"/>
      <c r="F44" s="283"/>
      <c r="G44" s="3138"/>
    </row>
    <row r="45" spans="1:7" s="258" customFormat="1" ht="13.5" customHeight="1">
      <c r="A45" s="299" t="s">
        <v>2413</v>
      </c>
      <c r="B45" s="288" t="s">
        <v>2379</v>
      </c>
      <c r="C45" s="289">
        <f ca="1">C46</f>
        <v>219056</v>
      </c>
      <c r="D45" s="279">
        <f ca="1">C47</f>
        <v>5.0000000000000001E-3</v>
      </c>
      <c r="E45" s="280" t="s">
        <v>2405</v>
      </c>
      <c r="F45" s="290"/>
      <c r="G45" s="291" t="s">
        <v>2414</v>
      </c>
    </row>
    <row r="46" spans="1:7" s="258" customFormat="1" ht="13.5" customHeight="1">
      <c r="A46" s="954" t="s">
        <v>791</v>
      </c>
      <c r="B46" s="292" t="s">
        <v>2415</v>
      </c>
      <c r="C46" s="293">
        <f ca="1">ROUND((C33+C39)*F27,0)</f>
        <v>219056</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1234822</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987858</v>
      </c>
      <c r="D51" s="276"/>
      <c r="E51" s="276"/>
      <c r="F51" s="308"/>
      <c r="G51" s="278" t="s">
        <v>2426</v>
      </c>
    </row>
    <row r="52" spans="1:7" s="252" customFormat="1" ht="16.5" thickBot="1">
      <c r="A52" s="309" t="s">
        <v>2427</v>
      </c>
      <c r="B52" s="310"/>
      <c r="C52" s="311">
        <f ca="1">C31+C51</f>
        <v>22793200</v>
      </c>
      <c r="D52" s="310"/>
      <c r="E52" s="310"/>
      <c r="F52" s="310"/>
      <c r="G52" s="312"/>
    </row>
    <row r="55" spans="1:7" ht="15">
      <c r="B55" s="314" t="s">
        <v>2428</v>
      </c>
      <c r="C55" s="315"/>
    </row>
    <row r="56" spans="1:7">
      <c r="B56" s="317" t="s">
        <v>1509</v>
      </c>
      <c r="C56" s="319">
        <f ca="1">1-C57</f>
        <v>0.95699999999999996</v>
      </c>
    </row>
    <row r="57" spans="1:7">
      <c r="B57" s="317" t="s">
        <v>1510</v>
      </c>
      <c r="C57" s="318">
        <f ca="1">ROUND(C51/C52,3)</f>
        <v>4.2999999999999997E-2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242</v>
      </c>
      <c r="C2" s="320" t="s">
        <v>2461</v>
      </c>
      <c r="D2" s="320"/>
      <c r="E2" s="320"/>
      <c r="F2" s="320"/>
      <c r="G2" s="320"/>
      <c r="H2" s="320"/>
      <c r="I2" s="320"/>
      <c r="J2" s="320"/>
      <c r="K2" s="320"/>
    </row>
    <row r="3" spans="1:33" ht="18" customHeight="1" thickBot="1">
      <c r="A3" s="247" t="s">
        <v>2330</v>
      </c>
      <c r="B3" s="248">
        <f ca="1">ROUND(B2*10000/IF(C1="",'数据-汇总表'!E3,INDIRECT("'数据-取费表'!K"&amp;$K$1)),0)</f>
        <v>8275</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292.44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292.44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-195</v>
      </c>
      <c r="D18" s="1036"/>
      <c r="E18" s="24"/>
      <c r="F18" s="979"/>
      <c r="G18" s="2563"/>
      <c r="H18" s="1580"/>
      <c r="I18" s="2564" t="s">
        <v>2494</v>
      </c>
      <c r="J18" s="982"/>
      <c r="K18" s="983"/>
    </row>
    <row r="19" spans="1:33" s="978" customFormat="1" ht="13.5" customHeight="1">
      <c r="A19" s="974" t="s">
        <v>805</v>
      </c>
      <c r="B19" s="975" t="s">
        <v>2495</v>
      </c>
      <c r="C19" s="24">
        <f ca="1">ROUND(D19*E19/10000,0)</f>
        <v>5</v>
      </c>
      <c r="D19" s="1036">
        <f ca="1">IF(C1="",'数据-汇总表'!E5,IF(INDIRECT("'数据-取费表'!c"&amp;$K$1)="住宅",INDIRECT("'数据-取费表'!k"&amp;$K$1),0))</f>
        <v>292.44</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-195</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G20" sqref="G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292.44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1414</v>
      </c>
      <c r="C2" s="2728" t="s">
        <v>2814</v>
      </c>
      <c r="D2" s="2729" t="s">
        <v>2815</v>
      </c>
      <c r="E2" s="2730" t="s">
        <v>3063</v>
      </c>
      <c r="F2" s="2729" t="s">
        <v>2816</v>
      </c>
      <c r="G2" s="2731" t="str">
        <f>IF(E2="商业",项目基本情况!B37,IF(E2="办公",项目基本情况!C37,IF(E2="住宅",项目基本情况!D37,项目基本情况!E37)))</f>
        <v>二级</v>
      </c>
      <c r="H2" s="2729" t="s">
        <v>2817</v>
      </c>
      <c r="I2" s="2731" t="str">
        <f>IF(E2="商业",项目基本情况!B38,IF(E2="办公",项目基本情况!C38,IF(E2="住宅",项目基本情况!D38,项目基本情况!E38)))</f>
        <v>Ⅱ—01</v>
      </c>
      <c r="J2" s="2732"/>
      <c r="K2" s="1373"/>
      <c r="L2" s="2733"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93631</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48352</v>
      </c>
      <c r="C3" s="2728" t="s">
        <v>2820</v>
      </c>
      <c r="D3" s="2729" t="s">
        <v>2821</v>
      </c>
      <c r="E3" s="2734" t="s">
        <v>3072</v>
      </c>
      <c r="F3" s="2735" t="s">
        <v>3073</v>
      </c>
      <c r="G3" s="916">
        <f>IF(F3="宗地容积率",'数据-汇总表'!I4,IF(F3="估价对象容积率",'数据-汇总表'!I6,'数据-汇总表'!I7))</f>
        <v>2.5</v>
      </c>
      <c r="H3" s="198" t="s">
        <v>2822</v>
      </c>
      <c r="I3" s="947">
        <v>1</v>
      </c>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68659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7"/>
      <c r="B4" s="3148"/>
      <c r="C4" s="3148"/>
      <c r="D4" s="3149"/>
      <c r="E4" s="3149"/>
      <c r="F4" s="3149"/>
      <c r="G4" s="3149"/>
      <c r="H4" s="3149"/>
      <c r="I4" s="3149"/>
      <c r="J4" s="3150"/>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56066</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31176</v>
      </c>
      <c r="D5" s="1790">
        <f>ROUND(IF(F16="增加",C6+C16,C6-C16),0)</f>
        <v>25980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46530</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25980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40703</v>
      </c>
      <c r="U6" s="1606"/>
      <c r="V6" s="1605">
        <f t="shared" ca="1" si="1"/>
        <v>0</v>
      </c>
      <c r="W6" s="1609"/>
      <c r="X6" s="1609"/>
      <c r="Y6" s="1609"/>
      <c r="Z6" s="1609"/>
      <c r="AA6" s="1609"/>
      <c r="AB6" s="1609"/>
      <c r="AC6" s="2742"/>
      <c r="AD6" s="2743"/>
      <c r="AE6" s="2743"/>
      <c r="AF6" s="2743"/>
      <c r="AG6" s="2743"/>
      <c r="AH6" s="2743"/>
      <c r="AI6" s="2743"/>
      <c r="AJ6" s="2744"/>
    </row>
    <row r="7" spans="1:36" ht="24">
      <c r="A7" s="3151" t="str">
        <f>IF(E2="商业",IF(C8="不临58条商业街","",2),"")</f>
        <v/>
      </c>
      <c r="B7" s="2752" t="s">
        <v>2832</v>
      </c>
      <c r="C7" s="919">
        <f>IF(C8="不临58条商业街",1,ROUND(1+(1.6*E8+1.2*E9+0.8*E10+0.4*E11)*C9,4))</f>
        <v>1</v>
      </c>
      <c r="D7" s="2753" t="s">
        <v>2833</v>
      </c>
      <c r="E7" s="948">
        <v>6</v>
      </c>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36791</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152"/>
      <c r="B8" s="198" t="s">
        <v>2837</v>
      </c>
      <c r="C8" s="2757" t="s">
        <v>3074</v>
      </c>
      <c r="D8" s="920" t="s">
        <v>139</v>
      </c>
      <c r="E8" s="921">
        <f>ROUND(C11/E7,4)</f>
        <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4" t="s">
        <v>2840</v>
      </c>
      <c r="X8" s="314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52"/>
      <c r="B9" s="198" t="s">
        <v>2853</v>
      </c>
      <c r="C9" s="922">
        <f>SUMIF(修正!C59:C119,C8,修正!E59:E119)</f>
        <v>0</v>
      </c>
      <c r="D9" s="200" t="s">
        <v>140</v>
      </c>
      <c r="E9" s="200">
        <f>ROUND(C11/E7,4)</f>
        <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2"/>
      <c r="B10" s="198" t="s">
        <v>2858</v>
      </c>
      <c r="C10" s="200">
        <f>SUMIF(修正!C59:C119,C8,修正!F59:F119)</f>
        <v>0</v>
      </c>
      <c r="D10" s="200" t="s">
        <v>141</v>
      </c>
      <c r="E10" s="200">
        <f>ROUND(C11/E7,4)</f>
        <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2"/>
      <c r="B11" s="2761" t="s">
        <v>2861</v>
      </c>
      <c r="C11" s="923">
        <f>C10/4</f>
        <v>0</v>
      </c>
      <c r="D11" s="923" t="s">
        <v>142</v>
      </c>
      <c r="E11" s="923">
        <f>ROUND(C11/E7,4)</f>
        <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51" t="s">
        <v>2866</v>
      </c>
      <c r="B12" s="2765" t="s">
        <v>2867</v>
      </c>
      <c r="C12" s="919">
        <f>ROUND(C15*D15*E15*F15*G15*H15*I15*J15,4)</f>
        <v>1.2</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3"/>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4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53"/>
      <c r="B14" s="2775"/>
      <c r="C14" s="2776" t="s">
        <v>3076</v>
      </c>
      <c r="D14" s="2777" t="s">
        <v>3076</v>
      </c>
      <c r="E14" s="2777" t="s">
        <v>3076</v>
      </c>
      <c r="F14" s="2778" t="s">
        <v>3075</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4"/>
      <c r="B15" s="2783" t="s">
        <v>2878</v>
      </c>
      <c r="C15" s="229">
        <f>IF(C14="有",1.1,1)</f>
        <v>1</v>
      </c>
      <c r="D15" s="229">
        <f>IF(D14="有",1.1,1)</f>
        <v>1</v>
      </c>
      <c r="E15" s="229">
        <f>IF(E14="有",1.1,1)</f>
        <v>1</v>
      </c>
      <c r="F15" s="229">
        <f>IF(F14="500米范围内",1.2,IF(F14="500-1000米",1.1,1))</f>
        <v>1.2</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1" t="s">
        <v>2883</v>
      </c>
      <c r="B16" s="2752" t="s">
        <v>2884</v>
      </c>
      <c r="C16" s="1804">
        <f>ROUND(SUM(G17:J17)/C17,0)</f>
        <v>0</v>
      </c>
      <c r="D16" s="2786" t="s">
        <v>2885</v>
      </c>
      <c r="E16" s="2787" t="s">
        <v>3077</v>
      </c>
      <c r="F16" s="2788" t="s">
        <v>3078</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2"/>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1.5683</v>
      </c>
      <c r="D19" s="2804" t="s">
        <v>2893</v>
      </c>
      <c r="E19" s="928">
        <v>41640</v>
      </c>
      <c r="F19" s="2804" t="s">
        <v>2894</v>
      </c>
      <c r="G19" s="929">
        <f>'数据-取费表'!B2</f>
        <v>43523</v>
      </c>
      <c r="H19" s="2805" t="s">
        <v>3079</v>
      </c>
      <c r="I19" s="930" t="str">
        <f>IF(H19="季度增幅（自定义）",SUMIF(N21:N24,E2,O21:O24),"")</f>
        <v/>
      </c>
      <c r="J19" s="2802"/>
      <c r="K19" s="1380"/>
      <c r="L19" s="2806" t="s">
        <v>2895</v>
      </c>
      <c r="M19" s="1737">
        <f>ROUND(SUMIF(地价!B2:F2,E2,地价!B25:F25),0)</f>
        <v>423</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0.92859999999999998</v>
      </c>
      <c r="D20" s="2813" t="s">
        <v>2898</v>
      </c>
      <c r="E20" s="1771">
        <f ca="1">存贷款利率!D4/100</f>
        <v>4.3499999999999997E-2</v>
      </c>
      <c r="F20" s="2813" t="s">
        <v>2890</v>
      </c>
      <c r="G20" s="937">
        <f ca="1">SUMIF(M15:P15,E2,M17:P17)</f>
        <v>0.05</v>
      </c>
      <c r="H20" s="2813" t="s">
        <v>2899</v>
      </c>
      <c r="I20" s="938">
        <f>SUMIF('数据-取费表'!C6:C15,E2,'数据-取费表'!F6:F15)/COUNTIF('数据-取费表'!C6:C15,E2)</f>
        <v>46.8</v>
      </c>
      <c r="J20" s="939">
        <f>IF(E2="住宅",70,IF(E2="商业",40,50))</f>
        <v>70</v>
      </c>
      <c r="K20" s="1380"/>
      <c r="L20" s="2814" t="s">
        <v>2900</v>
      </c>
      <c r="M20" s="1738">
        <f>ROUND(SUMPRODUCT((地价!A4:A25=YEAR(G19)&amp;"-"&amp;ROUNDUP(MONTH(G19)/3,0))*(地价!B2:F2=E2)*(地价!B4:F25)),0)</f>
        <v>663</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3080</v>
      </c>
      <c r="C21" s="940">
        <f>IF(B21="容积率修正",IF(G3&lt;=10,D22,J22),C23)</f>
        <v>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1.9361999999999999</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1.0650999999999999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1414</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48358</v>
      </c>
      <c r="D29" s="2852">
        <f>'数据-汇总表'!E19</f>
        <v>292.44</v>
      </c>
      <c r="E29" s="945">
        <f ca="1">ROUND(C29*D29/10000,0)</f>
        <v>1414</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12090</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61" t="s">
        <v>2930</v>
      </c>
      <c r="B33" s="2868" t="s">
        <v>2931</v>
      </c>
      <c r="C33" s="206">
        <f ca="1">ROUND(D5*C19*C20*C24*F33,0)</f>
        <v>32239</v>
      </c>
      <c r="D33" s="2852"/>
      <c r="E33" s="200">
        <f ca="1">ROUND(C33*D33/10000,0)</f>
        <v>0</v>
      </c>
      <c r="F33" s="200">
        <f>SUMIF(修正!A45:A56,G2,修正!B45:B56)</f>
        <v>0.8</v>
      </c>
      <c r="G33" s="200">
        <f t="shared" ref="G33" ca="1" si="6">ROUND(IF(E2="工业",C33*$M$39,C33*$M$38),0)</f>
        <v>8060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2"/>
      <c r="B34" s="2772" t="s">
        <v>2932</v>
      </c>
      <c r="C34" s="206">
        <f ca="1">ROUND(D5*C19*C20*C24*F34,0)</f>
        <v>20149</v>
      </c>
      <c r="D34" s="2852"/>
      <c r="E34" s="200">
        <f t="shared" ref="E34:E39" ca="1" si="7">ROUND(C34*D34/10000,0)</f>
        <v>0</v>
      </c>
      <c r="F34" s="200">
        <f>SUMIF(修正!A45:A56,G2,修正!C45:C56)</f>
        <v>0.5</v>
      </c>
      <c r="G34" s="200">
        <f ca="1">ROUND(IF(E2="工业",C34*$M$39,C34*$M$38),0)</f>
        <v>5037</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2"/>
      <c r="B35" s="2772" t="s">
        <v>2933</v>
      </c>
      <c r="C35" s="206">
        <f ca="1">ROUND(D5*C19*C20*C24*F35,0)</f>
        <v>14507</v>
      </c>
      <c r="D35" s="2852"/>
      <c r="E35" s="200">
        <f t="shared" ca="1" si="7"/>
        <v>0</v>
      </c>
      <c r="F35" s="200">
        <f>SUMIF(修正!A45:A56,G2,修正!D45:D56)</f>
        <v>0.36</v>
      </c>
      <c r="G35" s="200">
        <f ca="1">ROUND(IF(E2="工业",C35*$M$39,C35*$M$38),0)</f>
        <v>3627</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63"/>
      <c r="B36" s="2772" t="s">
        <v>2934</v>
      </c>
      <c r="C36" s="206">
        <f ca="1">ROUND(D5*C19*C20*C24*F36,0)</f>
        <v>12090</v>
      </c>
      <c r="D36" s="2852"/>
      <c r="E36" s="200">
        <f t="shared" ca="1" si="7"/>
        <v>0</v>
      </c>
      <c r="F36" s="200">
        <f>SUMIF(修正!A45:A56,G2,修正!E45:E56)</f>
        <v>0.3</v>
      </c>
      <c r="G36" s="200">
        <f ca="1">ROUND(IF(E2="工业",C36*$M$39,C36*$M$38),0)</f>
        <v>3023</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12090</v>
      </c>
      <c r="D37" s="2852"/>
      <c r="E37" s="200">
        <f t="shared" ca="1" si="7"/>
        <v>0</v>
      </c>
      <c r="F37" s="206">
        <f>SUMIF(修正!A45:A56,G2,修正!F45:F56)</f>
        <v>0.3</v>
      </c>
      <c r="G37" s="200">
        <f ca="1">ROUND(IF(E2="工业",C37*$M$39,C37*$M$38),0)</f>
        <v>3023</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1.0650999999999999</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t="s">
        <v>3081</v>
      </c>
      <c r="D70" s="1289">
        <f t="shared" ref="D70:D78" si="20">SUMIF($J$69:$N$69,C70,J70:N70)</f>
        <v>1.14E-2</v>
      </c>
      <c r="E70" s="821">
        <f>ROUND(SUM(D70:D78),4)</f>
        <v>6.5100000000000005E-2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t="s">
        <v>3081</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t="s">
        <v>3083</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t="s">
        <v>3081</v>
      </c>
      <c r="D73" s="1289">
        <f t="shared" si="20"/>
        <v>3.2000000000000002E-3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t="s">
        <v>3083</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t="s">
        <v>3081</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6" customFormat="1" ht="24">
      <c r="A76" s="2885" t="s">
        <v>2956</v>
      </c>
      <c r="B76" s="2891" t="s">
        <v>2957</v>
      </c>
      <c r="C76" s="2777" t="s">
        <v>3083</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t="s">
        <v>3083</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7"/>
      <c r="AA77" s="2803"/>
      <c r="AG77" s="1375"/>
      <c r="AK77" s="2803"/>
    </row>
    <row r="78" spans="1:37" ht="24.75" thickBot="1">
      <c r="A78" s="2893" t="s">
        <v>2967</v>
      </c>
      <c r="B78" s="2897"/>
      <c r="C78" s="2777" t="s">
        <v>3083</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7"/>
      <c r="AA78" s="2803"/>
      <c r="AG78" s="1375"/>
      <c r="AK78" s="2803"/>
    </row>
    <row r="79" spans="1:37" ht="15" hidden="1">
      <c r="A79" s="2881" t="s">
        <v>2968</v>
      </c>
      <c r="B79" s="2882">
        <f>1+E81</f>
        <v>1</v>
      </c>
      <c r="C79" s="814"/>
      <c r="D79" s="814"/>
      <c r="E79" s="815"/>
      <c r="F79" s="2884"/>
      <c r="G79" s="6"/>
      <c r="H79" s="6"/>
      <c r="I79" s="6"/>
      <c r="J79" s="7"/>
      <c r="K79" s="7"/>
      <c r="L79" s="7"/>
      <c r="M79" s="7"/>
      <c r="N79" s="7"/>
      <c r="Z79" s="2727"/>
      <c r="AA79" s="2803"/>
      <c r="AG79" s="1375"/>
      <c r="AK79" s="2803"/>
    </row>
    <row r="80" spans="1:37" ht="24.75" hidden="1">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hidden="1">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hidden="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hidden="1">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hidden="1">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hidden="1">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hidden="1">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hidden="1">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hidden="1"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5" t="s">
        <v>2972</v>
      </c>
      <c r="B90" s="3155"/>
      <c r="C90" s="3155"/>
      <c r="D90" s="3155"/>
      <c r="E90" s="3155"/>
      <c r="F90" s="3155"/>
      <c r="G90" s="3155"/>
      <c r="H90" s="3155"/>
      <c r="I90" s="3155"/>
      <c r="J90" s="3155"/>
      <c r="K90" s="2899"/>
      <c r="L90" s="2899"/>
      <c r="M90" s="2899"/>
      <c r="N90" s="2899"/>
    </row>
    <row r="91" spans="1:37">
      <c r="A91" s="3157" t="s">
        <v>2973</v>
      </c>
      <c r="B91" s="3157" t="s">
        <v>2974</v>
      </c>
      <c r="C91" s="2853" t="s">
        <v>2975</v>
      </c>
      <c r="D91" s="2854"/>
      <c r="E91" s="2854"/>
      <c r="F91" s="2854"/>
      <c r="G91" s="2854"/>
      <c r="H91" s="2854"/>
      <c r="I91" s="2854"/>
      <c r="J91" s="2900"/>
      <c r="K91" s="2901"/>
      <c r="L91" s="2901"/>
      <c r="M91" s="2901"/>
      <c r="N91" s="2901"/>
    </row>
    <row r="92" spans="1:37">
      <c r="A92" s="3157"/>
      <c r="B92" s="315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8"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9"/>
      <c r="B99" s="2902" t="s">
        <v>2857</v>
      </c>
      <c r="C99" s="2904">
        <f>$I$3</f>
        <v>1</v>
      </c>
      <c r="D99" s="2904">
        <f t="shared" ref="D99:M99" si="31">$I$3</f>
        <v>1</v>
      </c>
      <c r="E99" s="2904">
        <f t="shared" si="31"/>
        <v>1</v>
      </c>
      <c r="F99" s="2904">
        <f t="shared" si="31"/>
        <v>1</v>
      </c>
      <c r="G99" s="2904">
        <f t="shared" si="31"/>
        <v>1</v>
      </c>
      <c r="H99" s="2904">
        <f t="shared" si="31"/>
        <v>1</v>
      </c>
      <c r="I99" s="2904">
        <f t="shared" si="31"/>
        <v>1</v>
      </c>
      <c r="J99" s="2904">
        <f t="shared" si="31"/>
        <v>1</v>
      </c>
      <c r="K99" s="2904">
        <f t="shared" si="31"/>
        <v>1</v>
      </c>
      <c r="L99" s="2904">
        <f t="shared" si="31"/>
        <v>1</v>
      </c>
      <c r="M99" s="2904">
        <f t="shared" si="31"/>
        <v>1</v>
      </c>
      <c r="N99" s="2904">
        <f>$I$3</f>
        <v>1</v>
      </c>
    </row>
    <row r="100" spans="1:14">
      <c r="A100" s="3160"/>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158" t="s">
        <v>2977</v>
      </c>
      <c r="B101" s="2906" t="s">
        <v>2978</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59"/>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59"/>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59"/>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59"/>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59"/>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59"/>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59"/>
      <c r="B108" s="3109" t="s">
        <v>2979</v>
      </c>
      <c r="C108" s="2904">
        <f>C99</f>
        <v>1</v>
      </c>
      <c r="D108" s="2904">
        <f t="shared" ref="D108:N108" si="33">D99</f>
        <v>1</v>
      </c>
      <c r="E108" s="2904">
        <f t="shared" si="33"/>
        <v>1</v>
      </c>
      <c r="F108" s="2904">
        <f t="shared" si="33"/>
        <v>1</v>
      </c>
      <c r="G108" s="2904">
        <f t="shared" si="33"/>
        <v>1</v>
      </c>
      <c r="H108" s="2904">
        <f t="shared" si="33"/>
        <v>1</v>
      </c>
      <c r="I108" s="2904">
        <f t="shared" si="33"/>
        <v>1</v>
      </c>
      <c r="J108" s="2904">
        <f t="shared" si="33"/>
        <v>1</v>
      </c>
      <c r="K108" s="2904">
        <f t="shared" si="33"/>
        <v>1</v>
      </c>
      <c r="L108" s="2904">
        <f t="shared" si="33"/>
        <v>1</v>
      </c>
      <c r="M108" s="2904">
        <f t="shared" si="33"/>
        <v>1</v>
      </c>
      <c r="N108" s="2904">
        <f t="shared" si="33"/>
        <v>1</v>
      </c>
    </row>
    <row r="109" spans="1:14">
      <c r="A109" s="3160"/>
      <c r="B109" s="3110"/>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156" t="s">
        <v>2980</v>
      </c>
      <c r="B110" s="3156"/>
      <c r="C110" s="3156"/>
      <c r="D110" s="3156"/>
      <c r="E110" s="3156"/>
      <c r="F110" s="3156"/>
      <c r="G110" s="3156"/>
      <c r="H110" s="3156"/>
      <c r="I110" s="3156"/>
      <c r="J110" s="3156"/>
      <c r="K110" s="2908"/>
      <c r="L110" s="2908"/>
      <c r="M110" s="2908"/>
      <c r="N110" s="2908"/>
    </row>
    <row r="112" spans="1:14" ht="13.5" thickBot="1"/>
    <row r="113" spans="1:13" ht="25.5" thickBot="1">
      <c r="A113" s="903" t="s">
        <v>2981</v>
      </c>
      <c r="B113" s="1290">
        <f>G3</f>
        <v>2.5</v>
      </c>
      <c r="C113" s="904" t="s">
        <v>2982</v>
      </c>
      <c r="D113" s="905">
        <f>SUMPRODUCT((A115:A118=F113)*(B114:M114=H113)*B115:M118)</f>
        <v>0.86580000000000001</v>
      </c>
      <c r="E113" s="2731" t="s">
        <v>2815</v>
      </c>
      <c r="F113" s="2910" t="str">
        <f>E2</f>
        <v>住宅</v>
      </c>
      <c r="G113" s="2731" t="s">
        <v>2816</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744</v>
      </c>
      <c r="C2" s="2573" t="s">
        <v>2520</v>
      </c>
      <c r="D2" s="2574" t="s">
        <v>2521</v>
      </c>
      <c r="E2" s="2575">
        <f>SUM(E6:E13)</f>
        <v>292.44</v>
      </c>
    </row>
    <row r="3" spans="1:6" ht="15.75">
      <c r="A3" s="2571" t="s">
        <v>1391</v>
      </c>
      <c r="B3" s="2572">
        <f ca="1">ROUND(B2*10000/E2,0)</f>
        <v>25441</v>
      </c>
      <c r="C3" s="2573" t="s">
        <v>2528</v>
      </c>
      <c r="D3" s="2576"/>
      <c r="E3" s="2577"/>
    </row>
    <row r="4" spans="1:6" ht="15.75">
      <c r="A4" s="2578"/>
      <c r="B4" s="2576"/>
      <c r="C4" s="2576"/>
      <c r="D4" s="2576"/>
      <c r="E4" s="2577"/>
    </row>
    <row r="5" spans="1:6" ht="15">
      <c r="A5" s="2579" t="s">
        <v>2522</v>
      </c>
      <c r="B5" s="3164" t="s">
        <v>2523</v>
      </c>
      <c r="C5" s="3164"/>
      <c r="D5" s="2580"/>
      <c r="E5" s="2581" t="s">
        <v>2524</v>
      </c>
      <c r="F5" s="2582" t="s">
        <v>2525</v>
      </c>
    </row>
    <row r="6" spans="1:6">
      <c r="A6" s="2583" t="str">
        <f>'数据-取费表'!AN6</f>
        <v>收益法 (元)</v>
      </c>
      <c r="B6" s="2582">
        <f ca="1">IF(F6="是",'数据-取费表'!AO6,0)</f>
        <v>744</v>
      </c>
      <c r="C6" s="2573" t="s">
        <v>2520</v>
      </c>
      <c r="D6" s="2576"/>
      <c r="E6" s="2584">
        <f>IF(OR(A6=0,F6="否"),0,'数据-取费表'!K6+'数据-取费表'!S6)</f>
        <v>292.44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4"/>
      <c r="C21" s="3174"/>
      <c r="D21" s="3174"/>
      <c r="E21" s="3174"/>
      <c r="F21" s="3174"/>
      <c r="G21" s="3174"/>
      <c r="H21" s="1768">
        <v>0.1</v>
      </c>
      <c r="I21" s="1313">
        <f>ROUND(I10*H21,0)</f>
        <v>0</v>
      </c>
    </row>
    <row r="22" spans="1:9" ht="14.25">
      <c r="A22" s="3175" t="s">
        <v>1107</v>
      </c>
      <c r="B22" s="3176"/>
      <c r="C22" s="3177"/>
      <c r="D22" s="1320" t="s">
        <v>1108</v>
      </c>
      <c r="E22" s="1320" t="s">
        <v>1109</v>
      </c>
      <c r="F22" s="1321" t="s">
        <v>1110</v>
      </c>
      <c r="G22" s="1321" t="s">
        <v>1111</v>
      </c>
      <c r="H22" s="1314" t="s">
        <v>1112</v>
      </c>
      <c r="I22" s="1305" t="s">
        <v>1113</v>
      </c>
    </row>
    <row r="23" spans="1:9" ht="14.25" thickBot="1">
      <c r="A23" s="3178"/>
      <c r="B23" s="3179"/>
      <c r="C23" s="3180"/>
      <c r="D23" s="1322"/>
      <c r="E23" s="1322"/>
      <c r="F23" s="1322"/>
      <c r="G23" s="1323"/>
      <c r="H23" s="1324"/>
      <c r="I23" s="1325">
        <f>ROUND(E23*D23*F23*(1-G23)/10000,0)</f>
        <v>0</v>
      </c>
    </row>
    <row r="26" spans="1:9">
      <c r="A26" s="1326" t="s">
        <v>1114</v>
      </c>
      <c r="B26" s="1326"/>
      <c r="C26" s="1326"/>
      <c r="D26" s="1326"/>
      <c r="E26" s="3168">
        <f>C27-C30-C31-C32</f>
        <v>0</v>
      </c>
      <c r="F26" s="3168"/>
      <c r="G26" s="3168"/>
      <c r="H26" s="1740" t="s">
        <v>1336</v>
      </c>
    </row>
    <row r="27" spans="1:9">
      <c r="A27" s="1327">
        <v>1</v>
      </c>
      <c r="B27" s="1328" t="s">
        <v>1115</v>
      </c>
      <c r="C27" s="1328">
        <f>C28+C29</f>
        <v>0</v>
      </c>
      <c r="D27" s="1328"/>
      <c r="E27" s="3169"/>
      <c r="F27" s="3169"/>
      <c r="G27" s="3169"/>
    </row>
    <row r="28" spans="1:9">
      <c r="A28" s="1329" t="s">
        <v>1116</v>
      </c>
      <c r="B28" s="1328" t="s">
        <v>1117</v>
      </c>
      <c r="C28" s="1328"/>
      <c r="D28" s="1328"/>
      <c r="E28" s="3169"/>
      <c r="F28" s="3169"/>
      <c r="G28" s="316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0"/>
      <c r="F32" s="3170"/>
      <c r="G32" s="3170"/>
    </row>
    <row r="33" spans="1:7" hidden="1">
      <c r="A33" s="3165" t="s">
        <v>1126</v>
      </c>
      <c r="B33" s="3166"/>
      <c r="C33" s="3166"/>
      <c r="D33" s="3167"/>
      <c r="E33" s="3168"/>
      <c r="F33" s="3168"/>
      <c r="G33" s="3168"/>
    </row>
    <row r="34" spans="1:7" hidden="1">
      <c r="A34" s="1331">
        <v>1</v>
      </c>
      <c r="B34" s="1328" t="s">
        <v>1127</v>
      </c>
      <c r="C34" s="1328"/>
      <c r="D34" s="1328"/>
      <c r="E34" s="3169"/>
      <c r="F34" s="3169"/>
      <c r="G34" s="3169"/>
    </row>
    <row r="35" spans="1:7" hidden="1">
      <c r="A35" s="1331">
        <v>2</v>
      </c>
      <c r="B35" s="1328" t="s">
        <v>1128</v>
      </c>
      <c r="C35" s="1328"/>
      <c r="D35" s="1328"/>
      <c r="E35" s="3169"/>
      <c r="F35" s="3169"/>
      <c r="G35" s="3169"/>
    </row>
    <row r="36" spans="1:7" hidden="1">
      <c r="A36" s="1331">
        <v>3</v>
      </c>
      <c r="B36" s="1328" t="s">
        <v>1129</v>
      </c>
      <c r="C36" s="1328"/>
      <c r="D36" s="1328"/>
      <c r="E36" s="3169"/>
      <c r="F36" s="3169"/>
      <c r="G36" s="3169"/>
    </row>
    <row r="37" spans="1:7" hidden="1">
      <c r="A37" s="1331">
        <v>4</v>
      </c>
      <c r="B37" s="1328" t="s">
        <v>1130</v>
      </c>
      <c r="C37" s="1328"/>
      <c r="D37" s="1328"/>
      <c r="E37" s="3169"/>
      <c r="F37" s="3169"/>
      <c r="G37" s="3169"/>
    </row>
    <row r="38" spans="1:7" hidden="1">
      <c r="A38" s="3165" t="s">
        <v>1131</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292.44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4" t="s">
        <v>2537</v>
      </c>
      <c r="D4" s="3205"/>
      <c r="E4" s="3206" t="s">
        <v>2538</v>
      </c>
      <c r="F4" s="3207"/>
      <c r="G4" s="3204" t="s">
        <v>2539</v>
      </c>
      <c r="H4" s="3205"/>
      <c r="I4" s="3204" t="s">
        <v>2540</v>
      </c>
      <c r="J4" s="3205"/>
      <c r="K4" s="2603" t="s">
        <v>2541</v>
      </c>
      <c r="L4" s="1133"/>
      <c r="M4" s="1134"/>
      <c r="N4" s="1134"/>
      <c r="O4" s="1134"/>
      <c r="P4" s="3208" t="s">
        <v>2542</v>
      </c>
      <c r="Q4" s="3209"/>
      <c r="R4" s="3214" t="s">
        <v>2538</v>
      </c>
      <c r="S4" s="3215"/>
      <c r="T4" s="3214" t="s">
        <v>2539</v>
      </c>
      <c r="U4" s="3215"/>
      <c r="V4" s="3220" t="s">
        <v>2540</v>
      </c>
      <c r="W4" s="3220"/>
      <c r="X4" s="1816"/>
      <c r="Y4" s="3214" t="s">
        <v>2542</v>
      </c>
      <c r="Z4" s="3215"/>
      <c r="AA4" s="3201" t="s">
        <v>2538</v>
      </c>
      <c r="AB4" s="3201" t="s">
        <v>2539</v>
      </c>
      <c r="AC4" s="3201" t="s">
        <v>2540</v>
      </c>
    </row>
    <row r="5" spans="1:29" ht="15">
      <c r="A5" s="404"/>
      <c r="B5" s="405"/>
      <c r="C5" s="3223" t="s">
        <v>2543</v>
      </c>
      <c r="D5" s="3224"/>
      <c r="E5" s="3230" t="s">
        <v>2544</v>
      </c>
      <c r="F5" s="3231"/>
      <c r="G5" s="3223" t="s">
        <v>2545</v>
      </c>
      <c r="H5" s="3224"/>
      <c r="I5" s="3223" t="s">
        <v>2546</v>
      </c>
      <c r="J5" s="3224"/>
      <c r="K5" s="2604"/>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2604"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5" t="s">
        <v>2550</v>
      </c>
      <c r="Q7" s="3227"/>
      <c r="R7" s="770" t="s">
        <v>23</v>
      </c>
      <c r="S7" s="771">
        <f t="shared" ref="S7:S15" si="0">F7</f>
        <v>0</v>
      </c>
      <c r="T7" s="770" t="s">
        <v>23</v>
      </c>
      <c r="U7" s="771">
        <f t="shared" ref="U7:U15" si="1">H7</f>
        <v>0</v>
      </c>
      <c r="V7" s="770" t="s">
        <v>23</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5" t="s">
        <v>2553</v>
      </c>
      <c r="Q8" s="3226"/>
      <c r="R8" s="770" t="s">
        <v>23</v>
      </c>
      <c r="S8" s="771">
        <f t="shared" si="0"/>
        <v>0</v>
      </c>
      <c r="T8" s="770" t="s">
        <v>23</v>
      </c>
      <c r="U8" s="771">
        <f t="shared" si="1"/>
        <v>0</v>
      </c>
      <c r="V8" s="770" t="s">
        <v>23</v>
      </c>
      <c r="W8" s="771">
        <f t="shared" si="2"/>
        <v>0</v>
      </c>
      <c r="X8" s="772"/>
      <c r="Y8" s="3225"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2561</v>
      </c>
      <c r="Q15" s="1813" t="str">
        <f t="shared" si="6"/>
        <v>居住社区成熟度</v>
      </c>
      <c r="R15" s="774" t="s">
        <v>21</v>
      </c>
      <c r="S15" s="775">
        <f t="shared" si="0"/>
        <v>100</v>
      </c>
      <c r="T15" s="774" t="s">
        <v>21</v>
      </c>
      <c r="U15" s="775">
        <f t="shared" si="1"/>
        <v>100</v>
      </c>
      <c r="V15" s="774" t="s">
        <v>21</v>
      </c>
      <c r="W15" s="775">
        <f t="shared" si="2"/>
        <v>100</v>
      </c>
      <c r="X15" s="1816"/>
      <c r="Y15" s="3191"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3" t="s">
        <v>2566</v>
      </c>
      <c r="Q32" s="1813" t="str">
        <f t="shared" si="11"/>
        <v>建筑类型</v>
      </c>
      <c r="R32" s="774" t="s">
        <v>21</v>
      </c>
      <c r="S32" s="775">
        <f t="shared" si="12"/>
        <v>100</v>
      </c>
      <c r="T32" s="774" t="s">
        <v>21</v>
      </c>
      <c r="U32" s="775">
        <f t="shared" si="13"/>
        <v>100</v>
      </c>
      <c r="V32" s="774" t="s">
        <v>21</v>
      </c>
      <c r="W32" s="775">
        <f t="shared" si="14"/>
        <v>100</v>
      </c>
      <c r="X32" s="1816"/>
      <c r="Y32" s="3196"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4" t="s">
        <v>2566</v>
      </c>
      <c r="Q38" s="1813" t="str">
        <f t="shared" si="11"/>
        <v>物业管理</v>
      </c>
      <c r="R38" s="774" t="s">
        <v>21</v>
      </c>
      <c r="S38" s="775">
        <f t="shared" si="12"/>
        <v>100</v>
      </c>
      <c r="T38" s="774" t="s">
        <v>21</v>
      </c>
      <c r="U38" s="775">
        <f t="shared" si="13"/>
        <v>100</v>
      </c>
      <c r="V38" s="774" t="s">
        <v>21</v>
      </c>
      <c r="W38" s="775">
        <f t="shared" si="14"/>
        <v>100</v>
      </c>
      <c r="X38" s="1816"/>
      <c r="Y38" s="3196"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20"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2561</v>
      </c>
      <c r="Q15" s="1813" t="str">
        <f t="shared" si="6"/>
        <v>商业繁华度</v>
      </c>
      <c r="R15" s="774" t="s">
        <v>17</v>
      </c>
      <c r="S15" s="775">
        <f t="shared" si="0"/>
        <v>100</v>
      </c>
      <c r="T15" s="774" t="s">
        <v>17</v>
      </c>
      <c r="U15" s="775">
        <f t="shared" si="1"/>
        <v>100</v>
      </c>
      <c r="V15" s="774" t="s">
        <v>17</v>
      </c>
      <c r="W15" s="775">
        <f t="shared" si="2"/>
        <v>100</v>
      </c>
      <c r="X15" s="1816"/>
      <c r="Y15" s="3191"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3" t="s">
        <v>2566</v>
      </c>
      <c r="Q32" s="1813" t="str">
        <f t="shared" si="11"/>
        <v>商业类型</v>
      </c>
      <c r="R32" s="774" t="s">
        <v>17</v>
      </c>
      <c r="S32" s="775">
        <f t="shared" si="12"/>
        <v>100</v>
      </c>
      <c r="T32" s="774" t="s">
        <v>17</v>
      </c>
      <c r="U32" s="775">
        <f t="shared" si="13"/>
        <v>100</v>
      </c>
      <c r="V32" s="774" t="s">
        <v>17</v>
      </c>
      <c r="W32" s="775">
        <f t="shared" si="14"/>
        <v>100</v>
      </c>
      <c r="X32" s="1816"/>
      <c r="Y32" s="3196"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3" t="str">
        <f t="shared" si="11"/>
        <v>成新度</v>
      </c>
      <c r="R36" s="774" t="s">
        <v>17</v>
      </c>
      <c r="S36" s="775" t="e">
        <f t="shared" si="12"/>
        <v>#N/A</v>
      </c>
      <c r="T36" s="774" t="s">
        <v>17</v>
      </c>
      <c r="U36" s="775" t="e">
        <f t="shared" si="13"/>
        <v>#N/A</v>
      </c>
      <c r="V36" s="774" t="s">
        <v>17</v>
      </c>
      <c r="W36" s="775" t="e">
        <f t="shared" si="14"/>
        <v>#N/A</v>
      </c>
      <c r="X36" s="1816"/>
      <c r="Y36" s="3196"/>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4" t="s">
        <v>2566</v>
      </c>
      <c r="Q38" s="1813" t="str">
        <f t="shared" si="11"/>
        <v>业态</v>
      </c>
      <c r="R38" s="774" t="s">
        <v>17</v>
      </c>
      <c r="S38" s="775">
        <f t="shared" si="12"/>
        <v>100</v>
      </c>
      <c r="T38" s="774" t="s">
        <v>17</v>
      </c>
      <c r="U38" s="775">
        <f t="shared" si="13"/>
        <v>100</v>
      </c>
      <c r="V38" s="774" t="s">
        <v>17</v>
      </c>
      <c r="W38" s="775">
        <f t="shared" si="14"/>
        <v>100</v>
      </c>
      <c r="X38" s="1816"/>
      <c r="Y38" s="3196"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4"/>
      <c r="Q42" s="1813" t="str">
        <f t="shared" si="11"/>
        <v>内部装修</v>
      </c>
      <c r="R42" s="774" t="s">
        <v>17</v>
      </c>
      <c r="S42" s="775">
        <f t="shared" si="12"/>
        <v>100</v>
      </c>
      <c r="T42" s="774" t="s">
        <v>17</v>
      </c>
      <c r="U42" s="775">
        <f t="shared" si="13"/>
        <v>100</v>
      </c>
      <c r="V42" s="774" t="s">
        <v>17</v>
      </c>
      <c r="W42" s="775">
        <f t="shared" si="14"/>
        <v>100</v>
      </c>
      <c r="X42" s="1816"/>
      <c r="Y42" s="3196"/>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9" t="str">
        <f>A47</f>
        <v>成交单价（元/平方米）</v>
      </c>
      <c r="Q47" s="3189"/>
      <c r="R47" s="3220">
        <f>E47</f>
        <v>0</v>
      </c>
      <c r="S47" s="3220"/>
      <c r="T47" s="3220">
        <f>G47</f>
        <v>0</v>
      </c>
      <c r="U47" s="3220"/>
      <c r="V47" s="3220">
        <f>I47</f>
        <v>0</v>
      </c>
      <c r="W47" s="322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38" t="s">
        <v>2652</v>
      </c>
      <c r="Q4" s="3239"/>
      <c r="R4" s="3242" t="s">
        <v>2648</v>
      </c>
      <c r="S4" s="3243"/>
      <c r="T4" s="3242" t="s">
        <v>2649</v>
      </c>
      <c r="U4" s="3243"/>
      <c r="V4" s="3244" t="s">
        <v>2650</v>
      </c>
      <c r="W4" s="3244"/>
      <c r="X4" s="2677"/>
      <c r="Y4" s="3242" t="s">
        <v>2652</v>
      </c>
      <c r="Z4" s="3243"/>
      <c r="AA4" s="3246" t="s">
        <v>2648</v>
      </c>
      <c r="AB4" s="3246" t="s">
        <v>2649</v>
      </c>
      <c r="AC4" s="3235" t="s">
        <v>2650</v>
      </c>
    </row>
    <row r="5" spans="1:29" ht="15">
      <c r="A5" s="404"/>
      <c r="B5" s="405"/>
      <c r="C5" s="3223" t="s">
        <v>2543</v>
      </c>
      <c r="D5" s="3224"/>
      <c r="E5" s="3230" t="s">
        <v>2544</v>
      </c>
      <c r="F5" s="3231"/>
      <c r="G5" s="3223" t="s">
        <v>2545</v>
      </c>
      <c r="H5" s="3224"/>
      <c r="I5" s="3223" t="s">
        <v>2546</v>
      </c>
      <c r="J5" s="3224"/>
      <c r="K5" s="610"/>
      <c r="L5" s="1133"/>
      <c r="M5" s="1134"/>
      <c r="N5" s="1134"/>
      <c r="O5" s="1134"/>
      <c r="P5" s="3240"/>
      <c r="Q5" s="3211"/>
      <c r="R5" s="3216"/>
      <c r="S5" s="3217"/>
      <c r="T5" s="3216"/>
      <c r="U5" s="3217"/>
      <c r="V5" s="3220"/>
      <c r="W5" s="3220"/>
      <c r="X5" s="1816"/>
      <c r="Y5" s="3216"/>
      <c r="Z5" s="3217"/>
      <c r="AA5" s="3202"/>
      <c r="AB5" s="3202"/>
      <c r="AC5" s="3236"/>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41"/>
      <c r="Q6" s="3213"/>
      <c r="R6" s="3216"/>
      <c r="S6" s="3217"/>
      <c r="T6" s="3218"/>
      <c r="U6" s="3219"/>
      <c r="V6" s="3220"/>
      <c r="W6" s="3220"/>
      <c r="X6" s="1816"/>
      <c r="Y6" s="3218"/>
      <c r="Z6" s="3219"/>
      <c r="AA6" s="3203"/>
      <c r="AB6" s="3203"/>
      <c r="AC6" s="3237"/>
    </row>
    <row r="7" spans="1:29" s="117" customFormat="1" ht="15.7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2553</v>
      </c>
      <c r="Q8" s="3226"/>
      <c r="R8" s="770" t="s">
        <v>17</v>
      </c>
      <c r="S8" s="771">
        <f t="shared" si="0"/>
        <v>0</v>
      </c>
      <c r="T8" s="770" t="s">
        <v>17</v>
      </c>
      <c r="U8" s="771">
        <f t="shared" si="1"/>
        <v>0</v>
      </c>
      <c r="V8" s="770" t="s">
        <v>17</v>
      </c>
      <c r="W8" s="771">
        <f t="shared" si="2"/>
        <v>0</v>
      </c>
      <c r="X8" s="772"/>
      <c r="Y8" s="3225" t="s">
        <v>2553</v>
      </c>
      <c r="Z8" s="3226"/>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2561</v>
      </c>
      <c r="Q15" s="1813" t="str">
        <f t="shared" si="6"/>
        <v>办公集聚程度</v>
      </c>
      <c r="R15" s="774" t="s">
        <v>17</v>
      </c>
      <c r="S15" s="775">
        <f t="shared" si="0"/>
        <v>100</v>
      </c>
      <c r="T15" s="774" t="s">
        <v>17</v>
      </c>
      <c r="U15" s="775">
        <f t="shared" si="1"/>
        <v>100</v>
      </c>
      <c r="V15" s="774" t="s">
        <v>17</v>
      </c>
      <c r="W15" s="775">
        <f t="shared" si="2"/>
        <v>100</v>
      </c>
      <c r="X15" s="1816"/>
      <c r="Y15" s="3191"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9"/>
      <c r="Q22" s="1813"/>
      <c r="R22" s="774"/>
      <c r="S22" s="775"/>
      <c r="T22" s="774"/>
      <c r="U22" s="775"/>
      <c r="V22" s="774"/>
      <c r="W22" s="775"/>
      <c r="X22" s="1816"/>
      <c r="Y22" s="3192"/>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3" t="s">
        <v>2566</v>
      </c>
      <c r="Q33" s="1813" t="str">
        <f t="shared" si="11"/>
        <v>建筑类型</v>
      </c>
      <c r="R33" s="774" t="s">
        <v>17</v>
      </c>
      <c r="S33" s="775">
        <f t="shared" si="12"/>
        <v>100</v>
      </c>
      <c r="T33" s="774" t="s">
        <v>17</v>
      </c>
      <c r="U33" s="775">
        <f t="shared" si="13"/>
        <v>100</v>
      </c>
      <c r="V33" s="774" t="s">
        <v>17</v>
      </c>
      <c r="W33" s="775">
        <f t="shared" si="14"/>
        <v>100</v>
      </c>
      <c r="X33" s="1816"/>
      <c r="Y33" s="3196"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2566</v>
      </c>
      <c r="Q39" s="1813" t="str">
        <f t="shared" si="11"/>
        <v>物业管理</v>
      </c>
      <c r="R39" s="774" t="s">
        <v>17</v>
      </c>
      <c r="S39" s="775">
        <f t="shared" si="12"/>
        <v>100</v>
      </c>
      <c r="T39" s="774" t="s">
        <v>17</v>
      </c>
      <c r="U39" s="775">
        <f t="shared" si="13"/>
        <v>100</v>
      </c>
      <c r="V39" s="774" t="s">
        <v>17</v>
      </c>
      <c r="W39" s="775">
        <f t="shared" si="14"/>
        <v>100</v>
      </c>
      <c r="X39" s="1816"/>
      <c r="Y39" s="3196"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估价对象为北京市房地产，为所有。根据《国有土地使用证》[]，估价对象（分摊）出让国有建设用地使用权面积为0平方米，建筑面积为292.44平方米。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估价对象为北京市房地产,属开发建设的，该项目尚在开发建设中。根据《国有土地使用证》[]，估价对象（分摊）出让国有建设用地使用权面积为0平方米，规划建筑面积为292.44平方米。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2019年2月27日（评估专业人员实地查勘之日）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7" t="s">
        <v>2566</v>
      </c>
      <c r="Q29" s="1813" t="str">
        <f t="shared" si="11"/>
        <v>建筑类型</v>
      </c>
      <c r="R29" s="774" t="s">
        <v>17</v>
      </c>
      <c r="S29" s="775">
        <f t="shared" si="12"/>
        <v>100</v>
      </c>
      <c r="T29" s="774" t="s">
        <v>17</v>
      </c>
      <c r="U29" s="775">
        <f t="shared" si="13"/>
        <v>100</v>
      </c>
      <c r="V29" s="774" t="s">
        <v>17</v>
      </c>
      <c r="W29" s="775">
        <f t="shared" si="14"/>
        <v>100</v>
      </c>
      <c r="X29" s="1816"/>
      <c r="Y29" s="319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2566</v>
      </c>
      <c r="Q35" s="1813" t="str">
        <f t="shared" si="11"/>
        <v>市政基础设施</v>
      </c>
      <c r="R35" s="774" t="s">
        <v>17</v>
      </c>
      <c r="S35" s="775">
        <f t="shared" si="12"/>
        <v>100</v>
      </c>
      <c r="T35" s="774" t="s">
        <v>17</v>
      </c>
      <c r="U35" s="775">
        <f t="shared" si="13"/>
        <v>100</v>
      </c>
      <c r="V35" s="774" t="s">
        <v>17</v>
      </c>
      <c r="W35" s="775">
        <f t="shared" si="14"/>
        <v>100</v>
      </c>
      <c r="X35" s="1816"/>
      <c r="Y35" s="319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2556</v>
      </c>
      <c r="Q9" s="1798" t="str">
        <f t="shared" ref="Q9:Q14" si="6">B9</f>
        <v>用途</v>
      </c>
      <c r="R9" s="770" t="s">
        <v>17</v>
      </c>
      <c r="S9" s="771">
        <f t="shared" si="0"/>
        <v>100</v>
      </c>
      <c r="T9" s="770" t="s">
        <v>17</v>
      </c>
      <c r="U9" s="771">
        <f t="shared" si="1"/>
        <v>100</v>
      </c>
      <c r="V9" s="770" t="s">
        <v>17</v>
      </c>
      <c r="W9" s="771">
        <f t="shared" si="2"/>
        <v>100</v>
      </c>
      <c r="X9" s="772"/>
      <c r="Y9" s="299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2566</v>
      </c>
      <c r="Q32" s="1813" t="str">
        <f t="shared" si="11"/>
        <v>车位类型</v>
      </c>
      <c r="R32" s="774" t="s">
        <v>17</v>
      </c>
      <c r="S32" s="775">
        <f t="shared" si="12"/>
        <v>100</v>
      </c>
      <c r="T32" s="774" t="s">
        <v>17</v>
      </c>
      <c r="U32" s="775">
        <f t="shared" si="13"/>
        <v>100</v>
      </c>
      <c r="V32" s="774" t="s">
        <v>17</v>
      </c>
      <c r="W32" s="775">
        <f t="shared" si="14"/>
        <v>100</v>
      </c>
      <c r="X32" s="1816"/>
      <c r="Y32" s="319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2556</v>
      </c>
      <c r="Q9" s="1798" t="str">
        <f t="shared" ref="Q9:Q14" si="6">B9</f>
        <v>用途</v>
      </c>
      <c r="R9" s="770" t="s">
        <v>17</v>
      </c>
      <c r="S9" s="771">
        <f t="shared" si="0"/>
        <v>100</v>
      </c>
      <c r="T9" s="770" t="s">
        <v>17</v>
      </c>
      <c r="U9" s="771">
        <f t="shared" si="1"/>
        <v>100</v>
      </c>
      <c r="V9" s="770" t="s">
        <v>17</v>
      </c>
      <c r="W9" s="771">
        <f t="shared" si="2"/>
        <v>100</v>
      </c>
      <c r="X9" s="772"/>
      <c r="Y9" s="299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2566</v>
      </c>
      <c r="Q32" s="1813">
        <f t="shared" si="11"/>
        <v>111</v>
      </c>
      <c r="R32" s="774" t="s">
        <v>17</v>
      </c>
      <c r="S32" s="775">
        <f t="shared" si="12"/>
        <v>100</v>
      </c>
      <c r="T32" s="774" t="s">
        <v>17</v>
      </c>
      <c r="U32" s="775">
        <f t="shared" si="13"/>
        <v>100</v>
      </c>
      <c r="V32" s="774" t="s">
        <v>17</v>
      </c>
      <c r="W32" s="775">
        <f t="shared" si="14"/>
        <v>100</v>
      </c>
      <c r="X32" s="1816"/>
      <c r="Y32" s="3196"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30"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2549</v>
      </c>
      <c r="B7" s="409"/>
      <c r="C7" s="410">
        <f>'数据-取费表'!B2</f>
        <v>43523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89"/>
      <c r="Q10" s="1798" t="str">
        <f t="shared" si="6"/>
        <v>土地使用年限（年）</v>
      </c>
      <c r="R10" s="770" t="s">
        <v>17</v>
      </c>
      <c r="S10" s="771">
        <f t="shared" si="0"/>
        <v>111</v>
      </c>
      <c r="T10" s="770" t="s">
        <v>17</v>
      </c>
      <c r="U10" s="771">
        <f t="shared" si="1"/>
        <v>111</v>
      </c>
      <c r="V10" s="770" t="s">
        <v>17</v>
      </c>
      <c r="W10" s="771">
        <f t="shared" si="2"/>
        <v>111</v>
      </c>
      <c r="X10" s="772"/>
      <c r="Y10" s="2994"/>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2561</v>
      </c>
      <c r="Q15" s="1813" t="str">
        <f t="shared" si="6"/>
        <v>居住社区成熟度</v>
      </c>
      <c r="R15" s="774" t="s">
        <v>17</v>
      </c>
      <c r="S15" s="775">
        <f t="shared" si="0"/>
        <v>100</v>
      </c>
      <c r="T15" s="774" t="s">
        <v>17</v>
      </c>
      <c r="U15" s="775">
        <f t="shared" si="1"/>
        <v>100</v>
      </c>
      <c r="V15" s="774" t="s">
        <v>17</v>
      </c>
      <c r="W15" s="775">
        <f t="shared" si="2"/>
        <v>100</v>
      </c>
      <c r="X15" s="1816"/>
      <c r="Y15" s="3191"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2566</v>
      </c>
      <c r="Q36" s="1813">
        <f t="shared" si="8"/>
        <v>111</v>
      </c>
      <c r="R36" s="774" t="s">
        <v>17</v>
      </c>
      <c r="S36" s="775">
        <f t="shared" si="10"/>
        <v>100</v>
      </c>
      <c r="T36" s="774" t="s">
        <v>17</v>
      </c>
      <c r="U36" s="775">
        <f t="shared" si="11"/>
        <v>100</v>
      </c>
      <c r="V36" s="774" t="s">
        <v>17</v>
      </c>
      <c r="W36" s="775">
        <f t="shared" si="12"/>
        <v>100</v>
      </c>
      <c r="X36" s="1816"/>
      <c r="Y36" s="319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6" t="s">
        <v>2566</v>
      </c>
      <c r="Q42" s="1813" t="str">
        <f t="shared" si="14"/>
        <v>工程地质条件</v>
      </c>
      <c r="R42" s="774" t="s">
        <v>17</v>
      </c>
      <c r="S42" s="775">
        <f t="shared" si="10"/>
        <v>100</v>
      </c>
      <c r="T42" s="774" t="s">
        <v>17</v>
      </c>
      <c r="U42" s="775">
        <f t="shared" si="11"/>
        <v>100</v>
      </c>
      <c r="V42" s="774" t="s">
        <v>17</v>
      </c>
      <c r="W42" s="775">
        <f t="shared" si="12"/>
        <v>100</v>
      </c>
      <c r="X42" s="1816"/>
      <c r="Y42" s="319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4" t="s">
        <v>2765</v>
      </c>
      <c r="H55" s="3250"/>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292.44</v>
      </c>
      <c r="F56" s="1106" t="e">
        <f t="shared" ref="F56:F65" si="15">ROUND(B56*E56/10000,0)</f>
        <v>#DIV/0!</v>
      </c>
      <c r="G56" s="3200"/>
      <c r="H56" s="3189"/>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292.44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52" t="s">
        <v>2798</v>
      </c>
      <c r="D6" s="3253"/>
      <c r="E6" s="3254" t="s">
        <v>2798</v>
      </c>
      <c r="F6" s="3255"/>
      <c r="G6" s="3252" t="s">
        <v>2798</v>
      </c>
      <c r="H6" s="3253"/>
      <c r="I6" s="3252" t="s">
        <v>2798</v>
      </c>
      <c r="J6" s="3253"/>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9"/>
      <c r="Q10" s="1798" t="str">
        <f t="shared" si="6"/>
        <v>土地使用年限（年）</v>
      </c>
      <c r="R10" s="770" t="s">
        <v>17</v>
      </c>
      <c r="S10" s="771">
        <f t="shared" si="0"/>
        <v>111</v>
      </c>
      <c r="T10" s="770" t="s">
        <v>17</v>
      </c>
      <c r="U10" s="771">
        <f t="shared" si="1"/>
        <v>111</v>
      </c>
      <c r="V10" s="770" t="s">
        <v>17</v>
      </c>
      <c r="W10" s="771">
        <f t="shared" si="2"/>
        <v>111</v>
      </c>
      <c r="X10" s="772"/>
      <c r="Y10" s="2994"/>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2566</v>
      </c>
      <c r="Q32" s="1813">
        <f t="shared" si="8"/>
        <v>111</v>
      </c>
      <c r="R32" s="774" t="s">
        <v>17</v>
      </c>
      <c r="S32" s="775">
        <f t="shared" si="10"/>
        <v>100</v>
      </c>
      <c r="T32" s="774" t="s">
        <v>17</v>
      </c>
      <c r="U32" s="775">
        <f t="shared" si="11"/>
        <v>100</v>
      </c>
      <c r="V32" s="774" t="s">
        <v>17</v>
      </c>
      <c r="W32" s="775">
        <f t="shared" si="12"/>
        <v>100</v>
      </c>
      <c r="X32" s="1816"/>
      <c r="Y32" s="3196"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6" t="s">
        <v>2566</v>
      </c>
      <c r="Q37" s="1813" t="str">
        <f t="shared" si="14"/>
        <v>工程地质条件</v>
      </c>
      <c r="R37" s="774" t="s">
        <v>17</v>
      </c>
      <c r="S37" s="775">
        <f t="shared" si="10"/>
        <v>100</v>
      </c>
      <c r="T37" s="774" t="s">
        <v>17</v>
      </c>
      <c r="U37" s="775">
        <f t="shared" si="11"/>
        <v>100</v>
      </c>
      <c r="V37" s="774" t="s">
        <v>17</v>
      </c>
      <c r="W37" s="775">
        <f t="shared" si="12"/>
        <v>100</v>
      </c>
      <c r="X37" s="1816"/>
      <c r="Y37" s="319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4" t="s">
        <v>2765</v>
      </c>
      <c r="H50" s="3250"/>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292.44</v>
      </c>
      <c r="F51" s="691" t="e">
        <f t="shared" ref="F51:F60" si="15">ROUND(B51*E51/10000,0)</f>
        <v>#DIV/0!</v>
      </c>
      <c r="G51" s="3200"/>
      <c r="H51" s="3189"/>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1414</v>
      </c>
      <c r="C2" s="2917" t="s">
        <v>2996</v>
      </c>
      <c r="D2" s="2917" t="s">
        <v>2997</v>
      </c>
      <c r="E2" s="2918">
        <f ca="1">SUMIF(E6:E13,"&lt;&gt;#ref!",E6:E13)</f>
        <v>292.44</v>
      </c>
    </row>
    <row r="3" spans="1:5" ht="15.75">
      <c r="A3" s="2917" t="s">
        <v>2998</v>
      </c>
      <c r="B3" s="2918">
        <f ca="1">ROUND(B2*10000/E2,0)</f>
        <v>48352</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1414</v>
      </c>
      <c r="C6" s="2917" t="s">
        <v>2996</v>
      </c>
      <c r="D6" s="2919"/>
      <c r="E6" s="2582">
        <f ca="1">SUMIF(INDIRECT("'"&amp;A6&amp;"'"&amp;"!C:C"),"建筑面积",INDIRECT("'"&amp;A6&amp;"'"&amp;"!D:D"))</f>
        <v>292.44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1626</v>
      </c>
      <c r="C4" s="2954"/>
      <c r="D4" s="2954"/>
      <c r="E4" s="1964"/>
    </row>
    <row r="5" spans="1:5" ht="16.5" thickTop="1">
      <c r="A5" s="1962"/>
      <c r="B5" s="2952" t="s">
        <v>1618</v>
      </c>
      <c r="C5" s="1965" t="s">
        <v>1619</v>
      </c>
      <c r="D5" s="1043">
        <f ca="1">结果表!H101</f>
        <v>1358</v>
      </c>
      <c r="E5" s="1962"/>
    </row>
    <row r="6" spans="1:5" ht="15.75">
      <c r="A6" s="1962"/>
      <c r="B6" s="2952"/>
      <c r="C6" s="1965" t="s">
        <v>1620</v>
      </c>
      <c r="D6" s="1043" t="str">
        <f ca="1">NUMBERSTRING(INT(D5*10000),2)&amp;"元整"</f>
        <v>壹仟叁佰伍拾捌万元整</v>
      </c>
      <c r="E6" s="1962"/>
    </row>
    <row r="7" spans="1:5" ht="15.75">
      <c r="A7" s="1962"/>
      <c r="B7" s="2957"/>
      <c r="C7" s="1966" t="s">
        <v>1621</v>
      </c>
      <c r="D7" s="1044">
        <f ca="1">结果表!H102</f>
        <v>46437</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3.房地产抵押价值</v>
      </c>
      <c r="C13" s="1970" t="s">
        <v>1619</v>
      </c>
      <c r="D13" s="1046">
        <f ca="1">结果表!H107</f>
        <v>1358</v>
      </c>
      <c r="E13" s="1962"/>
    </row>
    <row r="14" spans="1:5" ht="15.75">
      <c r="A14" s="1962"/>
      <c r="B14" s="2952"/>
      <c r="C14" s="1965" t="s">
        <v>1620</v>
      </c>
      <c r="D14" s="1043" t="str">
        <f ca="1">NUMBERSTRING(INT(D13*10000),2)&amp;"元整"</f>
        <v>壹仟叁佰伍拾捌万元整</v>
      </c>
      <c r="E14" s="1962"/>
    </row>
    <row r="15" spans="1:5" ht="15">
      <c r="A15" s="1962"/>
      <c r="B15" s="2957"/>
      <c r="C15" s="1966" t="s">
        <v>1630</v>
      </c>
      <c r="D15" s="1055">
        <f ca="1">结果表!H108</f>
        <v>46437</v>
      </c>
      <c r="E15" s="1962"/>
    </row>
    <row r="16" spans="1:5" ht="15">
      <c r="A16" s="1962"/>
      <c r="B16" s="2958" t="str">
        <f>结果表!E109</f>
        <v>——</v>
      </c>
      <c r="C16" s="1970" t="s">
        <v>1631</v>
      </c>
      <c r="D16" s="1971" t="str">
        <f>结果表!H109</f>
        <v>——</v>
      </c>
      <c r="E16" s="1962"/>
    </row>
    <row r="17" spans="1:5" ht="15.75">
      <c r="A17" s="1962"/>
      <c r="B17" s="2959"/>
      <c r="C17" s="1965" t="s">
        <v>1632</v>
      </c>
      <c r="D17" s="1043" t="e">
        <f>NUMBERSTRING(INT(D16*10000),2)&amp;"元整"</f>
        <v>#VALUE!</v>
      </c>
      <c r="E17" s="1962"/>
    </row>
    <row r="18" spans="1:5" ht="15">
      <c r="A18" s="1962"/>
      <c r="B18" s="2960"/>
      <c r="C18" s="1966" t="s">
        <v>1621</v>
      </c>
      <c r="D18" s="1055" t="str">
        <f>结果表!H110</f>
        <v>——</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61" t="s">
        <v>1147</v>
      </c>
      <c r="H1" s="3261"/>
      <c r="I1" s="3261"/>
      <c r="J1" s="3261"/>
      <c r="K1" s="3261"/>
      <c r="L1" s="3261"/>
      <c r="N1" s="3261" t="s">
        <v>1148</v>
      </c>
      <c r="O1" s="3261"/>
      <c r="P1" s="3261"/>
      <c r="Q1" s="3261"/>
      <c r="R1" s="1449"/>
      <c r="S1" s="3261" t="s">
        <v>1149</v>
      </c>
      <c r="T1" s="3261"/>
      <c r="U1" s="3261"/>
      <c r="V1" s="3261"/>
      <c r="X1" s="3260" t="s">
        <v>1150</v>
      </c>
      <c r="Y1" s="3261"/>
      <c r="Z1" s="3261"/>
      <c r="AA1" s="3261"/>
      <c r="AB1" s="3261"/>
      <c r="AD1" s="3260" t="s">
        <v>1151</v>
      </c>
      <c r="AE1" s="3261"/>
      <c r="AF1" s="3261"/>
      <c r="AG1" s="3261"/>
      <c r="AH1" s="326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8">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69" t="s">
        <v>3006</v>
      </c>
      <c r="D1" s="3270"/>
      <c r="E1" s="3270"/>
      <c r="F1" s="3270"/>
      <c r="G1" s="3270"/>
      <c r="H1" s="3270"/>
      <c r="I1" s="3270"/>
      <c r="J1" s="3270"/>
      <c r="K1" s="3270"/>
      <c r="L1" s="3270"/>
      <c r="M1" s="3270"/>
      <c r="N1" s="3270"/>
      <c r="O1" s="3270"/>
      <c r="P1" s="3270"/>
      <c r="Q1" s="3270"/>
      <c r="R1" s="3270"/>
      <c r="S1" s="327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1" t="s">
        <v>33</v>
      </c>
      <c r="D22" s="3132"/>
      <c r="E22" s="3132"/>
      <c r="F22" s="3132"/>
      <c r="G22" s="3132"/>
      <c r="H22" s="3132"/>
      <c r="I22" s="3132"/>
      <c r="J22" s="3132"/>
      <c r="K22" s="3132"/>
      <c r="L22" s="3132"/>
      <c r="M22" s="3132"/>
      <c r="N22" s="3132"/>
      <c r="O22" s="3132"/>
      <c r="P22" s="3132"/>
      <c r="Q22" s="326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30848</v>
      </c>
      <c r="C2" s="2" t="s">
        <v>133</v>
      </c>
      <c r="D2" s="243"/>
      <c r="E2" s="243"/>
      <c r="F2" s="243"/>
      <c r="G2" s="243"/>
    </row>
    <row r="3" spans="1:7" s="244" customFormat="1" ht="18" customHeight="1" thickBot="1">
      <c r="A3" s="247" t="s">
        <v>85</v>
      </c>
      <c r="B3" s="248">
        <f ca="1">ROUND(B2*10000/'数据-汇总表'!E3,0)</f>
        <v>1054849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5</v>
      </c>
      <c r="D9" s="1035">
        <f>'数据-汇总表'!E5</f>
        <v>292.44</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v>
      </c>
      <c r="D19" s="1039">
        <f>'数据-汇总表'!E3</f>
        <v>292.44</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73</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4" t="s">
        <v>798</v>
      </c>
      <c r="B37" s="259" t="s">
        <v>118</v>
      </c>
      <c r="C37" s="293">
        <f>ROUND(E37*D37*F34/10000,0)</f>
        <v>6</v>
      </c>
      <c r="D37" s="261">
        <f>'数据-汇总表'!E3</f>
        <v>292.44</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v>
      </c>
      <c r="D42" s="282"/>
      <c r="E42" s="282"/>
      <c r="F42" s="283"/>
      <c r="G42" s="3136" t="s">
        <v>121</v>
      </c>
    </row>
    <row r="43" spans="1:7" ht="13.5" customHeight="1">
      <c r="A43" s="954" t="s">
        <v>792</v>
      </c>
      <c r="B43" s="259" t="s">
        <v>1061</v>
      </c>
      <c r="C43" s="282">
        <f ca="1">ROUND(IF('数据-取费表'!B22&lt;=1,C39*F22*'数据-取费表'!B21/2,C39*(POWER((1+F22),'数据-取费表'!B21/2)-1)),0)</f>
        <v>0</v>
      </c>
      <c r="D43" s="282"/>
      <c r="E43" s="282"/>
      <c r="F43" s="283"/>
      <c r="G43" s="3137"/>
    </row>
    <row r="44" spans="1:7" ht="13.5" customHeight="1">
      <c r="A44" s="954" t="s">
        <v>793</v>
      </c>
      <c r="B44" s="259" t="s">
        <v>1063</v>
      </c>
      <c r="C44" s="282">
        <f ca="1">ROUND(IF('数据-取费表'!B22&lt;=1,C40*F22*'数据-取费表'!B21/2,C40*(POWER((1+F22),'数据-取费表'!B21/2)-1)),4)</f>
        <v>1E-3</v>
      </c>
      <c r="D44" s="282"/>
      <c r="E44" s="282"/>
      <c r="F44" s="283"/>
      <c r="G44" s="3138"/>
    </row>
    <row r="45" spans="1:7" s="258" customFormat="1" ht="13.5" customHeight="1">
      <c r="A45" s="951" t="s">
        <v>786</v>
      </c>
      <c r="B45" s="288" t="s">
        <v>112</v>
      </c>
      <c r="C45" s="289">
        <f>C46</f>
        <v>22</v>
      </c>
      <c r="D45" s="279">
        <f>C47</f>
        <v>5.0000000000000001E-3</v>
      </c>
      <c r="E45" s="280" t="s">
        <v>129</v>
      </c>
      <c r="F45" s="290"/>
      <c r="G45" s="291" t="s">
        <v>1069</v>
      </c>
    </row>
    <row r="46" spans="1:7" s="258" customFormat="1" ht="13.5" customHeight="1">
      <c r="A46" s="954" t="s">
        <v>794</v>
      </c>
      <c r="B46" s="292" t="s">
        <v>1062</v>
      </c>
      <c r="C46" s="293">
        <f>ROUND((C33+C39)*F27,0)</f>
        <v>22</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124</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99</v>
      </c>
      <c r="D51" s="276"/>
      <c r="E51" s="276"/>
      <c r="F51" s="308"/>
      <c r="G51" s="278" t="s">
        <v>64</v>
      </c>
    </row>
    <row r="52" spans="1:7" s="252" customFormat="1" ht="16.5" thickBot="1">
      <c r="A52" s="309" t="s">
        <v>65</v>
      </c>
      <c r="B52" s="310"/>
      <c r="C52" s="311">
        <f ca="1">C31+C51</f>
        <v>30848</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868</v>
      </c>
      <c r="B1" s="327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7" t="s">
        <v>1634</v>
      </c>
      <c r="E3" s="1047" t="s">
        <v>1640</v>
      </c>
      <c r="F3" s="1047" t="s">
        <v>1634</v>
      </c>
      <c r="G3" s="1047" t="s">
        <v>1635</v>
      </c>
      <c r="H3" s="1047" t="s">
        <v>1634</v>
      </c>
      <c r="I3" s="1047" t="s">
        <v>1635</v>
      </c>
    </row>
    <row r="4" spans="1:9" ht="15">
      <c r="A4" s="1976" t="str">
        <f>项目基本情况!S2</f>
        <v>北京市房地产</v>
      </c>
      <c r="B4" s="1047">
        <f>项目基本情况!C17</f>
        <v>292.44</v>
      </c>
      <c r="C4" s="1047">
        <f>项目基本情况!C18</f>
        <v>0</v>
      </c>
      <c r="D4" s="1047" t="e">
        <f ca="1">结果表!D118</f>
        <v>#REF!</v>
      </c>
      <c r="E4" s="1047" t="e">
        <f ca="1">结果表!E118</f>
        <v>#REF!</v>
      </c>
      <c r="F4" s="1047" t="e">
        <f ca="1">结果表!F118</f>
        <v>#REF!</v>
      </c>
      <c r="G4" s="1047" t="e">
        <f ca="1">结果表!G118</f>
        <v>#REF!</v>
      </c>
      <c r="H4" s="1047">
        <f ca="1">结果表!H118</f>
        <v>1358</v>
      </c>
      <c r="I4" s="1047">
        <f ca="1">结果表!I118</f>
        <v>46437</v>
      </c>
    </row>
    <row r="5" spans="1:9" ht="30" customHeight="1">
      <c r="A5" s="2965" t="s">
        <v>1636</v>
      </c>
      <c r="B5" s="2965"/>
      <c r="C5" s="2965"/>
      <c r="D5" s="2966" t="e">
        <f ca="1">结果表!D119</f>
        <v>#REF!</v>
      </c>
      <c r="E5" s="2966"/>
      <c r="F5" s="2966" t="e">
        <f ca="1">结果表!F119</f>
        <v>#REF!</v>
      </c>
      <c r="G5" s="2966"/>
      <c r="H5" s="2966" t="str">
        <f ca="1">结果表!H119</f>
        <v>壹仟叁佰伍拾捌万元整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1636</v>
      </c>
      <c r="B7" s="2965"/>
      <c r="C7" s="2965"/>
      <c r="D7" s="2967" t="str">
        <f>结果表!D121</f>
        <v>零元整</v>
      </c>
      <c r="E7" s="2968"/>
      <c r="F7" s="2968"/>
      <c r="G7" s="2968"/>
      <c r="H7" s="2968"/>
      <c r="I7" s="2969"/>
    </row>
    <row r="8" spans="1:9" ht="15.75">
      <c r="A8" s="2964" t="str">
        <f>结果表!A122</f>
        <v>房地产抵押价值</v>
      </c>
      <c r="B8" s="2964"/>
      <c r="C8" s="2964"/>
      <c r="D8" s="2964">
        <f ca="1">结果表!D122</f>
        <v>1358</v>
      </c>
      <c r="E8" s="2964"/>
      <c r="F8" s="2964"/>
      <c r="G8" s="2964"/>
      <c r="H8" s="2964"/>
      <c r="I8" s="2964"/>
    </row>
    <row r="9" spans="1:9" ht="15">
      <c r="A9" s="2965" t="s">
        <v>1636</v>
      </c>
      <c r="B9" s="2965"/>
      <c r="C9" s="2965"/>
      <c r="D9" s="2966" t="str">
        <f ca="1">结果表!D123</f>
        <v>壹仟叁佰伍拾捌万元整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1636</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1636</v>
      </c>
      <c r="B13" s="2961"/>
      <c r="C13" s="2961"/>
      <c r="D13" s="2962" t="e">
        <f>结果表!D127</f>
        <v>#VALUE!</v>
      </c>
      <c r="E13" s="2962"/>
      <c r="F13" s="2962"/>
      <c r="G13" s="2962"/>
      <c r="H13" s="2962"/>
      <c r="I13" s="2962"/>
    </row>
    <row r="14" spans="1:9" ht="15" thickTop="1">
      <c r="A14" s="2963" t="s">
        <v>1641</v>
      </c>
      <c r="B14" s="2963"/>
      <c r="C14" s="2963"/>
      <c r="D14" s="2963"/>
      <c r="E14" s="2963"/>
      <c r="F14" s="2963"/>
      <c r="G14" s="2963"/>
      <c r="H14" s="2963"/>
      <c r="I14" s="296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2" t="str">
        <f>IF(项目基本情况!B8="抵押","3.抵押双方在办理抵押登记手续时，应使用本公司出具的正式《房地产评估报告》，特提醒报告使用者注意。","——")</f>
        <v>——</v>
      </c>
      <c r="B13" s="2977"/>
      <c r="C13" s="2977"/>
      <c r="D13" s="2977"/>
    </row>
    <row r="14" spans="1:4" ht="15.75" customHeight="1">
      <c r="A14" s="2972" t="str">
        <f>IF(项目基本情况!B8="抵押","4.本次评估估价师所知悉的法定优先受偿款情况说明如下：","——")</f>
        <v>——</v>
      </c>
      <c r="B14" s="2977"/>
      <c r="C14" s="2977"/>
      <c r="D14" s="2977"/>
    </row>
    <row r="15" spans="1:4" ht="42" customHeight="1">
      <c r="A15" s="2972" t="str">
        <f>IF(项目基本情况!B8="抵押","（1）"&amp;CONCATENATE(项目基本情况!L20,项目基本情况!L21,项目基本情况!L22),"——")</f>
        <v>——</v>
      </c>
      <c r="B15" s="2972"/>
      <c r="C15" s="2972"/>
      <c r="D15" s="2972"/>
    </row>
    <row r="16" spans="1:4" ht="30" customHeight="1">
      <c r="A16" s="2974" t="s">
        <v>1652</v>
      </c>
      <c r="B16" s="2974"/>
      <c r="C16" s="2974"/>
      <c r="D16" s="2974"/>
    </row>
    <row r="17" spans="1:4" ht="144" customHeight="1">
      <c r="A17" s="2974" t="s">
        <v>1653</v>
      </c>
      <c r="B17" s="2974"/>
      <c r="C17" s="2974"/>
      <c r="D17" s="2974"/>
    </row>
    <row r="18" spans="1:4" ht="15.75" customHeight="1">
      <c r="A18" s="2972" t="str">
        <f>IF(项目基本情况!B8="抵押",结果表!K120,"——")</f>
        <v>——</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1654</v>
      </c>
      <c r="B22" s="2976"/>
      <c r="C22" s="2976"/>
      <c r="D22" s="297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收益法</vt:lpstr>
      <vt:lpstr>成本法 (元)</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2019-02-28T05:18:19Z</dcterms:modified>
</cp:coreProperties>
</file>