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0"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E47" i="21"/>
  <c r="I47"/>
  <c r="G47"/>
  <c r="D9" i="69"/>
  <c r="E9" s="1"/>
  <c r="C40" i="39"/>
  <c r="F19" i="6" l="1"/>
  <c r="I13" i="3"/>
  <c r="D3" i="4" l="1"/>
  <c r="Q72" i="68"/>
  <c r="Q59"/>
  <c r="K59"/>
  <c r="P74" s="1"/>
  <c r="P61" l="1"/>
  <c r="Q58"/>
  <c r="Q51"/>
  <c r="J50"/>
  <c r="J51" s="1"/>
  <c r="M47" l="1"/>
  <c r="J53" l="1"/>
  <c r="Q52" s="1"/>
  <c r="D46"/>
  <c r="F34"/>
  <c r="F62" s="1"/>
  <c r="F33"/>
  <c r="F61" s="1"/>
  <c r="F32"/>
  <c r="F60" s="1"/>
  <c r="F28"/>
  <c r="C28"/>
  <c r="F23"/>
  <c r="D24" s="1"/>
  <c r="D23" l="1"/>
  <c r="D22"/>
  <c r="F21"/>
  <c r="M20"/>
  <c r="F20"/>
  <c r="M19"/>
  <c r="M18"/>
  <c r="F18"/>
  <c r="F17" l="1"/>
  <c r="F15"/>
  <c r="G1"/>
  <c r="F1"/>
  <c r="M6"/>
  <c r="M11" l="1"/>
  <c r="J10" s="1"/>
  <c r="F11"/>
  <c r="F36"/>
  <c r="F13"/>
  <c r="F26"/>
  <c r="F42"/>
  <c r="F40"/>
  <c r="M28"/>
  <c r="C76"/>
  <c r="F9"/>
  <c r="F8"/>
  <c r="J15"/>
  <c r="F38"/>
  <c r="M8"/>
  <c r="M23"/>
  <c r="M24"/>
  <c r="F37"/>
  <c r="M9"/>
  <c r="M26"/>
  <c r="F6"/>
  <c r="F16"/>
  <c r="M22"/>
  <c r="F66" l="1"/>
  <c r="F51"/>
  <c r="F64"/>
  <c r="C27"/>
  <c r="Q71"/>
  <c r="F68"/>
  <c r="F70"/>
  <c r="F65"/>
  <c r="C53"/>
  <c r="C10"/>
  <c r="F24" l="1"/>
  <c r="C24" l="1"/>
  <c r="I3" i="59" l="1"/>
  <c r="L3"/>
  <c r="K3"/>
  <c r="J3"/>
  <c r="AE5" l="1"/>
  <c r="AF5" s="1"/>
  <c r="AG5"/>
  <c r="AH5"/>
  <c r="AD5"/>
  <c r="Q5" l="1"/>
  <c r="P5"/>
  <c r="O5"/>
  <c r="N5"/>
  <c r="N6" l="1"/>
  <c r="Q6"/>
  <c r="P6"/>
  <c r="O6"/>
  <c r="K59" i="15" l="1"/>
  <c r="P62" s="1"/>
  <c r="P75" l="1"/>
  <c r="Q74" i="44" l="1"/>
  <c r="Q61"/>
  <c r="Q60"/>
  <c r="Q53"/>
  <c r="J51"/>
  <c r="J52" s="1"/>
  <c r="M48"/>
  <c r="A16" i="55" l="1"/>
  <c r="A15"/>
  <c r="A10"/>
  <c r="A9"/>
  <c r="A8"/>
  <c r="A6" i="54"/>
  <c r="A8"/>
  <c r="A7"/>
  <c r="A28" i="51"/>
  <c r="A27"/>
  <c r="D5" i="46" l="1"/>
  <c r="Q7" i="59" l="1"/>
  <c r="O7"/>
  <c r="N8"/>
  <c r="O8"/>
  <c r="P8"/>
  <c r="Q8"/>
  <c r="N7"/>
  <c r="P7"/>
  <c r="E10" i="67"/>
  <c r="B14"/>
  <c r="E9"/>
  <c r="F9"/>
  <c r="E8"/>
  <c r="E12"/>
  <c r="B10"/>
  <c r="B12"/>
  <c r="F13"/>
  <c r="F11"/>
  <c r="E11"/>
  <c r="E14"/>
  <c r="B9"/>
  <c r="B8"/>
  <c r="B13"/>
  <c r="F8"/>
  <c r="E13"/>
  <c r="F14"/>
  <c r="F10"/>
  <c r="B11"/>
  <c r="F12"/>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H20"/>
  <c r="AG20"/>
  <c r="AE20"/>
  <c r="AF20" s="1"/>
  <c r="AD20"/>
  <c r="AD21"/>
  <c r="AE21"/>
  <c r="AF21" s="1"/>
  <c r="AG21"/>
  <c r="AH21"/>
  <c r="S2" i="31" l="1"/>
  <c r="M2"/>
  <c r="N2"/>
  <c r="O2"/>
  <c r="P2"/>
  <c r="Q2"/>
  <c r="R2"/>
  <c r="C3" i="65" l="1"/>
  <c r="C1"/>
  <c r="N1" s="1"/>
  <c r="N7"/>
  <c r="H1" l="1"/>
  <c r="B76" i="63"/>
  <c r="I3" i="65"/>
  <c r="N4"/>
  <c r="I5"/>
  <c r="I6"/>
  <c r="N6"/>
  <c r="N5"/>
  <c r="J5"/>
  <c r="J3"/>
  <c r="J6"/>
  <c r="N3"/>
  <c r="I7"/>
  <c r="J7"/>
  <c r="J4"/>
  <c r="I4"/>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l="1"/>
  <c r="N4"/>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AB19" s="1"/>
  <c r="P19"/>
  <c r="AA19" s="1"/>
  <c r="O19"/>
  <c r="Y19" s="1"/>
  <c r="N19"/>
  <c r="X19" s="1"/>
  <c r="Q18"/>
  <c r="P18"/>
  <c r="O18"/>
  <c r="N18"/>
  <c r="D18"/>
  <c r="Q17"/>
  <c r="AB17" s="1"/>
  <c r="P17"/>
  <c r="O17"/>
  <c r="Y17" s="1"/>
  <c r="Z17" s="1"/>
  <c r="N17"/>
  <c r="Q16"/>
  <c r="AB16" s="1"/>
  <c r="P16"/>
  <c r="O16"/>
  <c r="Y16" s="1"/>
  <c r="Z16" s="1"/>
  <c r="N16"/>
  <c r="X16" s="1"/>
  <c r="Q15"/>
  <c r="AB15" s="1"/>
  <c r="P15"/>
  <c r="AA15" s="1"/>
  <c r="O15"/>
  <c r="Y15" s="1"/>
  <c r="Z15" s="1"/>
  <c r="N15"/>
  <c r="X15" s="1"/>
  <c r="Q14"/>
  <c r="P14"/>
  <c r="O14"/>
  <c r="N14"/>
  <c r="D14"/>
  <c r="Q13"/>
  <c r="P13"/>
  <c r="AA13" s="1"/>
  <c r="O13"/>
  <c r="N13"/>
  <c r="X13" s="1"/>
  <c r="Q12"/>
  <c r="P12"/>
  <c r="AA12" s="1"/>
  <c r="O12"/>
  <c r="N12"/>
  <c r="X12" s="1"/>
  <c r="Q11"/>
  <c r="AB11" s="1"/>
  <c r="P11"/>
  <c r="AA11" s="1"/>
  <c r="O11"/>
  <c r="Y11" s="1"/>
  <c r="Z11" s="1"/>
  <c r="N11"/>
  <c r="X11" s="1"/>
  <c r="Q10"/>
  <c r="P10"/>
  <c r="AA10" s="1"/>
  <c r="O10"/>
  <c r="N10"/>
  <c r="D10"/>
  <c r="C15" l="1"/>
  <c r="Y14"/>
  <c r="Z14" s="1"/>
  <c r="F15"/>
  <c r="AB14"/>
  <c r="B19"/>
  <c r="B20" s="1"/>
  <c r="B21" s="1"/>
  <c r="S21" s="1"/>
  <c r="X18"/>
  <c r="E19"/>
  <c r="E20" s="1"/>
  <c r="E21" s="1"/>
  <c r="U21" s="1"/>
  <c r="AA18"/>
  <c r="B9"/>
  <c r="X5"/>
  <c r="E9"/>
  <c r="AA5"/>
  <c r="B11"/>
  <c r="X10"/>
  <c r="C11"/>
  <c r="Y10"/>
  <c r="Z10" s="1"/>
  <c r="F11"/>
  <c r="AB10"/>
  <c r="Y12"/>
  <c r="Z12" s="1"/>
  <c r="AB12"/>
  <c r="Y13"/>
  <c r="Z13" s="1"/>
  <c r="AB13"/>
  <c r="B15"/>
  <c r="B16" s="1"/>
  <c r="B17" s="1"/>
  <c r="S17" s="1"/>
  <c r="X14"/>
  <c r="E15"/>
  <c r="E16" s="1"/>
  <c r="E17" s="1"/>
  <c r="U17" s="1"/>
  <c r="AA14"/>
  <c r="AA16"/>
  <c r="X17"/>
  <c r="AA17"/>
  <c r="C19"/>
  <c r="Y18"/>
  <c r="Z18" s="1"/>
  <c r="F19"/>
  <c r="AB18"/>
  <c r="C9"/>
  <c r="Y5"/>
  <c r="Z5" s="1"/>
  <c r="F9"/>
  <c r="AB5"/>
  <c r="X3"/>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V9" i="59" l="1"/>
  <c r="F8"/>
  <c r="F7" s="1"/>
  <c r="F6" s="1"/>
  <c r="F5" s="1"/>
  <c r="D9"/>
  <c r="T9"/>
  <c r="C8"/>
  <c r="U9"/>
  <c r="E8"/>
  <c r="E7" s="1"/>
  <c r="E6" s="1"/>
  <c r="E5" s="1"/>
  <c r="S9"/>
  <c r="B8"/>
  <c r="B7" s="1"/>
  <c r="B6" s="1"/>
  <c r="B5" s="1"/>
  <c r="P46"/>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D8" i="59" l="1"/>
  <c r="C7"/>
  <c r="T41"/>
  <c r="D41"/>
  <c r="T13"/>
  <c r="D13"/>
  <c r="T21"/>
  <c r="D21"/>
  <c r="T25"/>
  <c r="D25"/>
  <c r="T33"/>
  <c r="D33"/>
  <c r="T37"/>
  <c r="D37"/>
  <c r="T45"/>
  <c r="D45"/>
  <c r="T17"/>
  <c r="D17"/>
  <c r="O47"/>
  <c r="D47"/>
  <c r="O46"/>
  <c r="D7" l="1"/>
  <c r="C6"/>
  <c r="O27" i="6"/>
  <c r="N27"/>
  <c r="P26"/>
  <c r="L26"/>
  <c r="P25"/>
  <c r="L25"/>
  <c r="P24"/>
  <c r="L24"/>
  <c r="P23"/>
  <c r="L23"/>
  <c r="P22"/>
  <c r="L22"/>
  <c r="P21"/>
  <c r="L21"/>
  <c r="P20"/>
  <c r="P19"/>
  <c r="P27" s="1"/>
  <c r="D6" i="59" l="1"/>
  <c r="C5"/>
  <c r="D5" s="1"/>
  <c r="Z18" i="36"/>
  <c r="Q18"/>
  <c r="C18"/>
  <c r="D66"/>
  <c r="F18" s="1"/>
  <c r="AA18" s="1"/>
  <c r="Q18" i="35"/>
  <c r="Z18" s="1"/>
  <c r="F18"/>
  <c r="AA18" s="1"/>
  <c r="C18"/>
  <c r="D68"/>
  <c r="E68" s="1"/>
  <c r="F68" s="1"/>
  <c r="G68" s="1"/>
  <c r="Q21" i="37"/>
  <c r="Z21" s="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Z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Z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Z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Z37" s="1"/>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Z34" s="1"/>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Z408" s="1"/>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Z392" s="1"/>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AC569"/>
  <c r="G569" s="1"/>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G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B108"/>
  <c r="C23"/>
  <c r="C19"/>
  <c r="C17"/>
  <c r="C15"/>
  <c r="B112"/>
  <c r="D107"/>
  <c r="E107" s="1"/>
  <c r="F107" s="1"/>
  <c r="G107" s="1"/>
  <c r="H107" s="1"/>
  <c r="I107" s="1"/>
  <c r="J107" s="1"/>
  <c r="K107" s="1"/>
  <c r="L107" s="1"/>
  <c r="M107" s="1"/>
  <c r="D105"/>
  <c r="E105" s="1"/>
  <c r="F105" s="1"/>
  <c r="G105" s="1"/>
  <c r="H36"/>
  <c r="D103"/>
  <c r="J35"/>
  <c r="AC35" s="1"/>
  <c r="F97"/>
  <c r="E97"/>
  <c r="D97"/>
  <c r="C97"/>
  <c r="D96"/>
  <c r="E96"/>
  <c r="D94"/>
  <c r="M90"/>
  <c r="L90"/>
  <c r="K90"/>
  <c r="J90"/>
  <c r="I90"/>
  <c r="H90"/>
  <c r="G90"/>
  <c r="F90"/>
  <c r="E90"/>
  <c r="D90"/>
  <c r="C90"/>
  <c r="D89"/>
  <c r="B86"/>
  <c r="B84"/>
  <c r="H27"/>
  <c r="U27" s="1"/>
  <c r="B82"/>
  <c r="D79"/>
  <c r="E79" s="1"/>
  <c r="F79" s="1"/>
  <c r="G79" s="1"/>
  <c r="D75"/>
  <c r="E75" s="1"/>
  <c r="F75" s="1"/>
  <c r="D73"/>
  <c r="E73" s="1"/>
  <c r="F73" s="1"/>
  <c r="G73" s="1"/>
  <c r="D71"/>
  <c r="E71" s="1"/>
  <c r="F71" s="1"/>
  <c r="G71" s="1"/>
  <c r="F15"/>
  <c r="AA15" s="1"/>
  <c r="B68"/>
  <c r="H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J26"/>
  <c r="H26"/>
  <c r="AB26" s="1"/>
  <c r="F26"/>
  <c r="AA26" s="1"/>
  <c r="Q25"/>
  <c r="Z25" s="1"/>
  <c r="J25"/>
  <c r="W25" s="1"/>
  <c r="F25"/>
  <c r="AA25" s="1"/>
  <c r="Q23"/>
  <c r="Z23" s="1"/>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H23"/>
  <c r="AB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s="1"/>
  <c r="B73"/>
  <c r="B57"/>
  <c r="B61"/>
  <c r="B59"/>
  <c r="H12" s="1"/>
  <c r="B131" i="34"/>
  <c r="B129"/>
  <c r="B127"/>
  <c r="B99"/>
  <c r="B97"/>
  <c r="B95"/>
  <c r="B93"/>
  <c r="B75"/>
  <c r="B73"/>
  <c r="B71"/>
  <c r="B130" i="33"/>
  <c r="B128"/>
  <c r="H45"/>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H42"/>
  <c r="AB42" s="1"/>
  <c r="D119"/>
  <c r="D117"/>
  <c r="E117"/>
  <c r="F117" s="1"/>
  <c r="G117" s="1"/>
  <c r="D115"/>
  <c r="E115"/>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F29" i="36"/>
  <c r="AA29" s="1"/>
  <c r="F16"/>
  <c r="AA16" s="1"/>
  <c r="U22"/>
  <c r="W23"/>
  <c r="W22"/>
  <c r="U26"/>
  <c r="AC31"/>
  <c r="J33"/>
  <c r="W33" s="1"/>
  <c r="AC27" i="35"/>
  <c r="U31"/>
  <c r="S34"/>
  <c r="W36"/>
  <c r="S31"/>
  <c r="W31"/>
  <c r="U34"/>
  <c r="F36" i="34"/>
  <c r="S36" s="1"/>
  <c r="W9"/>
  <c r="S34"/>
  <c r="W39"/>
  <c r="H39" i="33"/>
  <c r="AB39" s="1"/>
  <c r="F26"/>
  <c r="AA26" s="1"/>
  <c r="U9"/>
  <c r="U33"/>
  <c r="W38"/>
  <c r="S40"/>
  <c r="S33"/>
  <c r="W33"/>
  <c r="U38"/>
  <c r="S8" i="21"/>
  <c r="H39" i="37"/>
  <c r="AB39" s="1"/>
  <c r="AB27" i="35"/>
  <c r="S10" i="40"/>
  <c r="W10"/>
  <c r="S11"/>
  <c r="U11"/>
  <c r="S36"/>
  <c r="U36"/>
  <c r="S40" i="39"/>
  <c r="S36"/>
  <c r="F11" i="21"/>
  <c r="S11" s="1"/>
  <c r="AC40"/>
  <c r="AA38"/>
  <c r="C29" i="39"/>
  <c r="C23"/>
  <c r="U36"/>
  <c r="H32" i="33"/>
  <c r="AB32" s="1"/>
  <c r="H11" i="21"/>
  <c r="U11" s="1"/>
  <c r="J11"/>
  <c r="W11" s="1"/>
  <c r="F86" i="40"/>
  <c r="AA12" i="33"/>
  <c r="U9" i="21"/>
  <c r="J27" i="36"/>
  <c r="W27" s="1"/>
  <c r="J34"/>
  <c r="W34" s="1"/>
  <c r="J30" i="35"/>
  <c r="W30" s="1"/>
  <c r="F22"/>
  <c r="AA22" s="1"/>
  <c r="H10"/>
  <c r="U10" s="1"/>
  <c r="U29" i="36"/>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U30"/>
  <c r="AB40" i="37"/>
  <c r="J36"/>
  <c r="AC36" s="1"/>
  <c r="AB28" i="36"/>
  <c r="AB31" i="21"/>
  <c r="AB13"/>
  <c r="U46"/>
  <c r="AC30"/>
  <c r="W30"/>
  <c r="AB30"/>
  <c r="S28"/>
  <c r="AA28"/>
  <c r="AB14"/>
  <c r="W14"/>
  <c r="AC14"/>
  <c r="W31" i="34"/>
  <c r="S46" i="33"/>
  <c r="U36" i="37"/>
  <c r="AC13" i="36"/>
  <c r="AB45" i="33"/>
  <c r="AB31"/>
  <c r="AA27"/>
  <c r="AC28"/>
  <c r="U28" i="21"/>
  <c r="AB44"/>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c r="BQ544"/>
  <c r="BL544"/>
  <c r="G544"/>
  <c r="G538"/>
  <c r="G534"/>
  <c r="G530"/>
  <c r="G526"/>
  <c r="G522"/>
  <c r="BQ540"/>
  <c r="BL540" s="1"/>
  <c r="AZ540" s="1"/>
  <c r="BQ538"/>
  <c r="BL538" s="1"/>
  <c r="AZ538" s="1"/>
  <c r="BQ536"/>
  <c r="BQ534"/>
  <c r="BL534"/>
  <c r="BQ532"/>
  <c r="BL532"/>
  <c r="BQ530"/>
  <c r="BQ528"/>
  <c r="BQ526"/>
  <c r="BL526"/>
  <c r="BQ524"/>
  <c r="BL524"/>
  <c r="BQ522"/>
  <c r="BQ520"/>
  <c r="BL520" s="1"/>
  <c r="BQ518"/>
  <c r="BQ516"/>
  <c r="BL516"/>
  <c r="BQ514"/>
  <c r="BL514"/>
  <c r="BQ512"/>
  <c r="BQ510"/>
  <c r="BL510" s="1"/>
  <c r="BQ508"/>
  <c r="BL508" s="1"/>
  <c r="AZ508" s="1"/>
  <c r="AC506"/>
  <c r="G506" s="1"/>
  <c r="BQ506"/>
  <c r="G502"/>
  <c r="G498"/>
  <c r="BQ504"/>
  <c r="BQ502"/>
  <c r="BL502" s="1"/>
  <c r="AZ502" s="1"/>
  <c r="BQ500"/>
  <c r="BL500" s="1"/>
  <c r="BQ498"/>
  <c r="BQ496"/>
  <c r="AC494"/>
  <c r="BQ494"/>
  <c r="BL493"/>
  <c r="G492"/>
  <c r="G488"/>
  <c r="G484"/>
  <c r="G20"/>
  <c r="BQ492"/>
  <c r="BL492"/>
  <c r="BQ490"/>
  <c r="BQ488"/>
  <c r="BL488" s="1"/>
  <c r="AZ488" s="1"/>
  <c r="BQ486"/>
  <c r="BQ484"/>
  <c r="BL484"/>
  <c r="AZ484" s="1"/>
  <c r="BQ482"/>
  <c r="BL482"/>
  <c r="BQ20"/>
  <c r="BL20" s="1"/>
  <c r="AZ20" s="1"/>
  <c r="BQ18"/>
  <c r="AZ501"/>
  <c r="S505" i="31"/>
  <c r="S503"/>
  <c r="S501"/>
  <c r="S499"/>
  <c r="O27"/>
  <c r="O28"/>
  <c r="O26"/>
  <c r="M27"/>
  <c r="M28"/>
  <c r="M26"/>
  <c r="I26"/>
  <c r="I25"/>
  <c r="S25"/>
  <c r="Q26"/>
  <c r="K26"/>
  <c r="I27"/>
  <c r="Q27"/>
  <c r="K27"/>
  <c r="I28"/>
  <c r="Q28"/>
  <c r="K28"/>
  <c r="AC28" i="34"/>
  <c r="H25" i="21"/>
  <c r="U25" s="1"/>
  <c r="F25"/>
  <c r="S25" s="1"/>
  <c r="J25"/>
  <c r="AC25" s="1"/>
  <c r="E125" i="33"/>
  <c r="F125"/>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J23" i="37"/>
  <c r="W23" s="1"/>
  <c r="F17"/>
  <c r="AA17" s="1"/>
  <c r="AB43" i="33"/>
  <c r="D3" i="21"/>
  <c r="AC33" i="36"/>
  <c r="AC12" i="35"/>
  <c r="W23"/>
  <c r="AC23" i="37"/>
  <c r="S27"/>
  <c r="U39"/>
  <c r="AC8"/>
  <c r="S25"/>
  <c r="AC36" i="34"/>
  <c r="AB8"/>
  <c r="AC37" i="33"/>
  <c r="AA13"/>
  <c r="AC45"/>
  <c r="S39"/>
  <c r="F43"/>
  <c r="AA43" s="1"/>
  <c r="AA23" i="37"/>
  <c r="S10" i="35"/>
  <c r="AB44" i="33"/>
  <c r="AA9" i="21"/>
  <c r="H19" i="34"/>
  <c r="AB19" s="1"/>
  <c r="J10" i="37"/>
  <c r="W10" s="1"/>
  <c r="F36" i="35"/>
  <c r="S36" s="1"/>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AZ354" s="1"/>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U42" i="21"/>
  <c r="AC26" i="36"/>
  <c r="W25" i="35"/>
  <c r="AZ300" i="3"/>
  <c r="AZ322"/>
  <c r="H13" i="39"/>
  <c r="AB13" s="1"/>
  <c r="F13"/>
  <c r="J13"/>
  <c r="AC13" s="1"/>
  <c r="AA36" i="35"/>
  <c r="H11" i="37"/>
  <c r="AB11" s="1"/>
  <c r="W37"/>
  <c r="AA30" i="33"/>
  <c r="AA36" i="37"/>
  <c r="S42" i="33"/>
  <c r="U32"/>
  <c r="AB17" i="37"/>
  <c r="AZ516" i="3"/>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H35" i="37"/>
  <c r="AB35" s="1"/>
  <c r="S26" i="21"/>
  <c r="AB12"/>
  <c r="H32"/>
  <c r="U32" s="1"/>
  <c r="AB26"/>
  <c r="U26"/>
  <c r="U39"/>
  <c r="J32"/>
  <c r="AC32" s="1"/>
  <c r="G13" i="3"/>
  <c r="AC5"/>
  <c r="F17" i="21"/>
  <c r="S17" s="1"/>
  <c r="H17"/>
  <c r="AB17" s="1"/>
  <c r="J17"/>
  <c r="AC1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s="1"/>
  <c r="BL570"/>
  <c r="BE5"/>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5" i="37"/>
  <c r="AC26"/>
  <c r="W26"/>
  <c r="AB29"/>
  <c r="AA30"/>
  <c r="S30"/>
  <c r="AC30"/>
  <c r="AC31"/>
  <c r="W31"/>
  <c r="F21" i="39"/>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BL537"/>
  <c r="BA537"/>
  <c r="BL536"/>
  <c r="AZ536"/>
  <c r="BA535"/>
  <c r="AZ535"/>
  <c r="BA534"/>
  <c r="AZ534"/>
  <c r="BA533"/>
  <c r="AZ533"/>
  <c r="BL531"/>
  <c r="AZ531"/>
  <c r="BL530"/>
  <c r="BA530"/>
  <c r="BL529"/>
  <c r="BA529"/>
  <c r="BL528"/>
  <c r="AZ528"/>
  <c r="BA527"/>
  <c r="AZ527"/>
  <c r="BA526"/>
  <c r="AZ526"/>
  <c r="BA525"/>
  <c r="AZ525"/>
  <c r="BL523"/>
  <c r="BA523"/>
  <c r="AZ523" s="1"/>
  <c r="BL522"/>
  <c r="BA522"/>
  <c r="AZ522"/>
  <c r="BL521"/>
  <c r="AZ521"/>
  <c r="BA519"/>
  <c r="AZ519"/>
  <c r="BL518"/>
  <c r="BA518"/>
  <c r="AZ518" s="1"/>
  <c r="BL517"/>
  <c r="BA517"/>
  <c r="AZ517"/>
  <c r="BL515"/>
  <c r="BA515"/>
  <c r="BA514"/>
  <c r="AZ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F38"/>
  <c r="AA38" s="1"/>
  <c r="AA36" i="34"/>
  <c r="AC12" i="21"/>
  <c r="W12"/>
  <c r="S35"/>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U31" i="36"/>
  <c r="S8" i="37"/>
  <c r="AA8"/>
  <c r="F14" i="39"/>
  <c r="AA14" s="1"/>
  <c r="H14"/>
  <c r="AB14" s="1"/>
  <c r="J14"/>
  <c r="AC14" s="1"/>
  <c r="F16"/>
  <c r="AA16" s="1"/>
  <c r="H16"/>
  <c r="U16" s="1"/>
  <c r="J16"/>
  <c r="AC16" s="1"/>
  <c r="F23"/>
  <c r="AA23" s="1"/>
  <c r="E97"/>
  <c r="H27"/>
  <c r="AB27" s="1"/>
  <c r="F15" i="40"/>
  <c r="AA15" s="1"/>
  <c r="J15"/>
  <c r="H15"/>
  <c r="AB15" s="1"/>
  <c r="E92"/>
  <c r="F92"/>
  <c r="H23"/>
  <c r="U23" s="1"/>
  <c r="H41"/>
  <c r="AB41" s="1"/>
  <c r="F41"/>
  <c r="AA41" s="1"/>
  <c r="J41"/>
  <c r="W41" s="1"/>
  <c r="H36" i="33"/>
  <c r="AB36" s="1"/>
  <c r="H37" i="34"/>
  <c r="AB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F34" i="44"/>
  <c r="F66" i="9"/>
  <c r="P72" s="1"/>
  <c r="F72"/>
  <c r="AC14" i="40"/>
  <c r="W35"/>
  <c r="S33"/>
  <c r="AC47" i="39"/>
  <c r="U37" i="34"/>
  <c r="AC41" i="40"/>
  <c r="U41"/>
  <c r="J23"/>
  <c r="AC23" s="1"/>
  <c r="G92"/>
  <c r="F23"/>
  <c r="S23" s="1"/>
  <c r="AC15"/>
  <c r="W15"/>
  <c r="W14" i="39"/>
  <c r="U23" i="35"/>
  <c r="AB23"/>
  <c r="H20"/>
  <c r="F20"/>
  <c r="S20" s="1"/>
  <c r="H15" i="34"/>
  <c r="AB15" s="1"/>
  <c r="F78"/>
  <c r="G78" s="1"/>
  <c r="J15"/>
  <c r="H41" i="33"/>
  <c r="U41" s="1"/>
  <c r="F121"/>
  <c r="G121" s="1"/>
  <c r="H121" s="1"/>
  <c r="I121" s="1"/>
  <c r="J121" s="1"/>
  <c r="K121" s="1"/>
  <c r="L121" s="1"/>
  <c r="M121" s="1"/>
  <c r="F30" i="40"/>
  <c r="AA3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7"/>
  <c r="S13" i="39"/>
  <c r="AA13"/>
  <c r="U16" i="40"/>
  <c r="W34"/>
  <c r="AB34"/>
  <c r="AB42"/>
  <c r="U42"/>
  <c r="AC16"/>
  <c r="W32"/>
  <c r="H25"/>
  <c r="AB25" s="1"/>
  <c r="F94"/>
  <c r="G94" s="1"/>
  <c r="U47" i="39"/>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U13" i="39"/>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L47" i="68"/>
  <c r="E2" i="65"/>
  <c r="J27" i="39" l="1"/>
  <c r="AC27" s="1"/>
  <c r="F27"/>
  <c r="AA27" s="1"/>
  <c r="U27" i="33"/>
  <c r="AB27"/>
  <c r="AC27" i="34"/>
  <c r="W27"/>
  <c r="AA31" i="33"/>
  <c r="S31"/>
  <c r="W12" i="36"/>
  <c r="AC12"/>
  <c r="U34"/>
  <c r="AB34"/>
  <c r="U14" i="37"/>
  <c r="AB14"/>
  <c r="AC39"/>
  <c r="W39"/>
  <c r="S12" i="21"/>
  <c r="AA12"/>
  <c r="S28" i="34"/>
  <c r="AA28"/>
  <c r="AC24" i="35"/>
  <c r="W24"/>
  <c r="W24" i="36"/>
  <c r="AC24"/>
  <c r="J30" i="40"/>
  <c r="AC30" s="1"/>
  <c r="H100"/>
  <c r="I100" s="1"/>
  <c r="J100" s="1"/>
  <c r="K100" s="1"/>
  <c r="L100" s="1"/>
  <c r="M100" s="1"/>
  <c r="S47" i="39"/>
  <c r="F71" i="9"/>
  <c r="W40" i="40"/>
  <c r="H5" i="3"/>
  <c r="G548"/>
  <c r="AZ395"/>
  <c r="AZ405"/>
  <c r="AZ416"/>
  <c r="AZ421"/>
  <c r="AZ440"/>
  <c r="AZ464"/>
  <c r="AZ480"/>
  <c r="AZ368"/>
  <c r="AZ384"/>
  <c r="AZ386"/>
  <c r="AZ218"/>
  <c r="AZ234"/>
  <c r="AZ266"/>
  <c r="AB13" i="35"/>
  <c r="AA38" i="37"/>
  <c r="AZ412" i="3"/>
  <c r="AZ419"/>
  <c r="AZ425"/>
  <c r="AZ429"/>
  <c r="AZ445"/>
  <c r="AZ448"/>
  <c r="AZ468"/>
  <c r="AZ472"/>
  <c r="AZ210"/>
  <c r="AZ222"/>
  <c r="AZ226"/>
  <c r="AZ238"/>
  <c r="AZ242"/>
  <c r="AZ254"/>
  <c r="AZ258"/>
  <c r="A14" i="55"/>
  <c r="B65" i="63" s="1"/>
  <c r="AZ285" i="3"/>
  <c r="AZ288"/>
  <c r="AZ296"/>
  <c r="AZ125"/>
  <c r="AZ128"/>
  <c r="AZ141"/>
  <c r="AZ144"/>
  <c r="AZ155"/>
  <c r="AZ194"/>
  <c r="C18" i="9"/>
  <c r="AZ160" i="3"/>
  <c r="AZ163"/>
  <c r="AZ176"/>
  <c r="AZ182"/>
  <c r="AZ190"/>
  <c r="AZ204"/>
  <c r="AZ25"/>
  <c r="AZ28"/>
  <c r="AZ30"/>
  <c r="AZ41"/>
  <c r="AZ46"/>
  <c r="AZ57"/>
  <c r="AZ62"/>
  <c r="AZ65"/>
  <c r="AZ85"/>
  <c r="AZ92"/>
  <c r="AZ97"/>
  <c r="AZ108"/>
  <c r="AZ68"/>
  <c r="AZ72"/>
  <c r="I21" i="57"/>
  <c r="D1"/>
  <c r="E10" s="1"/>
  <c r="C92" i="9"/>
  <c r="AB32" i="40"/>
  <c r="F123" i="21"/>
  <c r="G123" s="1"/>
  <c r="H123" s="1"/>
  <c r="I123" s="1"/>
  <c r="J123" s="1"/>
  <c r="K123" s="1"/>
  <c r="L123" s="1"/>
  <c r="M123" s="1"/>
  <c r="F42"/>
  <c r="AA42" s="1"/>
  <c r="U19"/>
  <c r="S19"/>
  <c r="U43"/>
  <c r="S45"/>
  <c r="S46"/>
  <c r="W42"/>
  <c r="H113"/>
  <c r="F37"/>
  <c r="S37" s="1"/>
  <c r="H37"/>
  <c r="U37" s="1"/>
  <c r="J37"/>
  <c r="W37" s="1"/>
  <c r="AA36"/>
  <c r="AC35"/>
  <c r="AB36"/>
  <c r="AB10"/>
  <c r="S10"/>
  <c r="W9"/>
  <c r="W8"/>
  <c r="A30" i="51"/>
  <c r="A30" i="64"/>
  <c r="AB44" i="39"/>
  <c r="H42"/>
  <c r="AB42" s="1"/>
  <c r="J42"/>
  <c r="AC42" s="1"/>
  <c r="F42"/>
  <c r="U34"/>
  <c r="S33"/>
  <c r="W33"/>
  <c r="AB29"/>
  <c r="U27"/>
  <c r="W27"/>
  <c r="AB25"/>
  <c r="S23"/>
  <c r="F91"/>
  <c r="G91" s="1"/>
  <c r="F17"/>
  <c r="AA17" s="1"/>
  <c r="J17"/>
  <c r="W17" s="1"/>
  <c r="H17"/>
  <c r="U17" s="1"/>
  <c r="S17"/>
  <c r="AC43"/>
  <c r="W15"/>
  <c r="AB16"/>
  <c r="A2" i="55"/>
  <c r="B55" i="63" s="1"/>
  <c r="A11" i="55"/>
  <c r="B62" i="63" s="1"/>
  <c r="N59" i="68"/>
  <c r="M59"/>
  <c r="L59"/>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B56" s="1"/>
  <c r="C24" s="1"/>
  <c r="C52" i="15"/>
  <c r="A4" i="64"/>
  <c r="A4" i="51"/>
  <c r="C51" i="10"/>
  <c r="H58" i="46"/>
  <c r="H61"/>
  <c r="H62"/>
  <c r="H71"/>
  <c r="H76"/>
  <c r="I100"/>
  <c r="N100"/>
  <c r="H100"/>
  <c r="F108"/>
  <c r="H80"/>
  <c r="B45"/>
  <c r="AB11"/>
  <c r="AB13" s="1"/>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3" i="46"/>
  <c r="H74"/>
  <c r="H86"/>
  <c r="H82"/>
  <c r="H63"/>
  <c r="H59"/>
  <c r="H64"/>
  <c r="H60"/>
  <c r="H10" i="48"/>
  <c r="H87" i="46"/>
  <c r="H85"/>
  <c r="H83"/>
  <c r="O13" i="1"/>
  <c r="P13" s="1"/>
  <c r="K10"/>
  <c r="M10" s="1"/>
  <c r="O10" s="1"/>
  <c r="P10" s="1"/>
  <c r="S11"/>
  <c r="R11"/>
  <c r="S13"/>
  <c r="R13"/>
  <c r="B6"/>
  <c r="E6" s="1"/>
  <c r="B10"/>
  <c r="E10" s="1"/>
  <c r="S10"/>
  <c r="B8"/>
  <c r="E8" s="1"/>
  <c r="B12"/>
  <c r="E12" s="1"/>
  <c r="S12"/>
  <c r="K6"/>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11" i="44"/>
  <c r="F11"/>
  <c r="M22" i="15"/>
  <c r="F38" i="44"/>
  <c r="L48" i="68"/>
  <c r="M8" i="44"/>
  <c r="F43" i="68"/>
  <c r="F40" i="44"/>
  <c r="L48" i="15"/>
  <c r="F9" i="44"/>
  <c r="M30"/>
  <c r="F16" i="15"/>
  <c r="M29" i="44"/>
  <c r="L49"/>
  <c r="F37" i="15"/>
  <c r="F43" i="44"/>
  <c r="J17"/>
  <c r="L48"/>
  <c r="F10"/>
  <c r="M26"/>
  <c r="F45"/>
  <c r="M10"/>
  <c r="F31" i="68"/>
  <c r="J15" i="15"/>
  <c r="M24" i="44"/>
  <c r="M28"/>
  <c r="M31"/>
  <c r="F9" i="15"/>
  <c r="F8" i="44"/>
  <c r="M24" i="15"/>
  <c r="M23"/>
  <c r="J36"/>
  <c r="F39" i="44"/>
  <c r="M25"/>
  <c r="F15"/>
  <c r="L47" i="15"/>
  <c r="F18" i="44"/>
  <c r="M26" i="15"/>
  <c r="F7"/>
  <c r="F28" i="44"/>
  <c r="M29" i="68"/>
  <c r="F7"/>
  <c r="F42" i="15"/>
  <c r="E413" i="3" l="1"/>
  <c r="C33" i="21"/>
  <c r="H69" i="46"/>
  <c r="H77"/>
  <c r="C7"/>
  <c r="AC23" i="21"/>
  <c r="AA15"/>
  <c r="AA42" i="39"/>
  <c r="S42"/>
  <c r="AB17"/>
  <c r="M7" i="68"/>
  <c r="F50"/>
  <c r="C6"/>
  <c r="C5" s="1"/>
  <c r="F71"/>
  <c r="M6" i="1"/>
  <c r="C15" i="43" s="1"/>
  <c r="Q74" i="68"/>
  <c r="Q61"/>
  <c r="L56"/>
  <c r="I54"/>
  <c r="L58"/>
  <c r="J57"/>
  <c r="J55" s="1"/>
  <c r="J58" s="1"/>
  <c r="Q50" s="1"/>
  <c r="AP6" i="1"/>
  <c r="G6"/>
  <c r="G16" s="1"/>
  <c r="J12" i="40" s="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Q72"/>
  <c r="M7"/>
  <c r="F49"/>
  <c r="L56"/>
  <c r="J57"/>
  <c r="J55" s="1"/>
  <c r="J58" s="1"/>
  <c r="Q51" s="1"/>
  <c r="G66" i="36"/>
  <c r="J18"/>
  <c r="AE8" i="1"/>
  <c r="AE7"/>
  <c r="AE6"/>
  <c r="C15" i="12"/>
  <c r="M17" i="15"/>
  <c r="F31"/>
  <c r="F33" i="44"/>
  <c r="M19"/>
  <c r="F58" i="15"/>
  <c r="F13"/>
  <c r="F59" i="68"/>
  <c r="F36" i="15"/>
  <c r="F40"/>
  <c r="F41" i="68"/>
  <c r="F38" i="15"/>
  <c r="F8"/>
  <c r="C18" i="44"/>
  <c r="C16" i="15"/>
  <c r="M9"/>
  <c r="M8"/>
  <c r="F6"/>
  <c r="M28"/>
  <c r="M17" i="68"/>
  <c r="M29" i="15"/>
  <c r="M6"/>
  <c r="M27"/>
  <c r="F41"/>
  <c r="C16" i="68"/>
  <c r="F26" i="15"/>
  <c r="F43"/>
  <c r="F46" i="44"/>
  <c r="C6" i="15" l="1"/>
  <c r="C27"/>
  <c r="F70"/>
  <c r="F65"/>
  <c r="F63"/>
  <c r="F50"/>
  <c r="F67"/>
  <c r="H33" i="21"/>
  <c r="J33"/>
  <c r="F33"/>
  <c r="B9" i="63"/>
  <c r="C38" i="68"/>
  <c r="C32"/>
  <c r="J6"/>
  <c r="J5" s="1"/>
  <c r="C49"/>
  <c r="C48" s="1"/>
  <c r="Q60"/>
  <c r="Q73"/>
  <c r="F69"/>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62" i="40"/>
  <c r="E67" i="39"/>
  <c r="E66"/>
  <c r="E61" i="40"/>
  <c r="E37" i="46"/>
  <c r="G35"/>
  <c r="I35" s="1"/>
  <c r="E38"/>
  <c r="G36"/>
  <c r="I36" s="1"/>
  <c r="E33"/>
  <c r="C30"/>
  <c r="E30" s="1"/>
  <c r="G34"/>
  <c r="I34" s="1"/>
  <c r="B21" i="55"/>
  <c r="B72" i="63" s="1"/>
  <c r="B20" i="55"/>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C20" i="11"/>
  <c r="C21" s="1"/>
  <c r="C22" s="1"/>
  <c r="C23" s="1"/>
  <c r="B2" s="1"/>
  <c r="AC12" i="40"/>
  <c r="W12"/>
  <c r="E46" i="37"/>
  <c r="F46" s="1"/>
  <c r="C48" i="33"/>
  <c r="C49"/>
  <c r="B3" s="1"/>
  <c r="B2" s="1"/>
  <c r="D21" i="12"/>
  <c r="F33"/>
  <c r="L52" i="44"/>
  <c r="F7" i="67"/>
  <c r="M27" i="68"/>
  <c r="AB12" i="39" l="1"/>
  <c r="L19" i="6"/>
  <c r="AA33" i="21"/>
  <c r="S33"/>
  <c r="U33"/>
  <c r="AB33"/>
  <c r="W33"/>
  <c r="AC33"/>
  <c r="B70" i="63"/>
  <c r="K15" i="1"/>
  <c r="E30" i="6"/>
  <c r="E31" s="1"/>
  <c r="C34" i="12"/>
  <c r="D33" s="1"/>
  <c r="C21"/>
  <c r="J26" i="68"/>
  <c r="J29" s="1"/>
  <c r="J18"/>
  <c r="J24"/>
  <c r="C60"/>
  <c r="C66"/>
  <c r="S5" i="46"/>
  <c r="T5" s="1"/>
  <c r="V5" s="1"/>
  <c r="S2"/>
  <c r="T2" s="1"/>
  <c r="V2" s="1"/>
  <c r="S3"/>
  <c r="T3" s="1"/>
  <c r="V3" s="1"/>
  <c r="S6"/>
  <c r="T6" s="1"/>
  <c r="V6" s="1"/>
  <c r="S7"/>
  <c r="T7" s="1"/>
  <c r="V7" s="1"/>
  <c r="S4"/>
  <c r="T4" s="1"/>
  <c r="V4"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7" i="68"/>
  <c r="C14"/>
  <c r="C19" i="44"/>
  <c r="C17" i="15"/>
  <c r="E7" i="67"/>
  <c r="C15" i="68" l="1"/>
  <c r="C1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B7" i="67"/>
  <c r="C19" i="68" l="1"/>
  <c r="C20" s="1"/>
  <c r="E68" i="39"/>
  <c r="E63" i="40"/>
  <c r="B2" i="67"/>
  <c r="B4" i="46"/>
  <c r="B3"/>
  <c r="T10" i="1"/>
  <c r="T9"/>
  <c r="T6"/>
  <c r="T11"/>
  <c r="T8"/>
  <c r="T12"/>
  <c r="O16"/>
  <c r="P14"/>
  <c r="P16" s="1"/>
  <c r="C13" i="43"/>
  <c r="L16" i="1"/>
  <c r="N16"/>
  <c r="C29" i="43"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3" i="12"/>
  <c r="D22"/>
  <c r="C14" i="15"/>
  <c r="C16" i="44"/>
  <c r="B2" i="21" l="1"/>
  <c r="C10" i="12" s="1"/>
  <c r="C6" s="1"/>
  <c r="C8"/>
  <c r="C22"/>
  <c r="C20" s="1"/>
  <c r="C26" i="68"/>
  <c r="C23"/>
  <c r="J59"/>
  <c r="J6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1"/>
  <c r="F37" i="44"/>
  <c r="M21" i="68"/>
  <c r="F35"/>
  <c r="F35" i="15"/>
  <c r="M23" i="44"/>
  <c r="C29" i="12" l="1"/>
  <c r="C24"/>
  <c r="C29" i="68"/>
  <c r="C36" s="1"/>
  <c r="Q48"/>
  <c r="J20"/>
  <c r="F63"/>
  <c r="C62" s="1"/>
  <c r="C34"/>
  <c r="C21" i="44"/>
  <c r="C22" s="1"/>
  <c r="C25" s="1"/>
  <c r="C19" i="15"/>
  <c r="C20" s="1"/>
  <c r="C23" s="1"/>
  <c r="J20"/>
  <c r="C36" i="44"/>
  <c r="C34" i="15"/>
  <c r="F62"/>
  <c r="C61" s="1"/>
  <c r="J22" i="44"/>
  <c r="C18" i="12"/>
  <c r="R16" i="1"/>
  <c r="D31" i="6"/>
  <c r="I6" s="1"/>
  <c r="R27"/>
  <c r="C18" i="43"/>
  <c r="K70" i="39"/>
  <c r="J72"/>
  <c r="K65" i="40"/>
  <c r="J67"/>
  <c r="C65" i="15"/>
  <c r="C59"/>
  <c r="C13" i="68" l="1"/>
  <c r="Q70" s="1"/>
  <c r="C57"/>
  <c r="J19"/>
  <c r="C33"/>
  <c r="C31" s="1"/>
  <c r="J17"/>
  <c r="J14"/>
  <c r="Q49"/>
  <c r="C28" i="44"/>
  <c r="C31" s="1"/>
  <c r="C35" s="1"/>
  <c r="I5" i="6"/>
  <c r="C26" i="15"/>
  <c r="C29" s="1"/>
  <c r="J59" s="1"/>
  <c r="J60" s="1"/>
  <c r="Q49" s="1"/>
  <c r="C23" i="12"/>
  <c r="C35" s="1"/>
  <c r="C33" s="1"/>
  <c r="C19" i="43"/>
  <c r="C22" s="1"/>
  <c r="C21" s="1"/>
  <c r="K67" i="40"/>
  <c r="L65"/>
  <c r="K72" i="39"/>
  <c r="L70"/>
  <c r="C75" i="68" l="1"/>
  <c r="C37"/>
  <c r="C56"/>
  <c r="C65" s="1"/>
  <c r="C30"/>
  <c r="C39" s="1"/>
  <c r="Q69" s="1"/>
  <c r="Q68" s="1"/>
  <c r="J22"/>
  <c r="J13"/>
  <c r="J23" s="1"/>
  <c r="C61"/>
  <c r="C59" s="1"/>
  <c r="C64"/>
  <c r="C33" i="44"/>
  <c r="J21"/>
  <c r="J19" s="1"/>
  <c r="Q51"/>
  <c r="C15"/>
  <c r="C38"/>
  <c r="J16"/>
  <c r="J15" s="1"/>
  <c r="J25" s="1"/>
  <c r="J19" i="15"/>
  <c r="J17" s="1"/>
  <c r="J14"/>
  <c r="J22" s="1"/>
  <c r="C56"/>
  <c r="C63" s="1"/>
  <c r="Q50"/>
  <c r="C13"/>
  <c r="J35" s="1"/>
  <c r="C36"/>
  <c r="C28" i="12"/>
  <c r="C26" s="1"/>
  <c r="C25" i="43"/>
  <c r="C24" s="1"/>
  <c r="C28" s="1"/>
  <c r="C30" s="1"/>
  <c r="L72" i="39"/>
  <c r="M70"/>
  <c r="M65" i="40"/>
  <c r="L67"/>
  <c r="C33" i="15"/>
  <c r="L51" i="68"/>
  <c r="J16" l="1"/>
  <c r="J25" s="1"/>
  <c r="C80"/>
  <c r="C79" s="1"/>
  <c r="C40"/>
  <c r="Q67"/>
  <c r="L57"/>
  <c r="L60" s="1"/>
  <c r="C58"/>
  <c r="C67" s="1"/>
  <c r="C68" s="1"/>
  <c r="J24" i="44"/>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Q47" i="68" l="1"/>
  <c r="Q53" s="1"/>
  <c r="Q56"/>
  <c r="Q65"/>
  <c r="C83"/>
  <c r="C82" s="1"/>
  <c r="C43"/>
  <c r="L46"/>
  <c r="D2" s="1"/>
  <c r="Q57"/>
  <c r="Q66"/>
  <c r="C71"/>
  <c r="C45"/>
  <c r="C46" s="1"/>
  <c r="C44" i="44"/>
  <c r="C45" s="1"/>
  <c r="B2" s="1"/>
  <c r="B4" s="1"/>
  <c r="C30" i="15"/>
  <c r="C39" s="1"/>
  <c r="C58"/>
  <c r="Q70" i="44"/>
  <c r="Q49"/>
  <c r="Q55" s="1"/>
  <c r="Q58"/>
  <c r="Q64" s="1"/>
  <c r="C57" i="15"/>
  <c r="C66" s="1"/>
  <c r="C67" s="1"/>
  <c r="C70" s="1"/>
  <c r="Q70"/>
  <c r="Q69" s="1"/>
  <c r="L44" i="9"/>
  <c r="B3" i="43"/>
  <c r="B5"/>
  <c r="B4"/>
  <c r="J9" i="40"/>
  <c r="F9"/>
  <c r="H9"/>
  <c r="J9" i="39"/>
  <c r="H9"/>
  <c r="F9"/>
  <c r="B4" i="12"/>
  <c r="B5"/>
  <c r="B3"/>
  <c r="D20" i="9"/>
  <c r="D21"/>
  <c r="Q62" i="68" l="1"/>
  <c r="Q75"/>
  <c r="B2"/>
  <c r="B3"/>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1" i="9"/>
  <c r="C20"/>
  <c r="G20" l="1"/>
  <c r="G21"/>
  <c r="C45"/>
  <c r="H14" i="66" s="1"/>
  <c r="B7" s="1"/>
  <c r="G22" i="9"/>
  <c r="N43"/>
  <c r="D7" i="66" l="1"/>
  <c r="C7"/>
  <c r="C42" i="9"/>
  <c r="O38"/>
  <c r="K25" s="1"/>
  <c r="C34"/>
  <c r="C33"/>
  <c r="O43"/>
  <c r="C35"/>
  <c r="F42" s="1"/>
  <c r="C44" l="1"/>
  <c r="G14" i="66" s="1"/>
  <c r="B6" s="1"/>
  <c r="D14"/>
  <c r="F14" s="1"/>
  <c r="R5" i="54"/>
  <c r="M38" i="9"/>
  <c r="K27" s="1"/>
  <c r="E42"/>
  <c r="N68"/>
  <c r="D63"/>
  <c r="C111" s="1"/>
  <c r="N38"/>
  <c r="K28" s="1"/>
  <c r="D42"/>
  <c r="K26"/>
  <c r="D45"/>
  <c r="E45"/>
  <c r="O40"/>
  <c r="F45"/>
  <c r="B48" i="63" l="1"/>
  <c r="C96" i="9"/>
  <c r="C91" s="1"/>
  <c r="C103"/>
  <c r="D71"/>
  <c r="D66" s="1"/>
  <c r="N72" s="1"/>
  <c r="C90"/>
  <c r="D77"/>
  <c r="N75" s="1"/>
  <c r="D70"/>
  <c r="E14" i="66"/>
  <c r="B5"/>
  <c r="C5" s="1"/>
  <c r="D6"/>
  <c r="C6"/>
  <c r="K31" i="9"/>
  <c r="K32" s="1"/>
  <c r="R7" i="54"/>
  <c r="B52" i="63" s="1"/>
  <c r="Q5" i="54"/>
  <c r="P5"/>
  <c r="N69" i="9"/>
  <c r="O39"/>
  <c r="K29" s="1"/>
  <c r="D44"/>
  <c r="E44"/>
  <c r="F44"/>
  <c r="C82"/>
  <c r="C104"/>
  <c r="B47" i="63" l="1"/>
  <c r="B46"/>
  <c r="C81" i="9"/>
  <c r="C85" s="1"/>
  <c r="C86" s="1"/>
  <c r="D72" s="1"/>
  <c r="M86"/>
  <c r="N86" s="1"/>
  <c r="M84"/>
  <c r="N84" s="1"/>
  <c r="M88"/>
  <c r="N88" s="1"/>
  <c r="M87"/>
  <c r="N87" s="1"/>
  <c r="M85"/>
  <c r="N85" s="1"/>
  <c r="M83"/>
  <c r="N83" s="1"/>
  <c r="D5" i="66"/>
  <c r="K30" i="9"/>
  <c r="R6" i="54"/>
  <c r="C113" i="9"/>
  <c r="C114" s="1"/>
  <c r="E114" s="1"/>
  <c r="E115" s="1"/>
  <c r="C97"/>
  <c r="C98" s="1"/>
  <c r="E98" s="1"/>
  <c r="E99" s="1"/>
  <c r="B50" i="63" l="1"/>
  <c r="N89" i="9"/>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<sst xmlns="http://schemas.openxmlformats.org/spreadsheetml/2006/main" count="7538" uniqueCount="3383">
  <si>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</si>
  <si>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</si>
  <si>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</si>
  <si>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</si>
  <si>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</si>
  <si>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</si>
  <si>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</si>
  <si>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</si>
  <si>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</si>
  <si>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</si>
  <si>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</si>
  <si>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</si>
  <si>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</si>
  <si>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</si>
  <si>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</si>
  <si>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</si>
  <si>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</si>
  <si>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</si>
  <si>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</si>
  <si>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</si>
  <si>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</si>
  <si>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</si>
  <si>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</si>
  <si>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</si>
  <si>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</si>
  <si>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</si>
  <si>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</si>
  <si>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</si>
  <si>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</si>
  <si>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</si>
  <si>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</si>
  <si>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</si>
  <si>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</si>
  <si>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</si>
  <si>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</si>
  <si>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</si>
  <si>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</si>
  <si>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</si>
  <si>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</si>
  <si>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</si>
  <si>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</si>
  <si>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</si>
  <si>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</si>
  <si>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</si>
  <si>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</si>
  <si>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</si>
  <si>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</si>
  <si>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</si>
  <si>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</si>
  <si>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</si>
  <si>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</si>
  <si>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</si>
  <si>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</si>
  <si>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</si>
  <si>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</si>
  <si>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</si>
  <si>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</si>
  <si>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</si>
  <si>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</si>
  <si>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</si>
  <si>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</si>
  <si>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</si>
  <si>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</si>
  <si>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</si>
  <si>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</si>
  <si>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</si>
  <si>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</si>
  <si>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</si>
  <si>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</si>
  <si>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</si>
  <si>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</si>
  <si>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</si>
  <si>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</si>
  <si>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</si>
  <si>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</si>
  <si>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</si>
  <si>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</si>
  <si>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</si>
  <si>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</si>
  <si>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</si>
  <si>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</si>
  <si>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</si>
  <si>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</si>
  <si>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</si>
  <si>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</si>
  <si>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</si>
  <si>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</si>
  <si>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</si>
  <si>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</si>
  <si>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</si>
  <si>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</si>
  <si>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</si>
  <si>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</si>
  <si>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</si>
  <si>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</si>
  <si>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</si>
  <si>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</si>
  <si>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</si>
  <si>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</si>
  <si>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</si>
  <si>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</si>
  <si>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</si>
  <si>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</si>
  <si>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</si>
  <si>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</si>
  <si>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</si>
  <si>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</si>
  <si>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</si>
  <si>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</si>
  <si>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</si>
  <si>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</si>
  <si>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</si>
  <si>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</si>
  <si>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</si>
  <si>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</si>
  <si>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</si>
  <si>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</si>
  <si>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</si>
  <si>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</si>
  <si>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</si>
  <si>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</si>
  <si>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</si>
  <si>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</si>
  <si>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</si>
  <si>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</si>
  <si>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</si>
  <si>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</si>
  <si>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</si>
  <si>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</si>
  <si>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</si>
  <si>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</si>
  <si>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</si>
  <si>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</si>
  <si>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</si>
  <si>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</si>
  <si>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</si>
  <si>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</si>
  <si>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</si>
  <si>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</si>
  <si>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</si>
  <si>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</si>
  <si>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</si>
  <si>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</si>
  <si>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</si>
  <si>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</si>
  <si>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</si>
  <si>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</si>
  <si>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</si>
  <si>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</si>
  <si>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</si>
  <si>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</si>
  <si>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</si>
  <si>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</si>
  <si>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</si>
  <si>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</si>
  <si>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</si>
  <si>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</si>
  <si>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</si>
  <si>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</si>
  <si>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</si>
  <si>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</si>
  <si>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</si>
  <si>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</si>
  <si>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</si>
  <si>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</si>
  <si>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</si>
  <si>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</si>
  <si>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</si>
  <si>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</si>
  <si>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</si>
  <si>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</si>
  <si>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</si>
  <si>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</si>
  <si>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</si>
  <si>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</si>
  <si>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</si>
  <si>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</si>
  <si>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</si>
  <si>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</si>
  <si>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</si>
  <si>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</si>
  <si>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</si>
  <si>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</si>
  <si>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</si>
  <si>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</si>
  <si>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</si>
  <si>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</si>
  <si>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</si>
  <si>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</si>
  <si>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</si>
  <si>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</si>
  <si>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</si>
  <si>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</si>
  <si>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</si>
  <si>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</si>
  <si>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</si>
  <si>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</si>
  <si>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</si>
  <si>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</si>
  <si>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</si>
  <si>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</si>
  <si>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</si>
  <si>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</si>
  <si>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</si>
  <si>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</si>
  <si>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</si>
  <si>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</si>
  <si>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</si>
  <si>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</si>
  <si>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</si>
  <si>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</si>
  <si>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</si>
  <si>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</si>
  <si>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</si>
  <si>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</si>
  <si>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</si>
  <si>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</si>
  <si>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</si>
  <si>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</si>
  <si>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</si>
  <si>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</si>
  <si>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</si>
  <si>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</si>
  <si>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</si>
  <si>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</si>
  <si>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</si>
  <si>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</si>
  <si>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</si>
  <si>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</si>
  <si>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</si>
  <si>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</si>
  <si>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</si>
  <si>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</si>
  <si>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</si>
  <si>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</si>
  <si>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</si>
  <si>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</si>
  <si>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</si>
  <si>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</si>
  <si>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</si>
  <si>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</si>
  <si>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</si>
  <si>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</si>
  <si>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</si>
  <si>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</si>
  <si>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</si>
  <si>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</si>
  <si>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</si>
  <si>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</si>
  <si>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</si>
  <si>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</si>
  <si>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</si>
  <si>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</si>
  <si>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</si>
  <si>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</si>
  <si>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</si>
  <si>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</si>
  <si>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</si>
  <si>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</si>
  <si>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</si>
  <si>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</si>
  <si>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</si>
  <si>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</si>
  <si>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</si>
  <si>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</si>
  <si>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</si>
  <si>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</si>
  <si>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</si>
  <si>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</si>
  <si>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</si>
  <si>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</si>
  <si>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</si>
  <si>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</si>
  <si>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</si>
  <si>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</si>
  <si>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</si>
  <si>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</si>
  <si>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</si>
  <si>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</si>
  <si>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</si>
  <si>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</si>
  <si>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</si>
  <si>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</si>
  <si>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</si>
  <si>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</si>
  <si>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</si>
  <si>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</si>
  <si>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</si>
  <si>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</si>
  <si>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</si>
  <si>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</si>
  <si>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</si>
  <si>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</si>
  <si>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</si>
  <si>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</si>
  <si>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</si>
  <si>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</si>
  <si>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</si>
  <si>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</si>
  <si>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</si>
  <si>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</si>
  <si>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</si>
  <si>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</si>
  <si>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</si>
  <si>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</si>
  <si>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</si>
  <si>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</si>
  <si>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</si>
  <si>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</si>
  <si>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</si>
  <si>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</si>
  <si>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</si>
  <si>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</si>
  <si>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</si>
  <si>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</si>
  <si>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</si>
  <si>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</si>
  <si>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</si>
  <si>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</si>
  <si>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</si>
  <si>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</si>
  <si>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</si>
  <si>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</si>
  <si>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</si>
  <si>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</si>
  <si>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</si>
  <si>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</si>
  <si>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</si>
  <si>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</si>
  <si>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</si>
  <si>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</si>
  <si>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</si>
  <si>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</si>
  <si>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</si>
  <si>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</si>
  <si>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</si>
  <si>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</si>
  <si>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</si>
  <si>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</si>
  <si>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</si>
  <si>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</si>
  <si>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</si>
  <si>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</si>
  <si>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</si>
  <si>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</si>
  <si>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</si>
  <si>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</si>
  <si>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</si>
  <si>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</si>
  <si>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</si>
  <si>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</si>
  <si>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</si>
  <si>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</si>
  <si>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</si>
  <si>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</si>
  <si>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</si>
  <si>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</si>
  <si>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</si>
  <si>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</si>
  <si>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</si>
  <si>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</si>
  <si>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</si>
  <si>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</si>
  <si>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</si>
  <si>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</si>
  <si>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</si>
  <si>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</si>
  <si>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</si>
  <si>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</si>
  <si>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</si>
  <si>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</si>
  <si>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</si>
  <si>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</si>
  <si>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</si>
  <si>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</si>
  <si>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</si>
  <si>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</si>
  <si>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</si>
  <si>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</si>
  <si>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</si>
  <si>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</si>
  <si>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</si>
  <si>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</si>
  <si>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</si>
  <si>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</si>
  <si>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</si>
  <si>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</si>
  <si>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</si>
  <si>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</si>
  <si>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</si>
  <si>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</si>
  <si>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</si>
  <si>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</si>
  <si>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</si>
  <si>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</si>
  <si>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</si>
  <si>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</si>
  <si>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</si>
  <si>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</si>
  <si>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</si>
  <si>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</si>
  <si>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</si>
  <si>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</si>
  <si>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</si>
  <si>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</si>
  <si>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</si>
  <si>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</si>
  <si>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</si>
  <si>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</si>
  <si>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</si>
  <si>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</si>
  <si>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</si>
  <si>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</si>
  <si>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</si>
  <si>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</si>
  <si>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</si>
  <si>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</si>
  <si>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</si>
  <si>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</si>
  <si>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</si>
  <si>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</si>
  <si>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</si>
  <si>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</si>
  <si>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</si>
  <si>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</si>
  <si>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</si>
  <si>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</si>
  <si>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</si>
  <si>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</si>
  <si>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</si>
  <si>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</si>
  <si>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</si>
  <si>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</si>
  <si>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</si>
  <si>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</si>
  <si>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</si>
  <si>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</si>
  <si>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</si>
  <si>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</si>
  <si>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</si>
  <si>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</si>
  <si>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</si>
  <si>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</si>
  <si>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</si>
  <si>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</si>
  <si>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</si>
  <si>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</si>
  <si>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</si>
  <si>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</si>
  <si>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</si>
  <si>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</si>
  <si>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</si>
  <si>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</si>
  <si>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</si>
  <si>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</si>
  <si>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</si>
  <si>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</si>
  <si>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</si>
  <si>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</si>
  <si>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</si>
  <si>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</si>
  <si>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</si>
  <si>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</si>
  <si>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</si>
  <si>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</si>
  <si>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</si>
  <si>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</si>
  <si>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</si>
  <si>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</si>
  <si>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</si>
  <si>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</si>
  <si>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</si>
  <si>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</si>
  <si>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</si>
  <si>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</si>
  <si>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</si>
  <si>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</si>
  <si>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</si>
  <si>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</si>
  <si>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</si>
  <si>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</si>
  <si>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</si>
  <si>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</si>
  <si>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</si>
  <si>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</si>
  <si>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</si>
  <si>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</si>
  <si>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</si>
  <si>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</si>
  <si>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</si>
  <si>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</si>
  <si>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</si>
  <si>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</si>
  <si>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</si>
  <si>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</si>
  <si>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</si>
  <si>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</si>
  <si>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</si>
  <si>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</si>
  <si>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</si>
  <si>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</si>
  <si>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</si>
  <si>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</si>
  <si>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</si>
  <si>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</si>
  <si>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</si>
  <si>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</si>
  <si>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</si>
  <si>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</si>
  <si>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</si>
  <si>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</si>
  <si>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</si>
  <si>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</si>
  <si>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</si>
  <si>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</si>
  <si>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</si>
  <si>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</si>
  <si>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</si>
  <si>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</si>
  <si>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</si>
  <si>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</si>
  <si>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</si>
  <si>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</si>
  <si>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</si>
  <si>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</si>
  <si>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</si>
  <si>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</si>
  <si>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</si>
  <si>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</si>
  <si>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</si>
  <si>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</si>
  <si>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</si>
  <si>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</si>
  <si>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</si>
  <si>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</si>
  <si>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</si>
  <si>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</si>
  <si>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</si>
  <si>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</si>
  <si>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</si>
  <si>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</si>
  <si>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</si>
  <si>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</si>
  <si>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</si>
  <si>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</si>
  <si>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</si>
  <si>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</si>
  <si>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</si>
  <si>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</si>
  <si>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</si>
  <si>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</si>
  <si>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</si>
  <si>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</si>
  <si>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</si>
  <si>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</si>
  <si>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</si>
  <si>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</si>
  <si>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</si>
  <si>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</si>
  <si>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</si>
  <si>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</si>
  <si>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</si>
  <si>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</si>
  <si>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</si>
  <si>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</si>
  <si>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</si>
  <si>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</si>
  <si>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</si>
  <si>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</si>
  <si>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</si>
  <si>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</si>
  <si>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</si>
  <si>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</si>
  <si>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</si>
  <si>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</si>
  <si>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</si>
  <si>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</si>
  <si>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</si>
  <si>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</si>
  <si>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</si>
  <si>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</si>
  <si>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</si>
  <si>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</si>
  <si>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</si>
  <si>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</si>
  <si>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</si>
  <si>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</si>
  <si>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</si>
  <si>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</si>
  <si>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</si>
  <si>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</si>
  <si>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</si>
  <si>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</si>
  <si>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</si>
  <si>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</si>
  <si>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</si>
  <si>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</si>
  <si>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</si>
  <si>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</si>
  <si>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</si>
  <si>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</si>
  <si>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</si>
  <si>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</si>
  <si>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</si>
  <si>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</si>
  <si>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</si>
  <si>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</si>
  <si>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</si>
  <si>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</si>
  <si>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</si>
  <si>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</si>
  <si>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</si>
  <si>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</si>
  <si>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</si>
  <si>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</si>
  <si>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</si>
  <si>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</si>
  <si>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</si>
  <si>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</si>
  <si>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</si>
  <si>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</si>
  <si>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</si>
  <si>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</si>
  <si>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</si>
  <si>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</si>
  <si>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</si>
  <si>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</si>
  <si>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</si>
  <si>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</si>
  <si>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</si>
  <si>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</si>
  <si>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</si>
  <si>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</si>
  <si>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</si>
  <si>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</si>
  <si>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</si>
  <si>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</si>
  <si>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</si>
  <si>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</si>
  <si>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</si>
  <si>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</si>
  <si>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</si>
  <si>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</si>
  <si>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</si>
  <si>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</si>
  <si>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</si>
  <si>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</si>
  <si>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</si>
  <si>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</si>
  <si>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</si>
  <si>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</si>
  <si>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</si>
  <si>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</si>
  <si>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</si>
  <si>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</si>
  <si>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</si>
  <si>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</si>
  <si>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</si>
  <si>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</si>
  <si>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</si>
  <si>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</si>
  <si>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</si>
  <si>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</si>
  <si>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</si>
  <si>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</si>
  <si>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</si>
  <si>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</si>
  <si>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</si>
  <si>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</si>
  <si>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</si>
  <si>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</si>
  <si>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</si>
  <si>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</si>
  <si>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</si>
  <si>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</si>
  <si>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</si>
  <si>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</si>
  <si>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</si>
  <si>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</si>
  <si>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</si>
  <si>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</si>
  <si>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</si>
  <si>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</si>
  <si>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</si>
  <si>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</si>
  <si>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</si>
  <si>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</si>
  <si>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</si>
  <si>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</si>
  <si>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</si>
  <si>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</si>
  <si>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</si>
  <si>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</si>
  <si>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</si>
  <si>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</si>
  <si>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</si>
  <si>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</si>
  <si>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</si>
  <si>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</si>
  <si>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</si>
  <si>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</si>
  <si>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</si>
  <si>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</si>
  <si>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</si>
  <si>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</si>
  <si>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</si>
  <si>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</si>
  <si>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</si>
  <si>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</si>
  <si>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</si>
  <si>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</si>
  <si>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</si>
  <si>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</si>
  <si>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</si>
  <si>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</si>
  <si>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</si>
  <si>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</si>
  <si>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</si>
  <si>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</si>
  <si>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</si>
  <si>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</si>
  <si>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</si>
  <si>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</si>
  <si>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</si>
  <si>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</si>
  <si>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</si>
  <si>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</si>
  <si>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</si>
  <si>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</si>
  <si>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</si>
  <si>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</si>
  <si>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</si>
  <si>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</si>
  <si>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</si>
  <si>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</si>
  <si>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</si>
  <si>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</si>
  <si>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</si>
  <si>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</si>
  <si>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</si>
  <si>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</si>
  <si>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</si>
  <si>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</si>
  <si>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</si>
  <si>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</si>
  <si>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</si>
  <si>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</si>
  <si>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</si>
  <si>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</si>
  <si>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</si>
  <si>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</si>
  <si>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</si>
  <si>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</si>
  <si>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</si>
  <si>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</si>
  <si>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</si>
  <si>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</si>
  <si>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</si>
  <si>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</si>
  <si>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</si>
  <si>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</si>
  <si>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</si>
  <si>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</si>
  <si>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</si>
  <si>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</si>
  <si>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</si>
  <si>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</si>
  <si>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</si>
  <si>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</si>
  <si>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</si>
  <si>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</si>
  <si>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</si>
  <si>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</si>
  <si>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</si>
  <si>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</si>
  <si>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</si>
  <si>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</si>
  <si>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</si>
  <si>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</si>
  <si>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</si>
  <si>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</si>
  <si>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</si>
  <si>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</si>
  <si>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</si>
  <si>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</si>
  <si>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</si>
  <si>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</si>
  <si>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</si>
  <si>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</si>
  <si>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</si>
  <si>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</si>
  <si>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</si>
  <si>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</si>
  <si>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</si>
  <si>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</si>
  <si>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</si>
  <si>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</si>
  <si>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</si>
  <si>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</si>
  <si>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</si>
  <si>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</si>
  <si>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</si>
  <si>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</si>
  <si>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</si>
  <si>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</si>
  <si>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</si>
  <si>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</si>
  <si>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</si>
  <si>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</si>
  <si>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</si>
  <si>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</si>
  <si>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</si>
  <si>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</si>
  <si>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</si>
  <si>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</si>
  <si>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</si>
  <si>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</si>
  <si>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</si>
  <si>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</si>
  <si>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</si>
  <si>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</si>
  <si>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</si>
  <si>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</si>
  <si>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</si>
  <si>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</si>
  <si>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</si>
  <si>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</si>
  <si>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</si>
  <si>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</si>
  <si>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</si>
  <si>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</si>
  <si>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</si>
  <si>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</si>
  <si>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</si>
  <si>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</si>
  <si>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</si>
  <si>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</si>
  <si>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</si>
  <si>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</si>
  <si>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</si>
  <si>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</si>
  <si>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</si>
  <si>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</si>
  <si>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</si>
  <si>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</si>
  <si>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</si>
  <si>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</si>
  <si>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</si>
  <si>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</si>
  <si>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</si>
  <si>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</si>
  <si>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</si>
  <si>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</si>
  <si>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</si>
  <si>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</si>
  <si>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</si>
  <si>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</si>
  <si>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</si>
  <si>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</si>
  <si>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</si>
  <si>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</si>
  <si>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</si>
  <si>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</si>
  <si>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</si>
  <si>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</si>
  <si>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</si>
  <si>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</si>
  <si>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</si>
  <si>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</si>
  <si>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</si>
  <si>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</si>
  <si>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</si>
  <si>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</si>
  <si>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</si>
  <si>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</si>
  <si>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</si>
  <si>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</si>
  <si>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</si>
  <si>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</si>
  <si>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</si>
  <si>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</si>
  <si>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</si>
  <si>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</si>
  <si>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</si>
  <si>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</si>
  <si>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</si>
  <si>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</si>
  <si>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</si>
  <si>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</si>
  <si>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</si>
  <si>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</si>
  <si>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</si>
  <si>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</si>
  <si>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</si>
  <si>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</si>
  <si>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</si>
  <si>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</si>
  <si>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</si>
  <si>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</si>
  <si>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</si>
  <si>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</si>
  <si>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</si>
  <si>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</si>
  <si>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</si>
  <si>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</si>
  <si>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</si>
  <si>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</si>
  <si>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</si>
  <si>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</si>
  <si>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</si>
  <si>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</si>
  <si>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</si>
  <si>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</si>
  <si>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</si>
  <si>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</si>
  <si>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</si>
  <si>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</si>
  <si>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</si>
  <si>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</si>
  <si>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</si>
  <si>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</si>
  <si>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</si>
  <si>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</si>
  <si>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</si>
  <si>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</si>
  <si>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</si>
  <si>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</si>
  <si>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</si>
  <si>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</si>
  <si>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</si>
  <si>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</si>
  <si>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</si>
  <si>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</si>
  <si>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</si>
  <si>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</si>
  <si>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</si>
  <si>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</si>
  <si>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</si>
  <si>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</si>
  <si>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</si>
  <si>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</si>
  <si>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</si>
  <si>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</si>
  <si>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</si>
  <si>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</si>
  <si>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</si>
  <si>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</si>
  <si>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</si>
  <si>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</si>
  <si>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</si>
  <si>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</si>
  <si>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</si>
  <si>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</si>
  <si>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</si>
  <si>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</si>
  <si>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</si>
  <si>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</si>
  <si>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</si>
  <si>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</si>
  <si>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</si>
  <si>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</si>
  <si>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</si>
  <si>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</si>
  <si>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</si>
  <si>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</si>
  <si>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</si>
  <si>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</si>
  <si>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</si>
  <si>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</si>
  <si>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</si>
  <si>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</si>
  <si>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</si>
  <si>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</si>
  <si>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</si>
  <si>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</si>
  <si>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</si>
  <si>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</si>
  <si>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</si>
  <si>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</si>
  <si>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</si>
  <si>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</si>
  <si>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</si>
  <si>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</si>
  <si>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</si>
  <si>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</si>
  <si>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</si>
  <si>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</si>
  <si>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</si>
  <si>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</si>
  <si>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</si>
  <si>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</si>
  <si>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</si>
  <si>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</si>
  <si>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</si>
  <si>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</si>
  <si>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</si>
  <si>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</si>
  <si>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</si>
  <si>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</si>
  <si>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</si>
  <si>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</si>
  <si>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</si>
  <si>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</si>
  <si>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</si>
  <si>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</si>
  <si>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</si>
  <si>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</si>
  <si>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</si>
  <si>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</si>
  <si>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</si>
  <si>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</si>
  <si>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</si>
  <si>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</si>
  <si>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</si>
  <si>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</si>
  <si>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</si>
  <si>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</si>
  <si>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</si>
  <si>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</si>
  <si>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</si>
  <si>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</si>
  <si>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</si>
  <si>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</si>
  <si>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</si>
  <si>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</si>
  <si>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</si>
  <si>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</si>
  <si>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</si>
  <si>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</si>
  <si>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</si>
  <si>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</si>
  <si>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</si>
  <si>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</si>
  <si>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</si>
  <si>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</si>
  <si>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</si>
  <si>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</si>
  <si>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</si>
  <si>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</si>
  <si>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</si>
  <si>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</si>
  <si>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</si>
  <si>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</si>
  <si>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</si>
  <si>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</si>
  <si>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</si>
  <si>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</si>
  <si>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</si>
  <si>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</si>
  <si>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</si>
  <si>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</si>
  <si>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</si>
  <si>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</si>
  <si>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</si>
  <si>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</si>
  <si>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</si>
  <si>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</si>
  <si>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</si>
  <si>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</si>
  <si>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</si>
  <si>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</si>
  <si>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</si>
  <si>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</si>
  <si>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</si>
  <si>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</si>
  <si>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</si>
  <si>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</si>
  <si>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</si>
  <si>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</si>
  <si>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</si>
  <si>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</si>
  <si>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</si>
  <si>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</si>
  <si>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</si>
  <si>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</si>
  <si>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</si>
  <si>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</si>
  <si>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</si>
  <si>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</si>
  <si>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</si>
  <si>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</si>
  <si>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</si>
  <si>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</si>
  <si>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</si>
  <si>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</si>
  <si>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</si>
  <si>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</si>
  <si>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</si>
  <si>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</si>
  <si>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</si>
  <si>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</si>
  <si>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</si>
  <si>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</si>
  <si>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</si>
  <si>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</si>
  <si>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</si>
  <si>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</si>
  <si>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</si>
  <si>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</si>
  <si>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</si>
  <si>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</si>
  <si>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</si>
  <si>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</si>
  <si>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</si>
  <si>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</si>
  <si>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</si>
  <si>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</si>
  <si>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</si>
  <si>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</si>
  <si>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</si>
  <si>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</si>
  <si>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</si>
  <si>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</si>
  <si>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</si>
  <si>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</si>
  <si>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</si>
  <si>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</si>
  <si>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</si>
  <si>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</si>
  <si>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</si>
  <si>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</si>
  <si>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</si>
  <si>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</si>
  <si>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</si>
  <si>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</si>
  <si>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</si>
  <si>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</si>
  <si>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</si>
  <si>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</si>
  <si>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</si>
  <si>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</si>
  <si>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</si>
  <si>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</si>
  <si>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</si>
  <si>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</si>
  <si>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</si>
  <si>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</si>
  <si>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</si>
  <si>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</si>
  <si>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</si>
  <si>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</si>
  <si>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</si>
  <si>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</si>
  <si>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</si>
  <si>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</si>
  <si>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</si>
  <si>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</si>
  <si>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</si>
  <si>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</si>
  <si>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</si>
  <si>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</si>
  <si>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</si>
  <si>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</si>
  <si>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</si>
  <si>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</si>
  <si>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</si>
  <si>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</si>
  <si>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</si>
  <si>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</si>
  <si>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</si>
  <si>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</si>
  <si>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</si>
  <si>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</si>
  <si>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</si>
  <si>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</si>
  <si>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</si>
  <si>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</si>
  <si>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</si>
  <si>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</si>
  <si>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</si>
  <si>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</si>
  <si>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</si>
  <si>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</si>
  <si>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</si>
  <si>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</si>
  <si>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</si>
  <si>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</si>
  <si>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</si>
  <si>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</si>
  <si>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</si>
  <si>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</si>
  <si>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</si>
  <si>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</si>
  <si>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</si>
  <si>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</si>
  <si>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</si>
  <si>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</si>
  <si>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</si>
  <si>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</si>
  <si>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</si>
  <si>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</si>
  <si>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</si>
  <si>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</si>
  <si>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</si>
  <si>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</si>
  <si>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</si>
  <si>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</si>
  <si>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</si>
  <si>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</si>
  <si>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</si>
  <si>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</si>
  <si>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</si>
  <si>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</si>
  <si>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</si>
  <si>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</si>
  <si>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</si>
  <si>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</si>
  <si>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</si>
  <si>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</si>
  <si>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</si>
  <si>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</si>
  <si>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</si>
  <si>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</si>
  <si>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</si>
  <si>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</si>
  <si>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</si>
  <si>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</si>
  <si>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</si>
  <si>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</si>
  <si>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</si>
  <si>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</si>
  <si>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</si>
  <si>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</si>
  <si>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</si>
  <si>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</si>
  <si>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</si>
  <si>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</si>
  <si>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</si>
  <si>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</si>
  <si>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</si>
  <si>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</si>
  <si>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</si>
  <si>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</si>
  <si>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</si>
  <si>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</si>
  <si>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</si>
  <si>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</si>
  <si>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</si>
  <si>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</si>
  <si>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</si>
  <si>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</si>
  <si>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</si>
  <si>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</si>
  <si>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</si>
  <si>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</si>
  <si>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</si>
  <si>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</si>
  <si>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</si>
  <si>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</si>
  <si>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</si>
  <si>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</si>
  <si>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</si>
  <si>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</si>
  <si>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</si>
  <si>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</si>
  <si>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</si>
  <si>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</si>
  <si>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</si>
  <si>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</si>
  <si>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</si>
  <si>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</si>
  <si>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</si>
  <si>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</si>
  <si>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</si>
  <si>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</si>
  <si>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</si>
  <si>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</si>
  <si>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</si>
  <si>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</si>
  <si>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</si>
  <si>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</si>
  <si>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</si>
  <si>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</si>
  <si>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</si>
  <si>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</si>
  <si>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</si>
  <si>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</si>
  <si>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</si>
  <si>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</si>
  <si>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</si>
  <si>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</si>
  <si>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</si>
  <si>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</si>
  <si>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</si>
  <si>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</si>
  <si>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</si>
  <si>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</si>
  <si>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</si>
  <si>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</si>
  <si>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</si>
  <si>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</si>
  <si>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</si>
  <si>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</si>
  <si>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</si>
  <si>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</si>
  <si>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</si>
  <si>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</si>
  <si>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</si>
  <si>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</si>
  <si>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</si>
  <si>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</si>
  <si>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</si>
  <si>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</si>
  <si>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</si>
  <si>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</si>
  <si>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</si>
  <si>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</si>
  <si>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</si>
  <si>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</si>
  <si>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</si>
  <si>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</si>
  <si>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</si>
  <si>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</si>
  <si>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</si>
  <si>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</si>
  <si>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</si>
  <si>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</si>
  <si>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</si>
  <si>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</si>
  <si>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</si>
  <si>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</si>
  <si>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</si>
  <si>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</si>
  <si>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</si>
  <si>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</si>
  <si>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</si>
  <si>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</si>
  <si>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</si>
  <si>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</si>
  <si>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</si>
  <si>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</si>
  <si>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</si>
  <si>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</si>
  <si>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</si>
  <si>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</si>
  <si>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</si>
  <si>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</si>
  <si>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</si>
  <si>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</si>
  <si>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</si>
  <si>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</si>
  <si>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</si>
  <si>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</si>
  <si>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</si>
  <si>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</si>
  <si>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</si>
  <si>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</si>
  <si>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</si>
  <si>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</si>
  <si>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</si>
  <si>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</si>
  <si>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</si>
  <si>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</si>
  <si>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</si>
  <si>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</si>
  <si>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</si>
  <si>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</si>
  <si>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</si>
  <si>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</si>
  <si>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</si>
  <si>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</si>
  <si>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</si>
  <si>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</si>
  <si>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</si>
  <si>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</si>
  <si>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</si>
  <si>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</si>
  <si>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</si>
  <si>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</si>
  <si>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</si>
  <si>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</si>
  <si>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</si>
  <si>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</si>
  <si>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</si>
  <si>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</si>
  <si>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</si>
  <si>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</si>
  <si>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</si>
  <si>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</si>
  <si>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</si>
  <si>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</si>
  <si>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</si>
  <si>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</si>
  <si>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</si>
  <si>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</si>
  <si>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</si>
  <si>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</si>
  <si>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</si>
  <si>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</si>
  <si>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</si>
  <si>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</si>
  <si>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</si>
  <si>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</si>
  <si>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</si>
  <si>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</si>
  <si>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</si>
  <si>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</si>
  <si>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</si>
  <si>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</si>
  <si>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</si>
  <si>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</si>
  <si>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</si>
  <si>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</si>
  <si>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</si>
  <si>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</si>
  <si>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</si>
  <si>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</si>
  <si>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</si>
  <si>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</si>
  <si>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</si>
  <si>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</si>
  <si>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</si>
  <si>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</si>
  <si>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</si>
  <si>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</si>
  <si>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</si>
  <si>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</si>
  <si>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</si>
  <si>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</si>
  <si>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</si>
  <si>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</si>
  <si>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</si>
  <si>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</si>
  <si>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</si>
  <si>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</si>
  <si>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</si>
  <si>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</si>
  <si>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</si>
  <si>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</si>
  <si>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</si>
  <si>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</si>
  <si>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</si>
  <si>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</si>
  <si>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</si>
  <si>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</si>
  <si>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</si>
  <si>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</si>
  <si>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</si>
  <si>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</si>
  <si>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</si>
  <si>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</si>
  <si>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</si>
  <si>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</si>
  <si>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</si>
  <si>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</si>
  <si>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</si>
  <si>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</si>
  <si>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</si>
  <si>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</si>
  <si>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</si>
  <si>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</si>
  <si>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</si>
  <si>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</si>
  <si>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</si>
  <si>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</si>
  <si>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</si>
  <si>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</si>
  <si>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</si>
  <si>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</si>
  <si>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</si>
  <si>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</si>
  <si>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</si>
  <si>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</si>
  <si>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</si>
  <si>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</si>
  <si>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</si>
  <si>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</si>
  <si>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</si>
  <si>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</si>
  <si>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</si>
  <si>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</si>
  <si>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</si>
  <si>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</si>
  <si>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</si>
  <si>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</si>
  <si>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</si>
  <si>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</si>
  <si>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</si>
  <si>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</si>
  <si>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</si>
  <si>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</si>
  <si>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</si>
  <si>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</si>
  <si>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</si>
  <si>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</si>
  <si>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</si>
  <si>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</si>
  <si>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</si>
  <si>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</si>
  <si>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</si>
  <si>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</si>
  <si>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</si>
  <si>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</si>
  <si>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</si>
  <si>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</si>
  <si>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</si>
  <si>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</si>
  <si>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</si>
  <si>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</si>
  <si>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</si>
  <si>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</si>
  <si>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</si>
  <si>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</si>
  <si>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</si>
  <si>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</si>
  <si>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</si>
  <si>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</si>
  <si>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</si>
  <si>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</si>
  <si>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</si>
  <si>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</si>
  <si>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</si>
  <si>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</si>
  <si>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</si>
  <si>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</si>
  <si>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</si>
  <si>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</si>
  <si>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</si>
  <si>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</si>
  <si>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</si>
  <si>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</si>
  <si>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</si>
  <si>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</si>
  <si>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</si>
  <si>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</si>
  <si>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</si>
  <si>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</si>
  <si>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</si>
  <si>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</si>
  <si>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</si>
  <si>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</si>
  <si>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</si>
  <si>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</si>
  <si>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</si>
  <si>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</si>
  <si>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</si>
  <si>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</si>
  <si>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</si>
  <si>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</si>
  <si>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</si>
  <si>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</si>
  <si>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</si>
  <si>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</si>
  <si>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</si>
  <si>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</si>
  <si>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</si>
  <si>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</si>
  <si>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</si>
  <si>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</si>
  <si>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</si>
  <si>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</si>
  <si>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</si>
  <si>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</si>
  <si>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</si>
  <si>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</si>
  <si>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</si>
  <si>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</si>
  <si>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</si>
  <si>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</si>
  <si>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</si>
  <si>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</si>
  <si>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</si>
  <si>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</si>
  <si>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</si>
  <si>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</si>
  <si>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</si>
  <si>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</si>
  <si>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</si>
  <si>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</si>
  <si>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</si>
  <si>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</si>
  <si>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</si>
  <si>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</si>
  <si>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</si>
  <si>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</si>
  <si>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</si>
  <si>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</si>
  <si>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</si>
  <si>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</si>
  <si>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</si>
  <si>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</si>
  <si>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</si>
  <si>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</si>
  <si>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</si>
  <si>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</si>
  <si>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</si>
  <si>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</si>
  <si>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</si>
  <si>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</si>
  <si>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</si>
  <si>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</si>
  <si>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</si>
  <si>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</si>
  <si>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</si>
  <si>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</si>
  <si>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</si>
  <si>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</si>
  <si>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</si>
  <si>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</si>
  <si>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</si>
  <si>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</si>
  <si>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</si>
  <si>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</si>
  <si>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</si>
  <si>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</si>
  <si>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</si>
  <si>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</si>
  <si>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</si>
  <si>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</si>
  <si>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</si>
  <si>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</si>
  <si>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</si>
  <si>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</si>
  <si>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</si>
  <si>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</si>
  <si>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</si>
  <si>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</si>
  <si>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</si>
  <si>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</si>
  <si>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</si>
  <si>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</si>
  <si>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</si>
  <si>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</si>
  <si>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</si>
  <si>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</si>
  <si>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</si>
  <si>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</si>
  <si>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</si>
  <si>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</si>
  <si>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</si>
  <si>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</si>
  <si>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</si>
  <si>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</si>
  <si>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</si>
  <si>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</si>
  <si>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</si>
  <si>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</si>
  <si>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</si>
  <si>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</si>
  <si>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</si>
  <si>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</si>
  <si>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</si>
  <si>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</si>
  <si>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</si>
  <si>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</si>
  <si>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</si>
  <si>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</si>
  <si>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</si>
  <si>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</si>
  <si>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</si>
  <si>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</si>
  <si>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</si>
  <si>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</si>
  <si>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</si>
  <si>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</si>
  <si>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</si>
  <si>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</si>
  <si>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</si>
  <si>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</si>
  <si>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</si>
  <si>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</si>
  <si>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</si>
  <si>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</si>
  <si>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</si>
  <si>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</si>
  <si>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</si>
  <si>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</si>
  <si>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</si>
  <si>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</si>
  <si>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</si>
  <si>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</si>
  <si>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</si>
  <si>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</si>
  <si>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</si>
  <si>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</si>
  <si>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</si>
  <si>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</si>
  <si>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</si>
  <si>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</si>
  <si>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</si>
  <si>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</si>
  <si>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</si>
  <si>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</si>
  <si>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</si>
  <si>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</si>
  <si>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</si>
  <si>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</si>
  <si>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</si>
  <si>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</si>
  <si>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</si>
  <si>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</si>
  <si>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</si>
  <si>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</si>
  <si>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</si>
  <si>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</si>
  <si>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</si>
  <si>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</si>
  <si>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</si>
  <si>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</si>
  <si>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</si>
  <si>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</si>
  <si>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</si>
  <si>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</si>
  <si>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</si>
  <si>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</si>
  <si>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</si>
  <si>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</si>
  <si>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</si>
  <si>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</si>
  <si>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</si>
  <si>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</si>
  <si>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</si>
  <si>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</si>
  <si>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</si>
  <si>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</si>
  <si>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</si>
  <si>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</si>
  <si>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</si>
  <si>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</si>
  <si>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</si>
  <si>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</si>
  <si>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</si>
  <si>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</si>
  <si>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</si>
  <si>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</si>
  <si>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</si>
  <si>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</si>
  <si>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</si>
  <si>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</si>
  <si>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</si>
  <si>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</si>
  <si>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</si>
  <si>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</si>
  <si>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</si>
  <si>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</si>
  <si>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</si>
  <si>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</si>
  <si>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</si>
  <si>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</si>
  <si>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</si>
  <si>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</si>
  <si>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</si>
  <si>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</si>
  <si>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</si>
  <si>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</si>
  <si>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</si>
  <si>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</si>
  <si>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</si>
  <si>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</si>
  <si>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</si>
  <si>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</si>
  <si>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</si>
  <si>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</si>
  <si>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</si>
  <si>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</si>
  <si>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</si>
  <si>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</si>
  <si>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</si>
  <si>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</si>
  <si>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</si>
  <si>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</si>
  <si>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</si>
  <si>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</si>
  <si>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</si>
  <si>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</si>
  <si>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</si>
  <si>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</si>
  <si>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</si>
  <si>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</si>
  <si>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</si>
  <si>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</si>
  <si>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</si>
  <si>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</si>
  <si>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</si>
  <si>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</si>
  <si>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</si>
  <si>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</si>
  <si>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</si>
  <si>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</si>
  <si>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</si>
  <si>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</si>
  <si>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</si>
  <si>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</si>
  <si>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</si>
  <si>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</si>
  <si>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</si>
  <si>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</si>
  <si>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</si>
  <si>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</si>
  <si>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</si>
  <si>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</si>
  <si>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</si>
  <si>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</si>
  <si>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</si>
  <si>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</si>
  <si>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</si>
  <si>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</si>
  <si>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</si>
  <si>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</si>
  <si>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</si>
  <si>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</si>
  <si>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</si>
  <si>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</si>
  <si>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</si>
  <si>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</si>
  <si>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</si>
  <si>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</si>
  <si>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</si>
  <si>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</si>
  <si>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</si>
  <si>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</si>
  <si>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</si>
  <si>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</si>
  <si>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</si>
  <si>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</si>
  <si>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</si>
  <si>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</si>
  <si>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</si>
  <si>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</si>
  <si>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</si>
  <si>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</si>
  <si>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</si>
  <si>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</si>
  <si>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</si>
  <si>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</si>
  <si>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</si>
  <si>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</si>
  <si>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</si>
  <si>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</si>
  <si>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</si>
  <si>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</si>
  <si>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</si>
  <si>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</si>
  <si>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</si>
  <si>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</si>
  <si>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</si>
  <si>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</si>
  <si>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</si>
  <si>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</si>
  <si>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</si>
  <si>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</si>
  <si>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</si>
  <si>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</si>
  <si>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</si>
  <si>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</si>
  <si>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</si>
  <si>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</si>
  <si>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</si>
  <si>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</si>
  <si>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</si>
  <si>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</si>
  <si>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</si>
  <si>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</si>
  <si>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</si>
  <si>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</si>
  <si>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</si>
  <si>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</si>
  <si>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</si>
  <si>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</si>
  <si>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</si>
  <si>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</si>
  <si>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</si>
  <si>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</si>
  <si>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</si>
  <si>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</si>
  <si>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</si>
  <si>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</si>
  <si>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</si>
  <si>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</si>
  <si>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</si>
  <si>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</si>
  <si>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</si>
  <si>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</si>
  <si>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</si>
  <si>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</si>
  <si>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</si>
  <si>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</si>
  <si>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</si>
  <si>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</si>
  <si>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</si>
  <si>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</si>
  <si>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</si>
  <si>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</si>
  <si>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</si>
  <si>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</si>
  <si>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</si>
  <si>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</si>
  <si>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</si>
  <si>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</si>
  <si>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</si>
  <si>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</si>
  <si>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</si>
  <si>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</si>
  <si>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</si>
  <si>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</si>
  <si>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</si>
  <si>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</si>
  <si>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</si>
  <si>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</si>
  <si>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</si>
  <si>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</si>
  <si>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</si>
  <si>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</si>
  <si>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</si>
  <si>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</si>
  <si>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</si>
  <si>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</si>
  <si>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</si>
  <si>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</si>
  <si>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</si>
  <si>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</si>
  <si>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</si>
  <si>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</si>
  <si>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</si>
  <si>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</si>
  <si>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</si>
  <si>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</si>
  <si>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</si>
  <si>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</si>
  <si>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</si>
  <si>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</si>
  <si>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</si>
  <si>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</si>
  <si>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</si>
  <si>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</si>
  <si>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</si>
  <si>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</si>
  <si>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</si>
  <si>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</si>
  <si>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</si>
  <si>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</si>
  <si>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</si>
  <si>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</si>
  <si>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</si>
  <si>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</si>
  <si>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</si>
  <si>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</si>
  <si>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</si>
  <si>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</si>
  <si>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</si>
  <si>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</si>
  <si>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</si>
  <si>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</si>
  <si>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</si>
  <si>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</si>
  <si>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</si>
  <si>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</si>
  <si>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</si>
  <si>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</si>
  <si>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</si>
  <si>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</si>
  <si>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</si>
  <si>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</si>
  <si>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</si>
  <si>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</si>
  <si>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</si>
  <si>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</si>
  <si>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</si>
  <si>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</si>
  <si>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</si>
  <si>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</si>
  <si>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</si>
  <si>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</si>
  <si>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</si>
  <si>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</si>
  <si>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</si>
  <si>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</si>
  <si>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</si>
  <si>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</si>
  <si>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</si>
  <si>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</si>
  <si>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</si>
  <si>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</si>
  <si>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</si>
  <si>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</si>
  <si>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</si>
  <si>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</si>
  <si>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</si>
  <si>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</si>
  <si>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</si>
  <si>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</si>
  <si>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</si>
  <si>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</si>
  <si>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</si>
  <si>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</si>
  <si>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</si>
  <si>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</si>
  <si>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</si>
  <si>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</si>
  <si>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</si>
  <si>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</si>
  <si>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</si>
  <si>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</si>
  <si>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</si>
  <si>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</si>
  <si>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</si>
  <si>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</si>
  <si>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</si>
  <si>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</si>
  <si>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</si>
  <si>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</si>
  <si>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</si>
  <si>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</si>
  <si>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</si>
  <si>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</si>
  <si>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</si>
  <si>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</si>
  <si>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</si>
  <si>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</si>
  <si>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</si>
  <si>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</si>
  <si>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</si>
  <si>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</si>
  <si>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</si>
  <si>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</si>
  <si>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</si>
  <si>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</si>
  <si>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</si>
  <si>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</si>
  <si>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</si>
  <si>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</si>
  <si>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</si>
  <si>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</si>
  <si>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</si>
  <si>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</si>
  <si>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</si>
  <si>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</si>
  <si>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</si>
  <si>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</si>
  <si>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</si>
  <si>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</si>
  <si>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</si>
  <si>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</si>
  <si>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</si>
  <si>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</si>
  <si>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</si>
  <si>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</si>
  <si>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</si>
  <si>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</si>
  <si>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</si>
  <si>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</si>
  <si>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</si>
  <si>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</si>
  <si>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</si>
  <si>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</si>
  <si>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</si>
  <si>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</si>
  <si>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</si>
  <si>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</si>
  <si>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</si>
  <si>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</si>
  <si>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</si>
  <si>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</si>
  <si>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</si>
  <si>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</si>
  <si>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</si>
  <si>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</si>
  <si>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</si>
  <si>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</si>
  <si>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</si>
  <si>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</si>
  <si>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</si>
  <si>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</si>
  <si>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</si>
  <si>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</si>
  <si>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</si>
  <si>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</si>
  <si>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</si>
  <si>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</si>
  <si>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</si>
  <si>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</si>
  <si>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</si>
  <si>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</si>
  <si>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</si>
  <si>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</si>
  <si>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</si>
  <si>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</si>
  <si>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</si>
  <si>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</si>
  <si>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</si>
  <si>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</si>
  <si>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</si>
  <si>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</si>
  <si>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</si>
  <si>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</si>
  <si>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</si>
  <si>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</si>
  <si>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</si>
  <si>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</si>
  <si>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</si>
  <si>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</si>
  <si>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</si>
  <si>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</si>
  <si>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</si>
  <si>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</si>
  <si>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</si>
  <si>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</si>
  <si>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</si>
  <si>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</si>
  <si>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</si>
  <si>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</si>
  <si>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</si>
  <si>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</si>
  <si>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</si>
  <si>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</si>
  <si>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</si>
  <si>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</si>
  <si>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</si>
  <si>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</si>
  <si>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</si>
  <si>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</si>
  <si>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</si>
  <si>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</si>
  <si>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</si>
  <si>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</si>
  <si>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</si>
  <si>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</si>
  <si>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</si>
  <si>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</si>
  <si>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</si>
  <si>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</si>
  <si>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</si>
  <si>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</si>
  <si>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</si>
  <si>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</si>
  <si>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</si>
  <si>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</si>
  <si>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</si>
  <si>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</si>
  <si>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</si>
  <si>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</si>
  <si>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</si>
  <si>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</si>
  <si>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</si>
  <si>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</si>
  <si>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</si>
  <si>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</si>
  <si>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</si>
  <si>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</si>
  <si>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</si>
  <si>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</si>
  <si>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</si>
  <si>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</si>
  <si>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</si>
  <si>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</si>
  <si>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</si>
  <si>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</si>
  <si>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</si>
  <si>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</si>
  <si>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</si>
  <si>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</si>
  <si>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</si>
  <si>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</si>
  <si>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</si>
  <si>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</si>
  <si>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</si>
  <si>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</si>
  <si>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</si>
  <si>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</si>
  <si>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</si>
  <si>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</si>
  <si>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</si>
  <si>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</si>
  <si>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</si>
  <si>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</si>
  <si>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</si>
  <si>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</si>
  <si>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</si>
  <si>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</si>
  <si>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</si>
  <si>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</si>
  <si>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</si>
  <si>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</si>
  <si>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</si>
  <si>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</si>
  <si>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</si>
  <si>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</si>
  <si>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</si>
  <si>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</si>
  <si>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</si>
  <si>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</si>
  <si>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</si>
  <si>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</si>
  <si>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</si>
  <si>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</si>
  <si>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</si>
  <si>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</si>
  <si>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</si>
  <si>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</si>
  <si>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</si>
  <si>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</si>
  <si>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</si>
  <si>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</si>
  <si>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</si>
  <si>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</si>
  <si>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</si>
  <si>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</si>
  <si>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</si>
  <si>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</si>
  <si>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</si>
  <si>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</si>
  <si>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</si>
  <si>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</si>
  <si>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</si>
  <si>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</si>
  <si>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</si>
  <si>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</si>
  <si>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</si>
  <si>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</si>
  <si>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</si>
  <si>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</si>
  <si>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</si>
  <si>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</si>
  <si>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</si>
  <si>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</si>
  <si>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</si>
  <si>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</si>
  <si>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</si>
  <si>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</si>
  <si>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</si>
  <si>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</si>
  <si>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</si>
  <si>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</si>
  <si>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</si>
  <si>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</si>
  <si>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</si>
  <si>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</si>
  <si>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</si>
  <si>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</si>
  <si>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</si>
  <si>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</si>
  <si>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</si>
  <si>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</si>
  <si>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</si>
  <si>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</si>
  <si>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</si>
  <si>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</si>
  <si>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</si>
  <si>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</si>
  <si>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</si>
  <si>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</si>
  <si>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</si>
  <si>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</si>
  <si>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</si>
  <si>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</si>
  <si>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</si>
  <si>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</si>
  <si>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</si>
  <si>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</si>
  <si>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</si>
  <si>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</si>
  <si>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</si>
  <si>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</si>
  <si>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</si>
  <si>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</si>
  <si>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</si>
  <si>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</si>
  <si>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</si>
  <si>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</si>
  <si>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</si>
  <si>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</si>
  <si>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</si>
  <si>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</si>
  <si>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</si>
  <si>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</si>
  <si>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</si>
  <si>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</si>
  <si>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</si>
  <si>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</si>
  <si>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</si>
  <si>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</si>
  <si>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</si>
  <si>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</si>
  <si>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</si>
  <si>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</si>
  <si>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</si>
  <si>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</si>
  <si>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</si>
  <si>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</si>
  <si>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</si>
  <si>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</si>
  <si>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</si>
  <si>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</si>
  <si>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</si>
  <si>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</si>
  <si>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</si>
  <si>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</si>
  <si>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</si>
  <si>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</si>
  <si>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</si>
  <si>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</si>
  <si>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</si>
  <si>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</si>
  <si>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</si>
  <si>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</si>
  <si>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</si>
  <si>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</si>
  <si>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</si>
  <si>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</si>
  <si>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</si>
  <si>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</si>
  <si>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</si>
  <si>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</si>
  <si>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</si>
  <si>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</si>
  <si>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</si>
  <si>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</si>
  <si>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</si>
  <si>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</si>
  <si>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</si>
  <si>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</si>
  <si>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</si>
  <si>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</si>
  <si>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</si>
  <si>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</si>
  <si>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</si>
  <si>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</si>
  <si>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</si>
  <si>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</si>
  <si>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</si>
  <si>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</si>
  <si>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</si>
  <si>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</si>
  <si>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</si>
  <si>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</si>
  <si>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</si>
  <si>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</si>
  <si>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</si>
  <si>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</si>
  <si>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</si>
  <si>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</si>
  <si>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</si>
  <si>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</si>
  <si>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</si>
  <si>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</si>
  <si>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</si>
  <si>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</si>
  <si>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</si>
  <si>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</si>
  <si>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</si>
  <si>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</si>
  <si>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</si>
  <si>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</si>
  <si>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</si>
  <si>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</si>
  <si>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</si>
  <si>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</si>
  <si>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</si>
  <si>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</si>
  <si>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</si>
  <si>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</si>
  <si>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</si>
  <si>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</si>
  <si>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</si>
  <si>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</si>
  <si>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</si>
  <si>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</si>
  <si>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</si>
  <si>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</si>
  <si>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</si>
  <si>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</si>
  <si>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</si>
  <si>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</si>
  <si>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</si>
  <si>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</si>
  <si>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</si>
  <si>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</si>
  <si>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</si>
  <si>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</si>
  <si>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</si>
  <si>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</si>
  <si>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</si>
  <si>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</si>
  <si>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</si>
  <si>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</si>
  <si>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</si>
  <si>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</si>
  <si>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</si>
  <si>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</si>
  <si>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</si>
  <si>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</si>
  <si>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</si>
  <si>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</si>
  <si>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</si>
  <si>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</si>
  <si>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</si>
  <si>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</si>
  <si>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</si>
  <si>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</si>
  <si>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</si>
  <si>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</si>
  <si>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</si>
  <si>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</si>
  <si>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</si>
  <si>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</si>
  <si>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</si>
  <si>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</si>
  <si>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</si>
  <si>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</si>
  <si>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</si>
  <si>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</si>
  <si>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</si>
  <si>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</si>
  <si>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</si>
  <si>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</si>
  <si>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</si>
  <si>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</si>
  <si>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</si>
  <si>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</si>
  <si>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</si>
  <si>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</si>
  <si>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</si>
  <si>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</si>
  <si>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</si>
  <si>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</si>
  <si>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</si>
  <si>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</si>
  <si>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</si>
  <si>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</si>
  <si>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</si>
  <si>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</si>
  <si>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</si>
  <si>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</si>
  <si>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</si>
  <si>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</si>
  <si>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</si>
  <si>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</si>
  <si>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</si>
  <si>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</si>
  <si>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</si>
  <si>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</si>
  <si>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</si>
  <si>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</si>
  <si>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</si>
  <si>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</si>
  <si>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</si>
  <si>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</si>
  <si>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</si>
  <si>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</si>
  <si>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</si>
  <si>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</si>
  <si>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</si>
  <si>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</si>
  <si>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</si>
  <si>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</si>
  <si>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</si>
  <si>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</si>
  <si>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</si>
  <si>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</si>
  <si>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</si>
  <si>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</si>
  <si>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</si>
  <si>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</si>
  <si>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</si>
  <si>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</si>
  <si>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</si>
  <si>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</si>
  <si>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</si>
  <si>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</si>
  <si>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</si>
  <si>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</si>
  <si>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</si>
  <si>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</si>
  <si>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</si>
  <si>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</si>
  <si>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</si>
  <si>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</si>
  <si>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</si>
  <si>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</si>
  <si>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</si>
  <si>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</si>
  <si>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</si>
  <si>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</si>
  <si>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</si>
  <si>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</si>
  <si>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</si>
  <si>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</si>
  <si>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</si>
  <si>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</si>
  <si>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</si>
  <si>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</si>
  <si>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</si>
  <si>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</si>
  <si>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</si>
  <si>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</si>
  <si>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</si>
  <si>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</si>
  <si>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</si>
  <si>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</si>
  <si>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</si>
  <si>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</si>
  <si>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</si>
  <si>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</si>
  <si>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</si>
  <si>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</si>
  <si>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</si>
  <si>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</si>
  <si>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</si>
  <si>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</si>
  <si>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</si>
  <si>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</si>
  <si>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</si>
  <si>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</si>
  <si>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</si>
  <si>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</si>
  <si>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</si>
  <si>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</si>
  <si>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</si>
  <si>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</si>
  <si>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</si>
  <si>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</si>
  <si>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</si>
  <si>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</si>
  <si>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</si>
  <si>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</si>
  <si>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</si>
  <si>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</si>
  <si>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</si>
  <si>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</si>
  <si>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</si>
  <si>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</si>
  <si>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</si>
  <si>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</si>
  <si>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</si>
  <si>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</si>
  <si>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</si>
  <si>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</si>
  <si>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</si>
  <si>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</si>
  <si>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</si>
  <si>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</si>
  <si>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</si>
  <si>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</si>
  <si>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</si>
  <si>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</si>
  <si>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</si>
  <si>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</si>
  <si>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</si>
  <si>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</si>
  <si>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</si>
  <si>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</si>
  <si>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</si>
  <si>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</si>
  <si>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</si>
  <si>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</si>
  <si>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</si>
  <si>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</si>
  <si>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</si>
  <si>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</si>
  <si>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</si>
  <si>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</si>
  <si>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</si>
  <si>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</si>
  <si>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</si>
  <si>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</si>
  <si>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</si>
  <si>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</si>
  <si>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</si>
  <si>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</si>
  <si>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</si>
  <si>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</si>
  <si>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</si>
  <si>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</si>
  <si>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</si>
  <si>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</si>
  <si>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</si>
  <si>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</si>
  <si>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</si>
  <si>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</si>
  <si>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</si>
  <si>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</si>
  <si>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</si>
  <si>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</si>
  <si>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</si>
  <si>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</si>
  <si>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</si>
  <si>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</si>
  <si>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</si>
  <si>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</si>
  <si>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</si>
  <si>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</si>
  <si>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</si>
  <si>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</si>
  <si>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</si>
  <si>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</si>
  <si>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</si>
  <si>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</si>
  <si>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</si>
  <si>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</si>
  <si>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</si>
  <si>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</si>
  <si>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</si>
  <si>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</si>
  <si>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</si>
  <si>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</si>
  <si>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</si>
  <si>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</si>
  <si>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</si>
  <si>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</si>
  <si>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</si>
  <si>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</si>
  <si>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</si>
  <si>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</si>
  <si>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</si>
  <si>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</si>
  <si>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</si>
  <si>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</si>
  <si>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</si>
  <si>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</si>
  <si>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</si>
  <si>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</si>
  <si>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</si>
  <si>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</si>
  <si>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</si>
  <si>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</si>
  <si>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</si>
  <si>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</si>
  <si>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</si>
  <si>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</si>
  <si>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</si>
  <si>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</si>
  <si>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</si>
  <si>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</si>
  <si>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</si>
  <si>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</si>
  <si>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</si>
  <si>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</si>
  <si>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</si>
  <si>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</si>
  <si>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</si>
  <si>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</si>
  <si>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</si>
  <si>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</si>
  <si>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</si>
  <si>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</si>
  <si>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</si>
  <si>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</si>
  <si>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</si>
  <si>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</si>
  <si>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</si>
  <si>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</si>
  <si>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</si>
  <si>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</si>
  <si>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</si>
  <si>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</si>
  <si>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</si>
  <si>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</si>
  <si>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</si>
  <si>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</si>
  <si>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</si>
  <si>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</si>
  <si>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</si>
  <si>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</si>
  <si>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</si>
  <si>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</si>
  <si>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</si>
  <si>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</si>
  <si>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</si>
  <si>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</si>
  <si>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</si>
  <si>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</si>
  <si>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</si>
  <si>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</si>
  <si>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</si>
  <si>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</si>
  <si>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</si>
  <si>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</si>
  <si>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</si>
  <si>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</si>
  <si>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</si>
  <si>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</si>
  <si>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</si>
  <si>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</si>
  <si>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</si>
  <si>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</si>
  <si>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</si>
  <si>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</si>
  <si>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</si>
  <si>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</si>
  <si>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</si>
  <si>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</si>
  <si>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</si>
  <si>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</si>
  <si>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</si>
  <si>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</si>
  <si>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</si>
  <si>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</si>
  <si>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</si>
  <si>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</si>
  <si>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</si>
  <si>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</si>
  <si>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</si>
  <si>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</si>
  <si>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</si>
  <si>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</si>
  <si>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</si>
  <si>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</si>
  <si>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</si>
  <si>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</si>
  <si>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</si>
  <si>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</si>
  <si>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</si>
  <si>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</si>
  <si>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</si>
  <si>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</si>
  <si>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</si>
  <si>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</si>
  <si>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</si>
  <si>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</si>
  <si>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</si>
  <si>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</si>
  <si>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</si>
  <si>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</si>
  <si>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</si>
  <si>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</si>
  <si>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</si>
  <si>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</si>
  <si>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</si>
  <si>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</si>
  <si>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</si>
  <si>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</si>
  <si>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</si>
  <si>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</si>
  <si>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</si>
  <si>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</si>
  <si>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</si>
  <si>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</si>
  <si>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</si>
  <si>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</si>
  <si>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</si>
  <si>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</si>
  <si>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</si>
  <si>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</si>
  <si>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</si>
  <si>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</si>
  <si>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</si>
  <si>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</si>
  <si>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</si>
  <si>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</si>
  <si>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</si>
  <si>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</si>
  <si>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</si>
  <si>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</si>
  <si>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</si>
  <si>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</si>
  <si>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</si>
  <si>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</si>
  <si>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</si>
  <si>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</si>
  <si>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</si>
  <si>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</si>
  <si>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</si>
  <si>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</si>
  <si>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</si>
  <si>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</si>
  <si>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</si>
  <si>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</si>
  <si>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</si>
  <si>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</si>
  <si>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</si>
  <si>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</si>
  <si>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</si>
  <si>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</si>
  <si>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</si>
  <si>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</si>
  <si>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</si>
  <si>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</si>
  <si>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</si>
  <si>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</si>
  <si>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</si>
  <si>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</si>
  <si>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</si>
  <si>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</si>
  <si>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</si>
  <si>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</si>
  <si>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</si>
  <si>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</si>
  <si>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</si>
  <si>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</si>
  <si>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</si>
  <si>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</si>
  <si>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</si>
  <si>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</si>
  <si>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</si>
  <si>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</si>
  <si>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</si>
  <si>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</si>
  <si>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</si>
  <si>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</si>
  <si>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</si>
  <si>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</si>
  <si>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</si>
  <si>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</si>
  <si>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</si>
  <si>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</si>
  <si>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</si>
  <si>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</si>
  <si>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</si>
  <si>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</si>
  <si>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</si>
  <si>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</si>
  <si>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</si>
  <si>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</si>
  <si>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</si>
  <si>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</si>
  <si>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</si>
  <si>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</si>
  <si>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</si>
  <si>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</si>
  <si>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</si>
  <si>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</si>
  <si>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</si>
  <si>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</si>
  <si>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</si>
  <si>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</si>
  <si>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</si>
  <si>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</si>
  <si>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</si>
  <si>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</si>
  <si>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</si>
  <si>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</si>
  <si>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</si>
  <si>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</si>
  <si>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</si>
  <si>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</si>
  <si>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</si>
  <si>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</si>
  <si>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</si>
  <si>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</si>
  <si>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</si>
  <si>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</si>
  <si>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</si>
  <si>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</si>
  <si>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</si>
  <si>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</si>
  <si>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</si>
  <si>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</si>
  <si>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</si>
  <si>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</si>
  <si>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</si>
  <si>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</si>
  <si>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</si>
  <si>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</si>
  <si>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</si>
  <si>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</si>
  <si>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</si>
  <si>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</si>
  <si>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</si>
  <si>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</si>
  <si>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</si>
  <si>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</si>
  <si>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</si>
  <si>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</si>
  <si>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</si>
  <si>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</si>
  <si>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</si>
  <si>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</si>
  <si>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</si>
  <si>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</si>
  <si>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</si>
  <si>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</si>
  <si>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</si>
  <si>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</si>
  <si>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</si>
  <si>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</si>
  <si>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</si>
  <si>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</si>
  <si>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</si>
  <si>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</si>
  <si>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</si>
  <si>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</si>
  <si>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</si>
  <si>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</si>
  <si>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</si>
  <si>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</si>
  <si>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</si>
  <si>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</si>
  <si>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</si>
  <si>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</si>
  <si>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</si>
  <si>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</si>
  <si>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</si>
  <si>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</si>
  <si>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</si>
  <si>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</si>
  <si>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</si>
  <si>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</si>
  <si>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</si>
  <si>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</si>
  <si>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</si>
  <si>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</si>
  <si>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</si>
  <si>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</si>
  <si>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</si>
  <si>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</si>
  <si>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</si>
  <si>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</si>
  <si>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</si>
  <si>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</si>
  <si>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</si>
  <si>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</si>
  <si>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</si>
  <si>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</si>
  <si>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</si>
  <si>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</si>
  <si>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</si>
  <si>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</si>
  <si>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</si>
  <si>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</si>
  <si>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</si>
  <si>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</si>
  <si>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</si>
  <si>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</si>
  <si>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</si>
  <si>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</si>
  <si>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</si>
  <si>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</si>
  <si>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</si>
  <si>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</si>
  <si>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</si>
  <si>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</si>
  <si>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</si>
  <si>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</si>
  <si>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</si>
  <si>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</si>
  <si>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</si>
  <si>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</si>
  <si>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</si>
  <si>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</si>
  <si>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</si>
  <si>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</si>
  <si>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</si>
  <si>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</si>
  <si>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</si>
  <si>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</si>
  <si>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</si>
  <si>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</si>
  <si>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</si>
  <si>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</si>
  <si>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</si>
  <si>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</si>
  <si>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</si>
  <si>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</si>
  <si>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</si>
  <si>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</si>
  <si>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</si>
  <si>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</si>
  <si>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</si>
  <si>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</si>
  <si>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</si>
  <si>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</si>
  <si>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</si>
  <si>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</si>
  <si>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</si>
  <si>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</si>
  <si>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</si>
  <si>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</si>
  <si>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</si>
  <si>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</si>
  <si>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</si>
  <si>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</si>
  <si>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</si>
  <si>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</si>
  <si>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</si>
  <si>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</si>
  <si>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</si>
  <si>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</si>
  <si>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</si>
  <si>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</si>
  <si>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</si>
  <si>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</si>
  <si>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</si>
  <si>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</si>
  <si>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</si>
  <si>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</si>
  <si>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</si>
  <si>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</si>
  <si>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</si>
  <si>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</si>
  <si>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</si>
  <si>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</si>
  <si>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</si>
  <si>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</si>
  <si>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</si>
  <si>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</si>
  <si>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</si>
  <si>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</si>
  <si>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</si>
  <si>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</si>
  <si>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</si>
  <si>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</si>
  <si>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</si>
  <si>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</si>
  <si>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</si>
  <si>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</si>
  <si>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</si>
  <si>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</si>
  <si>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</si>
  <si>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</si>
  <si>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</si>
  <si>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</si>
  <si>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</si>
  <si>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</si>
  <si>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</si>
  <si>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</si>
  <si>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</si>
  <si>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</si>
  <si>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</si>
  <si>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</si>
  <si>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</si>
  <si>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</si>
  <si>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</si>
  <si>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</si>
  <si>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</si>
  <si>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</si>
  <si>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</si>
  <si>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</si>
  <si>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</si>
  <si>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</si>
  <si>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</si>
  <si>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</si>
  <si>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</si>
  <si>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</si>
  <si>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</si>
  <si>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</si>
  <si>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</si>
  <si>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</si>
  <si>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</si>
  <si>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</si>
  <si>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</si>
  <si>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</si>
  <si>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</si>
  <si>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</si>
  <si>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</si>
  <si>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</si>
  <si>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</si>
  <si>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</si>
  <si>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</si>
  <si>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</si>
  <si>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</si>
  <si>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</si>
  <si>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</si>
  <si>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</si>
  <si>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</si>
  <si>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</si>
  <si>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</si>
  <si>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</si>
  <si>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</si>
  <si>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</si>
  <si>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</si>
  <si>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</si>
  <si>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</si>
  <si>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</si>
  <si>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</si>
  <si>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</si>
  <si>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</si>
  <si>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</si>
  <si>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</si>
  <si>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</si>
  <si>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</si>
  <si>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</si>
  <si>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</si>
  <si>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</si>
  <si>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</si>
  <si>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</si>
  <si>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</si>
  <si>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</si>
  <si>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</si>
  <si>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</si>
  <si>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</si>
  <si>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</si>
  <si>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</si>
  <si>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</si>
  <si>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</si>
  <si>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</si>
  <si>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</si>
  <si>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</si>
  <si>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</si>
  <si>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</si>
  <si>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</si>
  <si>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</si>
  <si>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</si>
  <si>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</si>
  <si>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</si>
  <si>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</si>
  <si>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</si>
  <si>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</si>
  <si>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</si>
  <si>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</si>
  <si>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</si>
  <si>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</si>
  <si>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</si>
  <si>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</si>
  <si>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</si>
  <si>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</si>
  <si>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</si>
  <si>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</si>
  <si>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</si>
  <si>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</si>
  <si>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</si>
  <si>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</si>
  <si>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</si>
  <si>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</si>
  <si>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</si>
  <si>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</si>
  <si>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</si>
  <si>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</si>
  <si>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</si>
  <si>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</si>
  <si>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</si>
  <si>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</si>
  <si>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</si>
  <si>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</si>
  <si>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</si>
  <si>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</si>
  <si>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</si>
  <si>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</si>
  <si>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</si>
  <si>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</si>
  <si>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</si>
  <si>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</si>
  <si>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</si>
  <si>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</si>
  <si>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</si>
  <si>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</si>
  <si>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</si>
  <si>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</si>
  <si>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</si>
  <si>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</si>
  <si>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</si>
  <si>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</si>
  <si>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</si>
  <si>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</si>
  <si>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</si>
  <si>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</si>
  <si>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</si>
  <si>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</si>
  <si>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</si>
  <si>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</si>
  <si>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</si>
  <si>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</si>
  <si>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</si>
  <si>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</si>
  <si>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</si>
  <si>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</si>
  <si>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</si>
  <si>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</si>
  <si>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</si>
  <si>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</si>
  <si>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</si>
  <si>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</si>
  <si>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</si>
  <si>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</si>
  <si>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</si>
  <si>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</si>
  <si>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</si>
  <si>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</si>
  <si>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</si>
  <si>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</si>
  <si>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</si>
  <si>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</si>
  <si>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</si>
  <si>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</si>
  <si>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</si>
  <si>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</si>
  <si>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</si>
  <si>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</si>
  <si>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</si>
  <si>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</si>
  <si>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</si>
  <si>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</si>
  <si>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</si>
  <si>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</si>
  <si>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</si>
  <si>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</si>
  <si>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</si>
  <si>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</si>
  <si>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</si>
  <si>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</si>
  <si>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</si>
  <si>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</si>
  <si>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</si>
  <si>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</si>
  <si>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</si>
  <si>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</si>
  <si>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</si>
  <si>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</si>
  <si>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</si>
  <si>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</si>
  <si>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</si>
  <si>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</si>
  <si>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</si>
  <si>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</si>
  <si>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</si>
  <si>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</si>
  <si>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</si>
  <si>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武汉统建城市开发有限责任公司</t>
    <phoneticPr fontId="6" type="noConversion"/>
  </si>
  <si>
    <t>中信信托有限责任公司</t>
    <phoneticPr fontId="6" type="noConversion"/>
  </si>
  <si>
    <t>抵押</t>
  </si>
  <si>
    <t>抵押价格</t>
  </si>
  <si>
    <t>其他：</t>
  </si>
  <si>
    <t>湖北省武汉市</t>
    <phoneticPr fontId="6" type="noConversion"/>
  </si>
  <si>
    <t>经济技术开发区55R2地块1宗住宅、商业用途</t>
    <phoneticPr fontId="6" type="noConversion"/>
  </si>
  <si>
    <t>企业</t>
  </si>
  <si>
    <t>城镇住宅用地</t>
  </si>
  <si>
    <t>城镇住宅用地</t>
    <phoneticPr fontId="6" type="noConversion"/>
  </si>
  <si>
    <t>《不动产权证书》[鄂（2017）武汉市经开不动产权第0005412号]</t>
  </si>
  <si>
    <t>《不动产权证书》[鄂（2017）武汉市经开不动产权第0005412号]</t>
    <phoneticPr fontId="6" type="noConversion"/>
  </si>
  <si>
    <t>住宅</t>
    <phoneticPr fontId="6" type="noConversion"/>
  </si>
  <si>
    <t>《国有建设用地使用权出让合同》[合同编号：WH(WJK)-2017-00001]及附件</t>
  </si>
  <si>
    <t>《国有建设用地使用权出让合同》[合同编号：WH(WJK)-2017-00001]及附件</t>
    <phoneticPr fontId="6" type="noConversion"/>
  </si>
  <si>
    <t>一致</t>
  </si>
  <si>
    <t>出让</t>
  </si>
  <si>
    <t>符合</t>
  </si>
  <si>
    <t>住宅剩余69.02年</t>
    <phoneticPr fontId="6" type="noConversion"/>
  </si>
  <si>
    <t>否</t>
  </si>
  <si>
    <t>居住项目</t>
  </si>
  <si>
    <t>无</t>
  </si>
  <si>
    <t>平整</t>
  </si>
  <si>
    <t>通路</t>
  </si>
  <si>
    <t>通电</t>
  </si>
  <si>
    <t>通讯</t>
  </si>
  <si>
    <t>通上水</t>
  </si>
  <si>
    <t>通下水</t>
  </si>
  <si>
    <t>燃气</t>
  </si>
  <si>
    <t>地上</t>
  </si>
  <si>
    <t>平层住宅</t>
  </si>
  <si>
    <t>住宅</t>
    <phoneticPr fontId="7" type="noConversion"/>
  </si>
  <si>
    <t>6级</t>
    <phoneticPr fontId="6" type="noConversion"/>
  </si>
  <si>
    <t>P（2017）069号</t>
    <phoneticPr fontId="3" type="noConversion"/>
  </si>
  <si>
    <t>武汉经济技术开发区43R2地块</t>
    <phoneticPr fontId="3" type="noConversion"/>
  </si>
  <si>
    <t>正常</t>
  </si>
  <si>
    <t>城镇住宅用地</t>
    <phoneticPr fontId="26" type="noConversion"/>
  </si>
  <si>
    <t>住宅</t>
    <phoneticPr fontId="26" type="noConversion"/>
  </si>
  <si>
    <t>高速路</t>
    <phoneticPr fontId="26" type="noConversion"/>
  </si>
  <si>
    <t>快速路</t>
  </si>
  <si>
    <t>快速路</t>
    <phoneticPr fontId="26" type="noConversion"/>
  </si>
  <si>
    <t>主干道</t>
  </si>
  <si>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</si>
  <si>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</si>
  <si>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</si>
  <si>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</si>
  <si>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</si>
  <si>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</si>
  <si>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</si>
  <si>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</si>
  <si>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</si>
  <si>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</si>
  <si>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</si>
  <si>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</si>
  <si>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</si>
  <si>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</si>
  <si>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</si>
  <si>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</si>
  <si>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</si>
  <si>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</si>
  <si>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</si>
  <si>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</si>
  <si>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</si>
  <si>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69.02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</si>
  <si>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</si>
  <si>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双面临街</t>
  </si>
  <si>
    <t>单面临街</t>
  </si>
  <si>
    <t>楼面地价</t>
  </si>
  <si>
    <t>武汉监测指标情况一览表</t>
  </si>
  <si>
    <t>时间</t>
  </si>
  <si>
    <t>水平值</t>
  </si>
  <si>
    <t>环比增长率</t>
  </si>
  <si>
    <t>指数</t>
  </si>
  <si>
    <t>P（2017）077号</t>
    <phoneticPr fontId="3" type="noConversion"/>
  </si>
  <si>
    <t>武汉经济技术开发区33R2地块</t>
    <phoneticPr fontId="3" type="noConversion"/>
  </si>
  <si>
    <t>P（2017）052号</t>
    <phoneticPr fontId="3" type="noConversion"/>
  </si>
  <si>
    <t>武汉经济技术开发区三环线与龙阳大道交汇处</t>
    <phoneticPr fontId="3" type="noConversion"/>
  </si>
  <si>
    <t>住宅、商服、交通运输</t>
  </si>
  <si>
    <t>住宅、商服、交通运输</t>
    <phoneticPr fontId="26" type="noConversion"/>
  </si>
  <si>
    <t>项目全部</t>
  </si>
  <si>
    <t>土地</t>
  </si>
  <si>
    <t>比较法-住宅、综合</t>
  </si>
  <si>
    <t>售价</t>
  </si>
  <si>
    <t>住宅</t>
    <phoneticPr fontId="21" type="noConversion"/>
  </si>
  <si>
    <t>60-70（含）</t>
  </si>
  <si>
    <t>别墅</t>
    <phoneticPr fontId="21" type="noConversion"/>
  </si>
  <si>
    <t>花园洋房</t>
    <phoneticPr fontId="21" type="noConversion"/>
  </si>
  <si>
    <t>小高层住宅</t>
    <phoneticPr fontId="21" type="noConversion"/>
  </si>
  <si>
    <t>高层住宅</t>
  </si>
  <si>
    <t>高层住宅</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</si>
  <si>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</si>
  <si>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</si>
  <si>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</si>
  <si>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</si>
  <si>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</si>
  <si>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</si>
  <si>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</si>
  <si>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</si>
  <si>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</si>
  <si>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</si>
  <si>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</si>
  <si>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</si>
  <si>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</si>
  <si>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</si>
  <si>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</si>
  <si>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r>
      <rPr>
        <sz val="11"/>
        <color indexed="8"/>
        <rFont val="宋体"/>
        <family val="3"/>
        <charset val="134"/>
      </rPr>
      <t>普通装修</t>
    </r>
    <r>
      <rPr>
        <sz val="11"/>
        <color indexed="8"/>
        <rFont val="Arial"/>
        <family val="2"/>
      </rPr>
      <t xml:space="preserve"> </t>
    </r>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</si>
  <si>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</si>
  <si>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</si>
  <si>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</si>
  <si>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</si>
  <si>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</si>
  <si>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</si>
  <si>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</si>
  <si>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</si>
  <si>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</si>
  <si>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</si>
  <si>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</si>
  <si>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</si>
  <si>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</si>
  <si>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r>
      <t>180</t>
    </r>
    <r>
      <rPr>
        <sz val="11"/>
        <color indexed="8"/>
        <rFont val="宋体"/>
        <family val="3"/>
        <charset val="134"/>
      </rPr>
      <t>以上</t>
    </r>
    <phoneticPr fontId="21" type="noConversion"/>
  </si>
  <si>
    <t>毛坯</t>
    <phoneticPr fontId="21" type="noConversion"/>
  </si>
  <si>
    <t xml:space="preserve">普通装修 </t>
  </si>
  <si>
    <t>金色港湾双湖林语</t>
    <phoneticPr fontId="3" type="noConversion"/>
  </si>
  <si>
    <t>经开区芳草路与太子湖北路交汇处</t>
    <phoneticPr fontId="3" type="noConversion"/>
  </si>
  <si>
    <t>万科翡翠玖玺</t>
    <phoneticPr fontId="3" type="noConversion"/>
  </si>
  <si>
    <t>港湾江城</t>
    <phoneticPr fontId="3" type="noConversion"/>
  </si>
  <si>
    <t>经开区太子湖路武汉体育中心旁（足球公园正对面）</t>
    <phoneticPr fontId="3" type="noConversion"/>
  </si>
  <si>
    <t>经开区万家湖中路以东沌口路以南（沌口路和万家湖中路交汇处）</t>
    <phoneticPr fontId="3" type="noConversion"/>
  </si>
  <si>
    <t>剩余法-待开发</t>
  </si>
  <si>
    <t>比较因素</t>
  </si>
  <si>
    <t>估价对象</t>
  </si>
  <si>
    <r>
      <t>案例：</t>
    </r>
    <r>
      <rPr>
        <sz val="9"/>
        <color rgb="FF000000"/>
        <rFont val="Arial"/>
        <family val="2"/>
      </rPr>
      <t>A</t>
    </r>
  </si>
  <si>
    <r>
      <t>案例：</t>
    </r>
    <r>
      <rPr>
        <sz val="9"/>
        <color rgb="FF000000"/>
        <rFont val="Arial"/>
        <family val="2"/>
      </rPr>
      <t>B</t>
    </r>
  </si>
  <si>
    <r>
      <t>案例：</t>
    </r>
    <r>
      <rPr>
        <sz val="9"/>
        <color rgb="FF000000"/>
        <rFont val="Arial"/>
        <family val="2"/>
      </rPr>
      <t>C</t>
    </r>
  </si>
  <si>
    <t>系数</t>
  </si>
  <si>
    <t>交易时间</t>
  </si>
  <si>
    <t>交易情况</t>
  </si>
  <si>
    <t>用途</t>
  </si>
  <si>
    <t>土地使用年限</t>
  </si>
  <si>
    <t>区域因素</t>
  </si>
  <si>
    <t>个别因素</t>
  </si>
  <si>
    <t>项目名称</t>
    <phoneticPr fontId="233" type="noConversion"/>
  </si>
  <si>
    <t>金色港湾双湖林语</t>
    <phoneticPr fontId="233" type="noConversion"/>
  </si>
  <si>
    <t>经开区芳草路与太子湖北路交汇处</t>
    <phoneticPr fontId="233" type="noConversion"/>
  </si>
  <si>
    <t>万科翡翠玖玺</t>
    <phoneticPr fontId="233" type="noConversion"/>
  </si>
  <si>
    <t>经开区太子湖路武汉体育中心旁（足球公园正对面）</t>
    <phoneticPr fontId="233" type="noConversion"/>
  </si>
  <si>
    <t>港湾江城</t>
    <phoneticPr fontId="233" type="noConversion"/>
  </si>
  <si>
    <t>经开区万家湖中路以东沌口路以南（沌口路和万家湖中路交汇处）</t>
    <phoneticPr fontId="233" type="noConversion"/>
  </si>
  <si>
    <t>住宅</t>
    <phoneticPr fontId="233" type="noConversion"/>
  </si>
  <si>
    <t>容积率</t>
    <phoneticPr fontId="233" type="noConversion"/>
  </si>
  <si>
    <t>60-70年</t>
    <phoneticPr fontId="233" type="noConversion"/>
  </si>
  <si>
    <t>一般</t>
    <phoneticPr fontId="233" type="noConversion"/>
  </si>
  <si>
    <t>较好</t>
    <phoneticPr fontId="233" type="noConversion"/>
  </si>
  <si>
    <t>居住社区成熟度</t>
    <phoneticPr fontId="233" type="noConversion"/>
  </si>
  <si>
    <t>交通便捷度</t>
    <phoneticPr fontId="233" type="noConversion"/>
  </si>
  <si>
    <t>公共配套设施</t>
    <phoneticPr fontId="233" type="noConversion"/>
  </si>
  <si>
    <t>基础设施水平</t>
    <phoneticPr fontId="233" type="noConversion"/>
  </si>
  <si>
    <t>自然及人文环境</t>
    <phoneticPr fontId="233" type="noConversion"/>
  </si>
  <si>
    <t>道路级别</t>
    <phoneticPr fontId="233" type="noConversion"/>
  </si>
  <si>
    <t>较好</t>
    <phoneticPr fontId="233" type="noConversion"/>
  </si>
  <si>
    <t>六通</t>
    <phoneticPr fontId="233" type="noConversion"/>
  </si>
  <si>
    <t>主干道</t>
    <phoneticPr fontId="233" type="noConversion"/>
  </si>
  <si>
    <t>次干道</t>
    <phoneticPr fontId="233" type="noConversion"/>
  </si>
  <si>
    <t>支路</t>
    <phoneticPr fontId="233" type="noConversion"/>
  </si>
  <si>
    <t>建筑类型</t>
    <phoneticPr fontId="233" type="noConversion"/>
  </si>
  <si>
    <t>建筑结构</t>
    <phoneticPr fontId="233" type="noConversion"/>
  </si>
  <si>
    <t>建筑品质</t>
    <phoneticPr fontId="233" type="noConversion"/>
  </si>
  <si>
    <t>公共部分装修</t>
    <phoneticPr fontId="233" type="noConversion"/>
  </si>
  <si>
    <t>物业管理</t>
    <phoneticPr fontId="233" type="noConversion"/>
  </si>
  <si>
    <t>市政基础设施</t>
    <phoneticPr fontId="233" type="noConversion"/>
  </si>
  <si>
    <t>内部装修</t>
    <phoneticPr fontId="233" type="noConversion"/>
  </si>
  <si>
    <t>高层住宅</t>
    <phoneticPr fontId="233" type="noConversion"/>
  </si>
  <si>
    <t>高层住宅</t>
    <phoneticPr fontId="233" type="noConversion"/>
  </si>
  <si>
    <t>钢混</t>
    <phoneticPr fontId="233" type="noConversion"/>
  </si>
  <si>
    <t>中档</t>
    <phoneticPr fontId="233" type="noConversion"/>
  </si>
  <si>
    <t>中档</t>
    <phoneticPr fontId="233" type="noConversion"/>
  </si>
  <si>
    <t>精装修</t>
    <phoneticPr fontId="233" type="noConversion"/>
  </si>
  <si>
    <t>精装修</t>
    <phoneticPr fontId="233" type="noConversion"/>
  </si>
  <si>
    <t>专业</t>
    <phoneticPr fontId="233" type="noConversion"/>
  </si>
  <si>
    <t>六通</t>
    <phoneticPr fontId="233" type="noConversion"/>
  </si>
  <si>
    <t>80-120</t>
    <phoneticPr fontId="233" type="noConversion"/>
  </si>
  <si>
    <t>80-120</t>
    <phoneticPr fontId="233" type="noConversion"/>
  </si>
  <si>
    <t>主力户型建筑面积（平方米）</t>
    <phoneticPr fontId="233" type="noConversion"/>
  </si>
  <si>
    <t>项目建筑规模（平方米）</t>
    <phoneticPr fontId="233" type="noConversion"/>
  </si>
  <si>
    <t>毛坯</t>
    <phoneticPr fontId="233" type="noConversion"/>
  </si>
  <si>
    <t>普通装修</t>
    <phoneticPr fontId="233" type="noConversion"/>
  </si>
  <si>
    <t>经济技术开发区55R2地块</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</si>
</sst>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仿宋_GB2312"/>
      <family val="3"/>
      <charset val="134"/>
    </font>
    <font>
      <sz val="9"/>
      <color rgb="FF000000"/>
      <name val="Arial"/>
      <family val="2"/>
    </font>
    <font>
      <sz val="9"/>
      <color rgb="FFE36C0A"/>
      <name val="仿宋_GB2312"/>
      <family val="3"/>
      <charset val="134"/>
    </font>
    <font>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8" fillId="2" borderId="20" xfId="0" applyFont="1" applyFill="1" applyBorder="1" applyAlignment="1" applyProtection="1">
      <alignment horizontal="left" vertical="center" wrapText="1"/>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81" fontId="156" fillId="19" borderId="2" xfId="0" applyNumberFormat="1" applyFont="1" applyFill="1" applyBorder="1" applyAlignment="1" applyProtection="1">
      <alignment horizontal="center" vertical="center"/>
      <protection locked="0"/>
    </xf>
    <xf numFmtId="178" fontId="205" fillId="6" borderId="41" xfId="0" applyNumberFormat="1" applyFont="1" applyFill="1" applyBorder="1" applyAlignment="1" applyProtection="1">
      <alignment horizontal="center" vertical="center"/>
    </xf>
    <xf numFmtId="0" fontId="154" fillId="19" borderId="9" xfId="0" applyNumberFormat="1" applyFont="1" applyFill="1" applyBorder="1" applyAlignment="1" applyProtection="1">
      <alignment horizontal="center" vertical="center" wrapText="1"/>
      <protection locked="0"/>
    </xf>
    <xf numFmtId="0" fontId="156" fillId="19" borderId="5" xfId="0" applyNumberFormat="1" applyFont="1" applyFill="1" applyBorder="1" applyAlignment="1" applyProtection="1">
      <alignment horizontal="center" vertical="center" wrapText="1"/>
    </xf>
    <xf numFmtId="0" fontId="156" fillId="19" borderId="12" xfId="0" applyNumberFormat="1" applyFont="1" applyFill="1" applyBorder="1" applyAlignment="1" applyProtection="1">
      <alignment horizontal="center" vertical="center" wrapText="1"/>
    </xf>
    <xf numFmtId="0" fontId="290" fillId="0" borderId="66" xfId="0" applyFont="1" applyBorder="1" applyAlignment="1">
      <alignment horizontal="center" vertical="center" wrapText="1"/>
    </xf>
    <xf numFmtId="0" fontId="289" fillId="0" borderId="66" xfId="0" applyFont="1" applyBorder="1" applyAlignment="1">
      <alignment horizontal="center" vertical="center" wrapText="1"/>
    </xf>
    <xf numFmtId="0" fontId="288" fillId="0" borderId="66" xfId="0" applyFont="1" applyBorder="1" applyAlignment="1">
      <alignment horizontal="center" vertical="center" wrapText="1"/>
    </xf>
    <xf numFmtId="0" fontId="289" fillId="0" borderId="66" xfId="0" applyFont="1" applyBorder="1" applyAlignment="1">
      <alignment horizontal="center" vertical="center"/>
    </xf>
    <xf numFmtId="0" fontId="291" fillId="0" borderId="66" xfId="0" applyFont="1" applyBorder="1">
      <alignment vertical="center"/>
    </xf>
    <xf numFmtId="0" fontId="288" fillId="0" borderId="66" xfId="0" applyFont="1" applyBorder="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8" fillId="0" borderId="26" xfId="0" applyFont="1" applyBorder="1" applyAlignment="1">
      <alignment horizontal="center" vertical="center"/>
    </xf>
    <xf numFmtId="0" fontId="288" fillId="0" borderId="39" xfId="0" applyFont="1" applyBorder="1" applyAlignment="1">
      <alignment horizontal="center" vertical="center"/>
    </xf>
    <xf numFmtId="0" fontId="288" fillId="0" borderId="31" xfId="0" applyFont="1" applyBorder="1" applyAlignment="1">
      <alignment horizontal="center" vertical="center"/>
    </xf>
    <xf numFmtId="0" fontId="288" fillId="0" borderId="65" xfId="0" applyFont="1" applyBorder="1" applyAlignment="1">
      <alignment horizontal="center" vertical="center"/>
    </xf>
    <xf numFmtId="0" fontId="288" fillId="0" borderId="54" xfId="0" applyFont="1" applyBorder="1" applyAlignment="1">
      <alignment horizontal="center" vertical="center"/>
    </xf>
    <xf numFmtId="0" fontId="288" fillId="0" borderId="66" xfId="0" applyFont="1" applyBorder="1" applyAlignment="1">
      <alignment horizontal="center" vertical="center"/>
    </xf>
    <xf numFmtId="0" fontId="288" fillId="0" borderId="36" xfId="0" applyFont="1" applyBorder="1" applyAlignment="1">
      <alignment horizontal="center" vertical="center" wrapText="1"/>
    </xf>
    <xf numFmtId="0" fontId="288" fillId="0" borderId="38" xfId="0" applyFont="1" applyBorder="1" applyAlignment="1">
      <alignment horizontal="center" vertical="center" wrapText="1"/>
    </xf>
    <xf numFmtId="0" fontId="290" fillId="0" borderId="35" xfId="0" applyFont="1" applyBorder="1" applyAlignment="1">
      <alignment horizontal="center" vertical="center" wrapText="1"/>
    </xf>
    <xf numFmtId="0" fontId="290" fillId="0" borderId="80" xfId="0" applyFont="1" applyBorder="1" applyAlignment="1">
      <alignment horizontal="center" vertical="center" wrapText="1"/>
    </xf>
    <xf numFmtId="0" fontId="288" fillId="0" borderId="35" xfId="0" applyFont="1" applyBorder="1" applyAlignment="1">
      <alignment vertical="center" wrapText="1"/>
    </xf>
    <xf numFmtId="0" fontId="288" fillId="0" borderId="79" xfId="0" applyFont="1" applyBorder="1" applyAlignment="1">
      <alignment vertical="center" wrapText="1"/>
    </xf>
    <xf numFmtId="0" fontId="288" fillId="0" borderId="80" xfId="0" applyFont="1" applyBorder="1" applyAlignment="1">
      <alignment vertical="center" wrapText="1"/>
    </xf>
    <xf numFmtId="0" fontId="288" fillId="0" borderId="36" xfId="0" applyFont="1" applyBorder="1" applyAlignment="1">
      <alignment horizontal="center" vertical="center"/>
    </xf>
    <xf numFmtId="0" fontId="288" fillId="0" borderId="38" xfId="0" applyFont="1" applyBorder="1" applyAlignment="1">
      <alignment horizontal="center" vertical="center"/>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M10" sqref="M10"/>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2978</v>
      </c>
      <c r="B1" s="3181"/>
      <c r="C1" s="3182"/>
      <c r="D1" s="3183"/>
      <c r="E1" s="3184" t="s">
        <v>2979</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2980</v>
      </c>
      <c r="B2" s="3193" t="e">
        <f ca="1">ROUND(D2/10000,0)</f>
        <v>#DIV/0!</v>
      </c>
      <c r="C2" s="3194" t="s">
        <v>2981</v>
      </c>
      <c r="D2" s="3195" t="e">
        <f ca="1">C40+J29+L46</f>
        <v>#DIV/0!</v>
      </c>
      <c r="E2" s="3196" t="s">
        <v>2982</v>
      </c>
      <c r="F2" s="3197"/>
      <c r="G2" s="3198"/>
      <c r="H2" s="3199"/>
      <c r="I2" s="3199"/>
      <c r="J2" s="3199"/>
      <c r="K2" s="3200"/>
      <c r="L2" s="3199"/>
      <c r="M2" s="3199"/>
    </row>
    <row r="3" spans="1:37" ht="18" customHeight="1" thickBot="1">
      <c r="A3" s="3203" t="s">
        <v>2983</v>
      </c>
      <c r="B3" s="3204">
        <f ca="1">IF(ISERROR(D2/F43),0,ROUND(D2/F43,0))</f>
        <v>0</v>
      </c>
      <c r="C3" s="3194" t="s">
        <v>2984</v>
      </c>
      <c r="D3" s="3194"/>
      <c r="E3" s="3196"/>
      <c r="F3" s="3197"/>
      <c r="G3" s="3198"/>
      <c r="H3" s="3205" t="s">
        <v>2985</v>
      </c>
      <c r="I3" s="3199"/>
      <c r="J3" s="3199"/>
      <c r="K3" s="3200"/>
      <c r="L3" s="3199"/>
      <c r="M3" s="3199"/>
    </row>
    <row r="4" spans="1:37" ht="18" customHeight="1">
      <c r="A4" s="3206" t="s">
        <v>2986</v>
      </c>
      <c r="B4" s="3207" t="s">
        <v>2987</v>
      </c>
      <c r="C4" s="3207" t="s">
        <v>2988</v>
      </c>
      <c r="D4" s="3207" t="s">
        <v>2989</v>
      </c>
      <c r="E4" s="3208" t="s">
        <v>2990</v>
      </c>
      <c r="F4" s="3209"/>
      <c r="G4" s="3210"/>
      <c r="H4" s="3206" t="s">
        <v>2991</v>
      </c>
      <c r="I4" s="3207" t="s">
        <v>2992</v>
      </c>
      <c r="J4" s="3207" t="s">
        <v>2993</v>
      </c>
      <c r="K4" s="3207" t="s">
        <v>2994</v>
      </c>
      <c r="L4" s="3208" t="s">
        <v>2990</v>
      </c>
      <c r="M4" s="3209"/>
    </row>
    <row r="5" spans="1:37" ht="18" customHeight="1">
      <c r="A5" s="3211">
        <v>1</v>
      </c>
      <c r="B5" s="3212" t="s">
        <v>2995</v>
      </c>
      <c r="C5" s="3213">
        <f ca="1">C6+C10+C12</f>
        <v>0</v>
      </c>
      <c r="D5" s="3214" t="s">
        <v>2996</v>
      </c>
      <c r="E5" s="3215"/>
      <c r="F5" s="3216"/>
      <c r="G5" s="3210"/>
      <c r="H5" s="3211">
        <v>1</v>
      </c>
      <c r="I5" s="3212" t="s">
        <v>2995</v>
      </c>
      <c r="J5" s="3213">
        <f ca="1">J6+J10+J12</f>
        <v>0</v>
      </c>
      <c r="K5" s="3214" t="s">
        <v>2996</v>
      </c>
      <c r="L5" s="3215"/>
      <c r="M5" s="3216"/>
    </row>
    <row r="6" spans="1:37" ht="18" customHeight="1">
      <c r="A6" s="3217" t="s">
        <v>2997</v>
      </c>
      <c r="B6" s="3508" t="s">
        <v>2998</v>
      </c>
      <c r="C6" s="3218">
        <f ca="1">ROUND(F6*F8*F7*(1-F9),0)</f>
        <v>0</v>
      </c>
      <c r="D6" s="3219" t="s">
        <v>2999</v>
      </c>
      <c r="E6" s="3220" t="s">
        <v>3000</v>
      </c>
      <c r="F6" s="3221">
        <f ca="1">INDIRECT("'数据-取费表'!u"&amp;$G$1)</f>
        <v>0</v>
      </c>
      <c r="G6" s="3210"/>
      <c r="H6" s="3217" t="s">
        <v>2997</v>
      </c>
      <c r="I6" s="3508" t="s">
        <v>2998</v>
      </c>
      <c r="J6" s="3222">
        <f ca="1">ROUND(M6*M8*M7*(1-M9),0)</f>
        <v>0</v>
      </c>
      <c r="K6" s="3223" t="s">
        <v>3001</v>
      </c>
      <c r="L6" s="3220" t="s">
        <v>3000</v>
      </c>
      <c r="M6" s="3221">
        <f ca="1">INDIRECT("'数据-取费表'!z"&amp;$G$1)</f>
        <v>0</v>
      </c>
    </row>
    <row r="7" spans="1:37" ht="18" customHeight="1">
      <c r="A7" s="3224"/>
      <c r="B7" s="3509"/>
      <c r="C7" s="3225"/>
      <c r="D7" s="3226"/>
      <c r="E7" s="3227" t="s">
        <v>3002</v>
      </c>
      <c r="F7" s="3221">
        <f ca="1">IF(INDIRECT("'数据-取费表'!ah"&amp;$G$1)="",INDIRECT("'数据-取费表'!k"&amp;$G$1),INDIRECT("'数据-取费表'!ah"&amp;$G$1))</f>
        <v>146307.88</v>
      </c>
      <c r="G7" s="3210"/>
      <c r="H7" s="3228"/>
      <c r="I7" s="3509"/>
      <c r="J7" s="3229"/>
      <c r="K7" s="3226"/>
      <c r="L7" s="3220" t="s">
        <v>3002</v>
      </c>
      <c r="M7" s="3221">
        <f ca="1">F7</f>
        <v>146307.88</v>
      </c>
    </row>
    <row r="8" spans="1:37" ht="18" customHeight="1">
      <c r="A8" s="3228"/>
      <c r="B8" s="3509"/>
      <c r="C8" s="3229"/>
      <c r="D8" s="3226"/>
      <c r="E8" s="3220" t="s">
        <v>3003</v>
      </c>
      <c r="F8" s="3221">
        <f ca="1">INDIRECT("'数据-取费表'!ai"&amp;$G$1)</f>
        <v>0</v>
      </c>
      <c r="G8" s="3210"/>
      <c r="H8" s="3228"/>
      <c r="I8" s="3509"/>
      <c r="J8" s="3229"/>
      <c r="K8" s="3226"/>
      <c r="L8" s="3220" t="s">
        <v>3003</v>
      </c>
      <c r="M8" s="3221">
        <f ca="1">INDIRECT("'数据-取费表'!ai"&amp;$G$1)</f>
        <v>0</v>
      </c>
    </row>
    <row r="9" spans="1:37" ht="18" customHeight="1">
      <c r="A9" s="3228"/>
      <c r="B9" s="3510"/>
      <c r="C9" s="3229"/>
      <c r="D9" s="3226"/>
      <c r="E9" s="3220" t="s">
        <v>3004</v>
      </c>
      <c r="F9" s="3230">
        <f ca="1">INDIRECT("'数据-取费表'!w"&amp;$G$1)</f>
        <v>0</v>
      </c>
      <c r="G9" s="3210"/>
      <c r="H9" s="3228"/>
      <c r="I9" s="3510"/>
      <c r="J9" s="3229"/>
      <c r="K9" s="3226"/>
      <c r="L9" s="3231" t="s">
        <v>3004</v>
      </c>
      <c r="M9" s="3232">
        <f ca="1">INDIRECT("'数据-取费表'!ab"&amp;$G$1)</f>
        <v>0</v>
      </c>
    </row>
    <row r="10" spans="1:37" ht="18" customHeight="1">
      <c r="A10" s="3217" t="s">
        <v>3005</v>
      </c>
      <c r="B10" s="3233" t="s">
        <v>3006</v>
      </c>
      <c r="C10" s="3234">
        <f>ROUND(IF(F10="押一",F6*F8*F7/12*F11,IF(F10="押二",F6*F8*F7/12*2*F11,IF(F10="押三",F6*F8*F7/12*3*F11,C11*F11))),0)</f>
        <v>0</v>
      </c>
      <c r="D10" s="3235" t="s">
        <v>3007</v>
      </c>
      <c r="E10" s="3231" t="s">
        <v>3008</v>
      </c>
      <c r="F10" s="3236"/>
      <c r="G10" s="3210"/>
      <c r="H10" s="3217" t="s">
        <v>3005</v>
      </c>
      <c r="I10" s="3233" t="s">
        <v>3006</v>
      </c>
      <c r="J10" s="3222">
        <f>ROUND(IF(M10="押一",M6*M8*M7/12*M11,IF(M10="押二",M6*M8*M7/12*2*M11,IF(M10="押三",M6*M8*M7/12*3*M11,J11*M11))),0)</f>
        <v>0</v>
      </c>
      <c r="K10" s="3237" t="s">
        <v>3009</v>
      </c>
      <c r="L10" s="3231" t="s">
        <v>3008</v>
      </c>
      <c r="M10" s="3236"/>
    </row>
    <row r="11" spans="1:37" ht="18" customHeight="1">
      <c r="A11" s="3238"/>
      <c r="B11" s="3239" t="s">
        <v>3010</v>
      </c>
      <c r="C11" s="3240"/>
      <c r="D11" s="3226"/>
      <c r="E11" s="3231" t="s">
        <v>3011</v>
      </c>
      <c r="F11" s="3232">
        <f>'[1]数据-取费表'!B39</f>
        <v>0</v>
      </c>
      <c r="G11" s="3210"/>
      <c r="H11" s="3241"/>
      <c r="I11" s="3239" t="s">
        <v>3012</v>
      </c>
      <c r="J11" s="3240"/>
      <c r="K11" s="3242"/>
      <c r="L11" s="3231" t="s">
        <v>3011</v>
      </c>
      <c r="M11" s="3243">
        <f>'[1]数据-取费表'!B39</f>
        <v>0</v>
      </c>
    </row>
    <row r="12" spans="1:37" ht="18" customHeight="1" thickBot="1">
      <c r="A12" s="3244" t="s">
        <v>3013</v>
      </c>
      <c r="B12" s="3245" t="s">
        <v>3014</v>
      </c>
      <c r="C12" s="3246"/>
      <c r="D12" s="3247"/>
      <c r="E12" s="3248"/>
      <c r="F12" s="3249"/>
      <c r="G12" s="3210"/>
      <c r="H12" s="3244" t="s">
        <v>3013</v>
      </c>
      <c r="I12" s="3245" t="s">
        <v>3014</v>
      </c>
      <c r="J12" s="3246"/>
      <c r="K12" s="3250"/>
      <c r="L12" s="3248"/>
      <c r="M12" s="3251"/>
    </row>
    <row r="13" spans="1:37" ht="18" customHeight="1" thickTop="1">
      <c r="A13" s="3252">
        <v>2</v>
      </c>
      <c r="B13" s="3253" t="s">
        <v>3015</v>
      </c>
      <c r="C13" s="3254">
        <f ca="1">ROUND(C29*F13,0)</f>
        <v>0</v>
      </c>
      <c r="D13" s="3255" t="s">
        <v>3016</v>
      </c>
      <c r="E13" s="3255" t="s">
        <v>3017</v>
      </c>
      <c r="F13" s="3256">
        <f ca="1">INDIRECT("'数据-取费表'!y"&amp;$G$1)</f>
        <v>0</v>
      </c>
      <c r="G13" s="3210"/>
      <c r="H13" s="3252">
        <v>2</v>
      </c>
      <c r="I13" s="3253" t="s">
        <v>3015</v>
      </c>
      <c r="J13" s="3257">
        <f ca="1">ROUND(J14*J15,0)</f>
        <v>0</v>
      </c>
      <c r="K13" s="3258" t="s">
        <v>3016</v>
      </c>
      <c r="L13" s="3259"/>
      <c r="M13" s="3260"/>
    </row>
    <row r="14" spans="1:37" ht="18" customHeight="1">
      <c r="A14" s="3261" t="s">
        <v>3018</v>
      </c>
      <c r="B14" s="3220" t="s">
        <v>3019</v>
      </c>
      <c r="C14" s="3262">
        <f ca="1">ROUND(INDIRECT("'数据-取费表'!l"&amp;$G$1)*F43+'[1]数据-取费表'!L14*INDIRECT("'数据-取费表'!S"&amp;$G$1),0)</f>
        <v>351138912</v>
      </c>
      <c r="D14" s="3263" t="s">
        <v>3020</v>
      </c>
      <c r="E14" s="3264"/>
      <c r="F14" s="3265"/>
      <c r="G14" s="3210"/>
      <c r="H14" s="3261" t="s">
        <v>3021</v>
      </c>
      <c r="I14" s="3220" t="s">
        <v>3022</v>
      </c>
      <c r="J14" s="3266">
        <f ca="1">C29</f>
        <v>403809749</v>
      </c>
      <c r="K14" s="3267"/>
      <c r="L14" s="3268"/>
      <c r="M14" s="3269"/>
    </row>
    <row r="15" spans="1:37" s="3278" customFormat="1" ht="18" customHeight="1" thickBot="1">
      <c r="A15" s="3261" t="s">
        <v>3023</v>
      </c>
      <c r="B15" s="3220" t="s">
        <v>3024</v>
      </c>
      <c r="C15" s="3266">
        <f ca="1">ROUND(C14*F15,0)</f>
        <v>0</v>
      </c>
      <c r="D15" s="3270" t="s">
        <v>3025</v>
      </c>
      <c r="E15" s="3270" t="s">
        <v>3026</v>
      </c>
      <c r="F15" s="3271">
        <f>'[1]数据-取费表'!B33</f>
        <v>0</v>
      </c>
      <c r="G15" s="3272"/>
      <c r="H15" s="3273" t="s">
        <v>3005</v>
      </c>
      <c r="I15" s="3248" t="s">
        <v>3017</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3027</v>
      </c>
      <c r="B16" s="3220" t="s">
        <v>3028</v>
      </c>
      <c r="C16" s="3266">
        <f ca="1">ROUND(INDIRECT("'数据-取费表'!l"&amp;$G$1)*F43*F16,0)</f>
        <v>0</v>
      </c>
      <c r="D16" s="3220" t="s">
        <v>3029</v>
      </c>
      <c r="E16" s="3220" t="s">
        <v>3030</v>
      </c>
      <c r="F16" s="3279">
        <f ca="1">IF(INDIRECT("'数据-取费表'!c"&amp;$G$1)="住宅",'[1]数据-取费表'!B34,0)</f>
        <v>0</v>
      </c>
      <c r="G16" s="3210"/>
      <c r="H16" s="3252" t="s">
        <v>3031</v>
      </c>
      <c r="I16" s="3253" t="s">
        <v>3032</v>
      </c>
      <c r="J16" s="3254">
        <f ca="1">ROUND(J17+J22+J23+J24,0)</f>
        <v>3392002</v>
      </c>
      <c r="K16" s="3258" t="s">
        <v>3033</v>
      </c>
      <c r="L16" s="3280"/>
      <c r="M16" s="3216"/>
    </row>
    <row r="17" spans="1:37" s="3278" customFormat="1" ht="18" customHeight="1">
      <c r="A17" s="3261" t="s">
        <v>3034</v>
      </c>
      <c r="B17" s="3220" t="s">
        <v>3035</v>
      </c>
      <c r="C17" s="3266">
        <f ca="1">ROUND(F17*(F43+INDIRECT("'数据-取费表'!S"&amp;$G$1)),0)</f>
        <v>0</v>
      </c>
      <c r="D17" s="3220" t="s">
        <v>3036</v>
      </c>
      <c r="E17" s="3220" t="s">
        <v>3037</v>
      </c>
      <c r="F17" s="3281">
        <f>'[1]数据-取费表'!B35</f>
        <v>0</v>
      </c>
      <c r="G17" s="3272"/>
      <c r="H17" s="3261" t="s">
        <v>2997</v>
      </c>
      <c r="I17" s="3220" t="s">
        <v>3038</v>
      </c>
      <c r="J17" s="3266">
        <f ca="1">ROUND(IF([1]项目基本情况!B11="自然人",J5*M17,J18+J19+J20),0)</f>
        <v>3392002</v>
      </c>
      <c r="K17" s="3263" t="s">
        <v>3039</v>
      </c>
      <c r="L17" s="3282" t="s">
        <v>3040</v>
      </c>
      <c r="M17" s="3283">
        <f ca="1">IF([1]项目基本情况!B11="企业","",IF(INDIRECT("'数据-取费表'!c"&amp;$G$1)="住宅",5%,IF(M6*M7*M8/12/(1+'[1]数据-取费表'!C42)&gt;20000,12%,7%)))</f>
        <v>0.05</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3041</v>
      </c>
      <c r="B18" s="3220" t="s">
        <v>3042</v>
      </c>
      <c r="C18" s="3266">
        <f ca="1">ROUND(C14*F18,0)</f>
        <v>0</v>
      </c>
      <c r="D18" s="3220" t="s">
        <v>3025</v>
      </c>
      <c r="E18" s="3220" t="s">
        <v>3026</v>
      </c>
      <c r="F18" s="3279">
        <f>'[1]数据-取费表'!B36</f>
        <v>0</v>
      </c>
      <c r="G18" s="3272"/>
      <c r="H18" s="3261" t="s">
        <v>3018</v>
      </c>
      <c r="I18" s="3220" t="s">
        <v>3043</v>
      </c>
      <c r="J18" s="3266">
        <f ca="1">ROUND(J5*M18/(1+'[1]数据-取费表'!C42),0)</f>
        <v>0</v>
      </c>
      <c r="K18" s="3282" t="s">
        <v>3044</v>
      </c>
      <c r="L18" s="3220" t="s">
        <v>3030</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3021</v>
      </c>
      <c r="B19" s="3220" t="s">
        <v>3045</v>
      </c>
      <c r="C19" s="3266">
        <f ca="1">SUM(C14:C18)</f>
        <v>351138912</v>
      </c>
      <c r="D19" s="3284" t="s">
        <v>3046</v>
      </c>
      <c r="E19" s="3285"/>
      <c r="F19" s="3281"/>
      <c r="G19" s="3210"/>
      <c r="H19" s="3261" t="s">
        <v>3023</v>
      </c>
      <c r="I19" s="3220" t="s">
        <v>3047</v>
      </c>
      <c r="J19" s="3266">
        <f ca="1">IF(K19="按租金收入计税",ROUND(J5*M19,0),ROUND(C29*M19*0.7,0))</f>
        <v>3392002</v>
      </c>
      <c r="K19" s="3286" t="s">
        <v>3048</v>
      </c>
      <c r="L19" s="3220" t="s">
        <v>3026</v>
      </c>
      <c r="M19" s="3279">
        <f>IF(K19="按租金收入计税",'[1]数据-取费表'!B51,'[1]数据-取费表'!B50)</f>
        <v>1.2E-2</v>
      </c>
    </row>
    <row r="20" spans="1:37" s="3278" customFormat="1" ht="18" customHeight="1">
      <c r="A20" s="3261" t="s">
        <v>3005</v>
      </c>
      <c r="B20" s="3220" t="s">
        <v>3049</v>
      </c>
      <c r="C20" s="3266">
        <f ca="1">ROUND(C19*F20,0)</f>
        <v>0</v>
      </c>
      <c r="D20" s="3287" t="s">
        <v>3050</v>
      </c>
      <c r="E20" s="3220" t="s">
        <v>3026</v>
      </c>
      <c r="F20" s="3279">
        <f>'[1]数据-取费表'!B37</f>
        <v>0</v>
      </c>
      <c r="G20" s="3272"/>
      <c r="H20" s="3261" t="s">
        <v>3027</v>
      </c>
      <c r="I20" s="3219" t="s">
        <v>3051</v>
      </c>
      <c r="J20" s="3288">
        <f ca="1">ROUND(M20*M21,0)</f>
        <v>0</v>
      </c>
      <c r="K20" s="3289" t="s">
        <v>3052</v>
      </c>
      <c r="L20" s="3220" t="s">
        <v>3053</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3013</v>
      </c>
      <c r="B21" s="3220" t="s">
        <v>3054</v>
      </c>
      <c r="C21" s="3266" t="s">
        <v>3055</v>
      </c>
      <c r="D21" s="3287" t="s">
        <v>3056</v>
      </c>
      <c r="E21" s="3220" t="s">
        <v>3057</v>
      </c>
      <c r="F21" s="3279">
        <f>'[1]数据-取费表'!B38</f>
        <v>0</v>
      </c>
      <c r="G21" s="3272"/>
      <c r="H21" s="3291"/>
      <c r="I21" s="3292"/>
      <c r="J21" s="3293"/>
      <c r="K21" s="3294"/>
      <c r="L21" s="3220" t="s">
        <v>3058</v>
      </c>
      <c r="M21" s="3221">
        <f ca="1">INDIRECT("'数据-取费表'!r"&amp;$G$1)</f>
        <v>63612.12</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3059</v>
      </c>
      <c r="B22" s="3220" t="s">
        <v>3060</v>
      </c>
      <c r="C22" s="3266"/>
      <c r="D22" s="3284" t="str">
        <f>IF(F23&lt;=1,"单利计息。","复利计息。")&amp;"建造成本、管理费用、销售费用产生的利息。"</f>
        <v>单利计息。建造成本、管理费用、销售费用产生的利息。</v>
      </c>
      <c r="E22" s="3285"/>
      <c r="F22" s="3281"/>
      <c r="G22" s="3210"/>
      <c r="H22" s="3261" t="s">
        <v>3005</v>
      </c>
      <c r="I22" s="3220" t="s">
        <v>3061</v>
      </c>
      <c r="J22" s="3266">
        <f ca="1">ROUND(J14*M22,0)</f>
        <v>0</v>
      </c>
      <c r="K22" s="3282" t="s">
        <v>3062</v>
      </c>
      <c r="L22" s="3220" t="s">
        <v>3026</v>
      </c>
      <c r="M22" s="3295">
        <f ca="1">INDIRECT("'数据-取费表'!Ak"&amp;$G$1)</f>
        <v>0</v>
      </c>
    </row>
    <row r="23" spans="1:37" s="3278" customFormat="1" ht="18" customHeight="1">
      <c r="A23" s="3261" t="s">
        <v>3018</v>
      </c>
      <c r="B23" s="3220" t="s">
        <v>3063</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3064</v>
      </c>
      <c r="F23" s="3290">
        <f>'[1]数据-取费表'!B20</f>
        <v>0</v>
      </c>
      <c r="G23" s="3272"/>
      <c r="H23" s="3261" t="s">
        <v>3013</v>
      </c>
      <c r="I23" s="3220" t="s">
        <v>3065</v>
      </c>
      <c r="J23" s="3266">
        <f ca="1">ROUND(J13*M23,0)</f>
        <v>0</v>
      </c>
      <c r="K23" s="3282" t="s">
        <v>3066</v>
      </c>
      <c r="L23" s="3220" t="s">
        <v>3026</v>
      </c>
      <c r="M23" s="3297">
        <f ca="1">INDIRECT("'数据-取费表'!Al"&amp;$G$1)</f>
        <v>0</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3067</v>
      </c>
      <c r="B24" s="3220" t="s">
        <v>3068</v>
      </c>
      <c r="C24" s="3266">
        <f>ROUND(IF('[1]数据-取费表'!B22&lt;=1,F21*F24*F23/2,F21*(POWER((1+F24),F23/2)-1)),4)</f>
        <v>0</v>
      </c>
      <c r="D24" s="3296" t="str">
        <f>IF(F23&lt;=1,"销售费用×利率×(建设周期÷2)","销售费用×((1+利率)^(建设周期÷2)-1)")</f>
        <v>销售费用×利率×(建设周期÷2)</v>
      </c>
      <c r="E24" s="3220" t="s">
        <v>3069</v>
      </c>
      <c r="F24" s="3298">
        <f>'[1]数据-取费表'!B40</f>
        <v>0</v>
      </c>
      <c r="G24" s="3272"/>
      <c r="H24" s="3273" t="s">
        <v>3059</v>
      </c>
      <c r="I24" s="3248" t="s">
        <v>3049</v>
      </c>
      <c r="J24" s="3299">
        <f ca="1">ROUND(J5*M24,0)</f>
        <v>0</v>
      </c>
      <c r="K24" s="3300" t="s">
        <v>3070</v>
      </c>
      <c r="L24" s="3248" t="s">
        <v>3026</v>
      </c>
      <c r="M24" s="3249">
        <f ca="1">INDIRECT("'数据-取费表'!Am"&amp;$G$1)</f>
        <v>0</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3071</v>
      </c>
      <c r="B25" s="3220" t="s">
        <v>3072</v>
      </c>
      <c r="C25" s="3266"/>
      <c r="D25" s="3284" t="s">
        <v>3073</v>
      </c>
      <c r="E25" s="3285"/>
      <c r="F25" s="3281"/>
      <c r="G25" s="3210"/>
      <c r="H25" s="3252" t="s">
        <v>3074</v>
      </c>
      <c r="I25" s="3301" t="s">
        <v>3075</v>
      </c>
      <c r="J25" s="3254">
        <f ca="1">J5-J16</f>
        <v>-3392002</v>
      </c>
      <c r="K25" s="3302" t="s">
        <v>3076</v>
      </c>
      <c r="L25" s="3303"/>
      <c r="M25" s="3304"/>
    </row>
    <row r="26" spans="1:37" ht="18" customHeight="1">
      <c r="A26" s="3261" t="s">
        <v>3018</v>
      </c>
      <c r="B26" s="3220" t="s">
        <v>3077</v>
      </c>
      <c r="C26" s="3266">
        <f ca="1">ROUND((C19+C20)*F26,0)</f>
        <v>52670837</v>
      </c>
      <c r="D26" s="3287" t="s">
        <v>3078</v>
      </c>
      <c r="E26" s="3231" t="s">
        <v>3079</v>
      </c>
      <c r="F26" s="3230">
        <f ca="1">INDIRECT("'数据-取费表'!q"&amp;$G$1)</f>
        <v>0.15</v>
      </c>
      <c r="G26" s="3210"/>
      <c r="H26" s="3211" t="s">
        <v>3080</v>
      </c>
      <c r="I26" s="3212" t="s">
        <v>3081</v>
      </c>
      <c r="J26" s="3222">
        <f ca="1">IF(J5&lt;&gt;0,ROUND(J25*(1-((1+M28)/(1+M26))^M27)/(M26-M28),0),0)</f>
        <v>0</v>
      </c>
      <c r="K26" s="3289" t="s">
        <v>3082</v>
      </c>
      <c r="L26" s="3220" t="s">
        <v>3083</v>
      </c>
      <c r="M26" s="3230">
        <f ca="1">INDIRECT("'数据-取费表'!I"&amp;$G$1)</f>
        <v>5.5E-2</v>
      </c>
    </row>
    <row r="27" spans="1:37" ht="18" customHeight="1">
      <c r="A27" s="3261" t="s">
        <v>3067</v>
      </c>
      <c r="B27" s="3220" t="s">
        <v>3084</v>
      </c>
      <c r="C27" s="3266">
        <f ca="1">ROUND(F21*F26,4)</f>
        <v>0</v>
      </c>
      <c r="D27" s="3287" t="s">
        <v>3085</v>
      </c>
      <c r="E27" s="3270"/>
      <c r="F27" s="3271"/>
      <c r="G27" s="3210"/>
      <c r="H27" s="3228"/>
      <c r="I27" s="3305"/>
      <c r="J27" s="3229"/>
      <c r="K27" s="3306" t="s">
        <v>3086</v>
      </c>
      <c r="L27" s="3220" t="s">
        <v>3087</v>
      </c>
      <c r="M27" s="3307">
        <f ca="1">INDIRECT("'数据-取费表'!ag"&amp;$G$1)</f>
        <v>0</v>
      </c>
    </row>
    <row r="28" spans="1:37" s="3278" customFormat="1" ht="18" customHeight="1">
      <c r="A28" s="3261" t="s">
        <v>3088</v>
      </c>
      <c r="B28" s="3220" t="s">
        <v>3089</v>
      </c>
      <c r="C28" s="3266">
        <f>ROUND(F28/(1+'[1]数据-取费表'!C42),4)</f>
        <v>0</v>
      </c>
      <c r="D28" s="3287" t="s">
        <v>3090</v>
      </c>
      <c r="E28" s="3220" t="s">
        <v>3026</v>
      </c>
      <c r="F28" s="3279">
        <f>'[1]数据-取费表'!B41</f>
        <v>0</v>
      </c>
      <c r="G28" s="3272"/>
      <c r="H28" s="3238"/>
      <c r="I28" s="3308"/>
      <c r="J28" s="3254"/>
      <c r="K28" s="3294"/>
      <c r="L28" s="3220" t="s">
        <v>3091</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3092</v>
      </c>
      <c r="B29" s="3248" t="s">
        <v>3093</v>
      </c>
      <c r="C29" s="3299">
        <f ca="1">ROUND((C19+C20+C23+C26)/(1-F21-C24-C27-C28),0)</f>
        <v>403809749</v>
      </c>
      <c r="D29" s="3300"/>
      <c r="E29" s="3248"/>
      <c r="F29" s="3309"/>
      <c r="G29" s="3272"/>
      <c r="H29" s="3310" t="s">
        <v>3094</v>
      </c>
      <c r="I29" s="3311" t="s">
        <v>3095</v>
      </c>
      <c r="J29" s="3312">
        <f ca="1">ROUND(J26/(1+F40)^F41,0)</f>
        <v>0</v>
      </c>
      <c r="K29" s="3313" t="s">
        <v>3096</v>
      </c>
      <c r="L29" s="3314"/>
      <c r="M29" s="3315">
        <f ca="1">INDIRECT("'数据-取费表'!k"&amp;$G$1)</f>
        <v>146307.88</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3097</v>
      </c>
      <c r="B30" s="3253" t="s">
        <v>3032</v>
      </c>
      <c r="C30" s="3254">
        <f ca="1">ROUND(C31+C36+C37+C38,0)</f>
        <v>3392002</v>
      </c>
      <c r="D30" s="3258" t="s">
        <v>3033</v>
      </c>
      <c r="E30" s="3280"/>
      <c r="F30" s="3216"/>
      <c r="G30" s="3210"/>
      <c r="H30" s="3316"/>
      <c r="I30" s="3317"/>
      <c r="J30" s="3318"/>
      <c r="K30" s="3242"/>
      <c r="L30" s="3319"/>
      <c r="M30" s="3320"/>
    </row>
    <row r="31" spans="1:37" ht="18" customHeight="1">
      <c r="A31" s="3261" t="s">
        <v>2997</v>
      </c>
      <c r="B31" s="3220" t="s">
        <v>3038</v>
      </c>
      <c r="C31" s="3266">
        <f ca="1">ROUND(IF([1]项目基本情况!B11="自然人",C5*F31,C32+C33+C34),0)</f>
        <v>3392002</v>
      </c>
      <c r="D31" s="3263" t="s">
        <v>3039</v>
      </c>
      <c r="E31" s="3282" t="s">
        <v>3040</v>
      </c>
      <c r="F31" s="3283">
        <f ca="1">IF([1]项目基本情况!B11="企业","",IF(INDIRECT("'数据-取费表'!c"&amp;$G$1)="住宅",5%,IF(F6*F7*F8/12/(1+'[1]数据-取费表'!C42)&gt;20000,12%,7%)))</f>
        <v>0.05</v>
      </c>
      <c r="G31" s="3210"/>
      <c r="H31" s="3316"/>
      <c r="I31" s="3317"/>
      <c r="J31" s="3318"/>
      <c r="K31" s="3242"/>
      <c r="L31" s="3319"/>
      <c r="M31" s="3320"/>
    </row>
    <row r="32" spans="1:37" ht="18" customHeight="1">
      <c r="A32" s="3261" t="s">
        <v>3018</v>
      </c>
      <c r="B32" s="3220" t="s">
        <v>3098</v>
      </c>
      <c r="C32" s="3266">
        <f ca="1">IF([1]项目基本情况!B11="自然人","——",ROUND(C5*F32/(1+'[1]数据-取费表'!C42),0))</f>
        <v>0</v>
      </c>
      <c r="D32" s="3282" t="s">
        <v>3099</v>
      </c>
      <c r="E32" s="3220" t="s">
        <v>3026</v>
      </c>
      <c r="F32" s="3298">
        <f>'[1]数据-取费表'!B41</f>
        <v>0</v>
      </c>
      <c r="G32" s="3210"/>
      <c r="H32" s="3316"/>
      <c r="I32" s="3317"/>
      <c r="J32" s="3318"/>
      <c r="K32" s="3242"/>
      <c r="L32" s="3319"/>
      <c r="M32" s="3320"/>
    </row>
    <row r="33" spans="1:18" ht="18" customHeight="1">
      <c r="A33" s="3261" t="s">
        <v>3067</v>
      </c>
      <c r="B33" s="3220" t="s">
        <v>3047</v>
      </c>
      <c r="C33" s="3266">
        <f ca="1">IF([1]项目基本情况!B11="自然人","——",IF(D33="按租金收入计税",ROUND(C5*F33,0),IF(D33="按房产原值计税",ROUND(C29*F33*0.7,0),INDIRECT("'数据-取费表'!Aj"&amp;$G$1))))</f>
        <v>3392002</v>
      </c>
      <c r="D33" s="3286" t="s">
        <v>3048</v>
      </c>
      <c r="E33" s="3220" t="s">
        <v>3026</v>
      </c>
      <c r="F33" s="3279">
        <f>IF(D33="按票据","——",IF(D33="按租金收入计税",'[1]数据-取费表'!B51,'[1]数据-取费表'!B50))</f>
        <v>1.2E-2</v>
      </c>
      <c r="G33" s="3210"/>
      <c r="H33" s="3321"/>
      <c r="I33" s="3322"/>
      <c r="J33" s="3323"/>
      <c r="K33" s="3324"/>
      <c r="L33" s="3321"/>
      <c r="M33" s="3321"/>
    </row>
    <row r="34" spans="1:18" ht="18" customHeight="1">
      <c r="A34" s="3217" t="s">
        <v>3027</v>
      </c>
      <c r="B34" s="3219" t="s">
        <v>3051</v>
      </c>
      <c r="C34" s="3288">
        <f ca="1">IF([1]项目基本情况!B11="自然人","——",ROUND(F34*F35,))</f>
        <v>0</v>
      </c>
      <c r="D34" s="3289" t="s">
        <v>3052</v>
      </c>
      <c r="E34" s="3220" t="s">
        <v>3053</v>
      </c>
      <c r="F34" s="3290">
        <f>'[1]数据-取费表'!B52</f>
        <v>0</v>
      </c>
      <c r="G34" s="3210"/>
      <c r="H34" s="3316"/>
      <c r="I34" s="3322"/>
      <c r="J34" s="3323"/>
      <c r="K34" s="3325"/>
      <c r="L34" s="3326"/>
      <c r="M34" s="3326"/>
    </row>
    <row r="35" spans="1:18" ht="18" customHeight="1">
      <c r="A35" s="3327"/>
      <c r="B35" s="3328"/>
      <c r="C35" s="3293"/>
      <c r="D35" s="3294"/>
      <c r="E35" s="3220" t="s">
        <v>3058</v>
      </c>
      <c r="F35" s="3221">
        <f ca="1">INDIRECT("'数据-取费表'!r"&amp;$G$1)</f>
        <v>63612.12</v>
      </c>
      <c r="G35" s="3210"/>
      <c r="H35" s="3316"/>
      <c r="I35" s="3322"/>
      <c r="J35" s="3323"/>
      <c r="K35" s="3324"/>
      <c r="L35" s="3321"/>
      <c r="M35" s="3321"/>
    </row>
    <row r="36" spans="1:18" ht="18" customHeight="1">
      <c r="A36" s="3329" t="s">
        <v>3005</v>
      </c>
      <c r="B36" s="3220" t="s">
        <v>3061</v>
      </c>
      <c r="C36" s="3266">
        <f ca="1">ROUND(C29*F36,0)</f>
        <v>0</v>
      </c>
      <c r="D36" s="3282" t="s">
        <v>3100</v>
      </c>
      <c r="E36" s="3220" t="s">
        <v>3026</v>
      </c>
      <c r="F36" s="3295">
        <f ca="1">INDIRECT("'数据-取费表'!Ak"&amp;$G$1)</f>
        <v>0</v>
      </c>
      <c r="G36" s="3210"/>
      <c r="H36" s="3321"/>
      <c r="I36" s="3322"/>
      <c r="J36" s="3323"/>
      <c r="K36" s="3330"/>
      <c r="L36" s="3321"/>
      <c r="M36" s="3321"/>
    </row>
    <row r="37" spans="1:18" ht="18" customHeight="1">
      <c r="A37" s="3261" t="s">
        <v>3013</v>
      </c>
      <c r="B37" s="3220" t="s">
        <v>3065</v>
      </c>
      <c r="C37" s="3266">
        <f ca="1">ROUND(C13*F37,0)</f>
        <v>0</v>
      </c>
      <c r="D37" s="3282" t="s">
        <v>3066</v>
      </c>
      <c r="E37" s="3220" t="s">
        <v>3026</v>
      </c>
      <c r="F37" s="3297">
        <f ca="1">INDIRECT("'数据-取费表'!Al"&amp;$G$1)</f>
        <v>0</v>
      </c>
      <c r="G37" s="3210"/>
      <c r="H37" s="3321"/>
      <c r="I37" s="3322"/>
      <c r="J37" s="3323"/>
      <c r="K37" s="3330"/>
      <c r="L37" s="3321"/>
      <c r="M37" s="3321"/>
    </row>
    <row r="38" spans="1:18" ht="18" customHeight="1" thickBot="1">
      <c r="A38" s="3273" t="s">
        <v>3059</v>
      </c>
      <c r="B38" s="3248" t="s">
        <v>3049</v>
      </c>
      <c r="C38" s="3299">
        <f ca="1">ROUND(C5*F38,1)</f>
        <v>0</v>
      </c>
      <c r="D38" s="3300" t="s">
        <v>3070</v>
      </c>
      <c r="E38" s="3248" t="s">
        <v>3026</v>
      </c>
      <c r="F38" s="3249">
        <f ca="1">INDIRECT("'数据-取费表'!Am"&amp;$G$1)</f>
        <v>0</v>
      </c>
      <c r="G38" s="3210"/>
      <c r="H38" s="3321"/>
      <c r="I38" s="3322"/>
      <c r="J38" s="3323"/>
      <c r="K38" s="3331"/>
      <c r="L38" s="3321"/>
      <c r="M38" s="3321"/>
    </row>
    <row r="39" spans="1:18" ht="24.6" customHeight="1" thickTop="1">
      <c r="A39" s="3252" t="s">
        <v>3074</v>
      </c>
      <c r="B39" s="3301" t="s">
        <v>3075</v>
      </c>
      <c r="C39" s="3254">
        <f ca="1">C5-C30</f>
        <v>-3392002</v>
      </c>
      <c r="D39" s="3302" t="s">
        <v>3076</v>
      </c>
      <c r="E39" s="3303"/>
      <c r="F39" s="3304"/>
      <c r="G39" s="3210"/>
      <c r="H39" s="3321"/>
      <c r="I39" s="3322"/>
      <c r="J39" s="3323"/>
      <c r="K39" s="3331"/>
      <c r="L39" s="3321"/>
      <c r="M39" s="3321"/>
    </row>
    <row r="40" spans="1:18" ht="18" customHeight="1">
      <c r="A40" s="3211" t="s">
        <v>3080</v>
      </c>
      <c r="B40" s="3212" t="s">
        <v>3101</v>
      </c>
      <c r="C40" s="3222">
        <f ca="1">ROUND(C39*(1-((1+F42)/(1+F40))^F41)/(F40-F42),0)</f>
        <v>0</v>
      </c>
      <c r="D40" s="3289" t="s">
        <v>3082</v>
      </c>
      <c r="E40" s="3220" t="s">
        <v>3083</v>
      </c>
      <c r="F40" s="3230">
        <f ca="1">INDIRECT("'数据-取费表'!I"&amp;$G$1)</f>
        <v>5.5E-2</v>
      </c>
      <c r="G40" s="3210"/>
      <c r="H40" s="3332"/>
      <c r="I40" s="3322"/>
      <c r="J40" s="3323"/>
      <c r="K40" s="3331"/>
      <c r="L40" s="3332"/>
      <c r="M40" s="3332"/>
    </row>
    <row r="41" spans="1:18" ht="18" customHeight="1">
      <c r="A41" s="3228"/>
      <c r="B41" s="3305"/>
      <c r="C41" s="3229"/>
      <c r="D41" s="3306" t="s">
        <v>3086</v>
      </c>
      <c r="E41" s="3220" t="s">
        <v>3087</v>
      </c>
      <c r="F41" s="3307">
        <f ca="1">IF(INDIRECT("'数据-取费表'!af"&amp;$G$1)=0,INDIRECT("'数据-取费表'!ae"&amp;$G$1),INDIRECT("'数据-取费表'!af"&amp;$G$1))</f>
        <v>0</v>
      </c>
      <c r="G41" s="3210"/>
      <c r="H41" s="3333"/>
      <c r="I41" s="3322"/>
      <c r="J41" s="3323"/>
      <c r="K41" s="3330"/>
      <c r="L41" s="3333"/>
      <c r="M41" s="3333"/>
    </row>
    <row r="42" spans="1:18" ht="18" customHeight="1">
      <c r="A42" s="3238"/>
      <c r="B42" s="3308"/>
      <c r="C42" s="3254"/>
      <c r="D42" s="3294"/>
      <c r="E42" s="3220" t="s">
        <v>3091</v>
      </c>
      <c r="F42" s="3230">
        <f ca="1">INDIRECT("'数据-取费表'!v"&amp;$G$1)</f>
        <v>0</v>
      </c>
      <c r="G42" s="3210"/>
      <c r="H42" s="3333"/>
      <c r="I42" s="3322"/>
      <c r="J42" s="3323"/>
      <c r="K42" s="3330"/>
      <c r="L42" s="3333"/>
      <c r="M42" s="3333"/>
    </row>
    <row r="43" spans="1:18" ht="18" customHeight="1" thickBot="1">
      <c r="A43" s="3310" t="s">
        <v>3094</v>
      </c>
      <c r="B43" s="3311" t="s">
        <v>3102</v>
      </c>
      <c r="C43" s="3312">
        <f ca="1">ROUND(C40/F43,0)</f>
        <v>0</v>
      </c>
      <c r="D43" s="3313" t="s">
        <v>3103</v>
      </c>
      <c r="E43" s="3314" t="s">
        <v>3104</v>
      </c>
      <c r="F43" s="3315">
        <f ca="1">INDIRECT("'数据-取费表'!k"&amp;$G$1)</f>
        <v>146307.88</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0</v>
      </c>
      <c r="D45" s="3338" t="s">
        <v>3105</v>
      </c>
      <c r="E45" s="3334"/>
      <c r="F45" s="3334"/>
      <c r="O45" s="3339" t="s">
        <v>3106</v>
      </c>
      <c r="P45" s="3332"/>
      <c r="Q45" s="3332"/>
      <c r="R45" s="3332"/>
    </row>
    <row r="46" spans="1:18" s="3201" customFormat="1" ht="13.5" thickBot="1">
      <c r="A46" s="3340" t="s">
        <v>3107</v>
      </c>
      <c r="C46" s="3341">
        <f ca="1">ROUND(C45/10000,0)</f>
        <v>0</v>
      </c>
      <c r="D46" s="3342" t="str">
        <f>C2</f>
        <v>万元</v>
      </c>
      <c r="I46" s="3343" t="s">
        <v>3108</v>
      </c>
      <c r="J46" s="3344"/>
      <c r="K46" s="3345"/>
      <c r="L46" s="3346" t="e">
        <f ca="1">IF(M47="住宅",0,IF(L48&gt;J51,L60,J60))</f>
        <v>#DIV/0!</v>
      </c>
      <c r="O46" s="3347" t="s">
        <v>3109</v>
      </c>
      <c r="P46" s="3348" t="s">
        <v>3110</v>
      </c>
      <c r="Q46" s="3349" t="s">
        <v>3111</v>
      </c>
      <c r="R46" s="3349" t="s">
        <v>3112</v>
      </c>
    </row>
    <row r="47" spans="1:18" s="3201" customFormat="1" ht="13.5" thickBot="1">
      <c r="A47" s="3350" t="s">
        <v>2991</v>
      </c>
      <c r="B47" s="3351" t="s">
        <v>2992</v>
      </c>
      <c r="C47" s="3351" t="s">
        <v>2993</v>
      </c>
      <c r="D47" s="3351" t="s">
        <v>2994</v>
      </c>
      <c r="E47" s="3352" t="s">
        <v>2990</v>
      </c>
      <c r="F47" s="3353"/>
      <c r="G47" s="3354"/>
      <c r="I47" s="3355" t="s">
        <v>3113</v>
      </c>
      <c r="J47" s="3356"/>
      <c r="K47" s="3357" t="s">
        <v>3114</v>
      </c>
      <c r="L47" s="3358">
        <f ca="1">INDIRECT("'数据-取费表'!d"&amp;$G$1)</f>
        <v>70</v>
      </c>
      <c r="M47" s="3359" t="str">
        <f>IF(ISNUMBER(FIND("住宅",C1)),"住宅","非住宅")</f>
        <v>非住宅</v>
      </c>
      <c r="O47" s="3360" t="s">
        <v>2381</v>
      </c>
      <c r="P47" s="3361" t="s">
        <v>3115</v>
      </c>
      <c r="Q47" s="3362">
        <f ca="1">C40+J29</f>
        <v>0</v>
      </c>
      <c r="R47" s="3362" t="s">
        <v>3116</v>
      </c>
    </row>
    <row r="48" spans="1:18" s="3201" customFormat="1" ht="28.5" thickBot="1">
      <c r="A48" s="3363" t="s">
        <v>3117</v>
      </c>
      <c r="B48" s="3212" t="s">
        <v>2995</v>
      </c>
      <c r="C48" s="3364">
        <f ca="1">C49+C53+C55</f>
        <v>0</v>
      </c>
      <c r="D48" s="3365"/>
      <c r="E48" s="3366"/>
      <c r="F48" s="3367"/>
      <c r="G48" s="3354"/>
      <c r="H48" s="3368"/>
      <c r="I48" s="3369" t="s">
        <v>3118</v>
      </c>
      <c r="J48" s="3370"/>
      <c r="K48" s="3371" t="s">
        <v>3119</v>
      </c>
      <c r="L48" s="3372">
        <f ca="1">INDIRECT("'数据-取费表'!f"&amp;$G$1)</f>
        <v>69.02</v>
      </c>
      <c r="O48" s="3360" t="s">
        <v>2383</v>
      </c>
      <c r="P48" s="3361" t="s">
        <v>3120</v>
      </c>
      <c r="Q48" s="3362" t="str">
        <f ca="1">J60</f>
        <v>0</v>
      </c>
      <c r="R48" s="3362" t="s">
        <v>3121</v>
      </c>
    </row>
    <row r="49" spans="1:18" s="3201" customFormat="1" ht="13.5" thickBot="1">
      <c r="A49" s="3373" t="s">
        <v>3122</v>
      </c>
      <c r="B49" s="3374" t="s">
        <v>3123</v>
      </c>
      <c r="C49" s="3375">
        <f ca="1">ROUND(F49*F51*F50*(1-F52),0)</f>
        <v>0</v>
      </c>
      <c r="D49" s="3376" t="s">
        <v>3124</v>
      </c>
      <c r="E49" s="3377" t="s">
        <v>3125</v>
      </c>
      <c r="F49" s="3378"/>
      <c r="G49" s="3379"/>
      <c r="H49" s="3368"/>
      <c r="I49" s="3369" t="s">
        <v>3126</v>
      </c>
      <c r="J49" s="3380"/>
      <c r="K49" s="3371" t="s">
        <v>3127</v>
      </c>
      <c r="L49" s="3381"/>
      <c r="O49" s="3382" t="s">
        <v>2385</v>
      </c>
      <c r="P49" s="3361" t="s">
        <v>3128</v>
      </c>
      <c r="Q49" s="3362">
        <f ca="1">C29</f>
        <v>403809749</v>
      </c>
      <c r="R49" s="3362" t="s">
        <v>3116</v>
      </c>
    </row>
    <row r="50" spans="1:18" s="3201" customFormat="1" ht="13.5" thickBot="1">
      <c r="A50" s="3383"/>
      <c r="B50" s="3384"/>
      <c r="C50" s="3385"/>
      <c r="D50" s="3386"/>
      <c r="E50" s="3387" t="s">
        <v>3002</v>
      </c>
      <c r="F50" s="3388">
        <f ca="1">F7</f>
        <v>146307.88</v>
      </c>
      <c r="H50" s="3368"/>
      <c r="I50" s="3369" t="s">
        <v>3129</v>
      </c>
      <c r="J50" s="3389">
        <f>SUMPRODUCT((I63:I65=J47)*(J62:L62=J48)*(J63:L65))</f>
        <v>0</v>
      </c>
      <c r="K50" s="3371" t="s">
        <v>3130</v>
      </c>
      <c r="L50" s="3381"/>
      <c r="M50" s="3390"/>
      <c r="O50" s="3382" t="s">
        <v>2386</v>
      </c>
      <c r="P50" s="3361" t="s">
        <v>3131</v>
      </c>
      <c r="Q50" s="3391" t="e">
        <f ca="1">J58</f>
        <v>#VALUE!</v>
      </c>
      <c r="R50" s="3362"/>
    </row>
    <row r="51" spans="1:18" s="3201" customFormat="1" ht="13.5" thickBot="1">
      <c r="A51" s="3392"/>
      <c r="B51" s="3384"/>
      <c r="C51" s="3385"/>
      <c r="D51" s="3386"/>
      <c r="E51" s="3393" t="s">
        <v>3003</v>
      </c>
      <c r="F51" s="3221">
        <f ca="1">F8</f>
        <v>0</v>
      </c>
      <c r="I51" s="3394" t="s">
        <v>3132</v>
      </c>
      <c r="J51" s="3395">
        <f>IF(J49="",J50,J49+J50-YEAR('[1]数据-取费表'!B2))</f>
        <v>0</v>
      </c>
      <c r="K51" s="3396" t="s">
        <v>3133</v>
      </c>
      <c r="L51" s="3397">
        <f ca="1">ROUND(-PV(INDIRECT("'数据-取费表'!h"&amp;$G$1),L48,(C39-C13*C76),0),0)</f>
        <v>-71765078</v>
      </c>
      <c r="M51" s="3398"/>
      <c r="O51" s="3382" t="s">
        <v>2388</v>
      </c>
      <c r="P51" s="3361" t="s">
        <v>3134</v>
      </c>
      <c r="Q51" s="3391">
        <f>J52</f>
        <v>0</v>
      </c>
      <c r="R51" s="3362"/>
    </row>
    <row r="52" spans="1:18" s="3201" customFormat="1" ht="13.5" thickBot="1">
      <c r="A52" s="3392"/>
      <c r="B52" s="3384"/>
      <c r="C52" s="3385"/>
      <c r="D52" s="3386"/>
      <c r="E52" s="3393" t="s">
        <v>3004</v>
      </c>
      <c r="F52" s="3399"/>
      <c r="I52" s="3400" t="s">
        <v>3135</v>
      </c>
      <c r="J52" s="3401"/>
      <c r="K52" s="3400" t="s">
        <v>3136</v>
      </c>
      <c r="L52" s="3401"/>
      <c r="O52" s="3382" t="s">
        <v>2390</v>
      </c>
      <c r="P52" s="3361" t="s">
        <v>3137</v>
      </c>
      <c r="Q52" s="3362" t="b">
        <f>J53</f>
        <v>0</v>
      </c>
      <c r="R52" s="3362" t="s">
        <v>3138</v>
      </c>
    </row>
    <row r="53" spans="1:18" s="3201" customFormat="1" ht="30.75" customHeight="1" thickBot="1">
      <c r="A53" s="3402" t="s">
        <v>3139</v>
      </c>
      <c r="B53" s="3287" t="s">
        <v>3006</v>
      </c>
      <c r="C53" s="3234">
        <f>ROUND(IF(F53="押一",F49*F51*F50/12*F11,IF(F53="押二",F49*F51*F50/12*2*F11,IF(F53="押三",F49*F51*F50/12*3*F11,C54*F11))),0)</f>
        <v>0</v>
      </c>
      <c r="D53" s="3235" t="s">
        <v>3140</v>
      </c>
      <c r="E53" s="3231" t="s">
        <v>3008</v>
      </c>
      <c r="F53" s="3236"/>
      <c r="I53" s="3403" t="s">
        <v>3141</v>
      </c>
      <c r="J53" s="3404" t="b">
        <f>IF(M47="住宅",J51,IF(D1="——",MIN(J51,L48),IF(D1="在建（套用方法）",MIN(J51,L48-'[1]数据-取费表'!B24),IF(D1="土地（套用方法）",MIN(J51,L48-'[1]数据-取费表'!B20)))))</f>
        <v>0</v>
      </c>
      <c r="K53" s="3511" t="s">
        <v>3142</v>
      </c>
      <c r="L53" s="3512"/>
      <c r="O53" s="3360" t="s">
        <v>2393</v>
      </c>
      <c r="P53" s="3361" t="s">
        <v>3143</v>
      </c>
      <c r="Q53" s="3362">
        <f ca="1">Q47+Q48</f>
        <v>0</v>
      </c>
      <c r="R53" s="3362" t="s">
        <v>2394</v>
      </c>
    </row>
    <row r="54" spans="1:18" s="3201" customFormat="1" ht="13.5" thickBot="1">
      <c r="A54" s="3373"/>
      <c r="B54" s="3405" t="s">
        <v>3012</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3144</v>
      </c>
      <c r="P54" s="3332"/>
      <c r="Q54" s="3332"/>
      <c r="R54" s="3332"/>
    </row>
    <row r="55" spans="1:18" s="3201" customFormat="1" ht="13.5" thickBot="1">
      <c r="A55" s="3244" t="s">
        <v>3013</v>
      </c>
      <c r="B55" s="3245" t="s">
        <v>3014</v>
      </c>
      <c r="C55" s="3246"/>
      <c r="D55" s="3235"/>
      <c r="E55" s="3406"/>
      <c r="F55" s="3407"/>
      <c r="I55" s="3410" t="s">
        <v>3145</v>
      </c>
      <c r="J55" s="3411" t="e">
        <f ca="1">ROUND(IF(J47="钢混",J57/J50,1-(1-2%)*(J50-J57)/J50),3)</f>
        <v>#VALUE!</v>
      </c>
      <c r="K55" s="3412" t="s">
        <v>3146</v>
      </c>
      <c r="L55" s="3413"/>
      <c r="O55" s="3347" t="s">
        <v>3109</v>
      </c>
      <c r="P55" s="3348" t="s">
        <v>3110</v>
      </c>
      <c r="Q55" s="3349" t="s">
        <v>3111</v>
      </c>
      <c r="R55" s="3349" t="s">
        <v>3112</v>
      </c>
    </row>
    <row r="56" spans="1:18" s="3201" customFormat="1" ht="36" customHeight="1" thickTop="1" thickBot="1">
      <c r="A56" s="3414">
        <v>2</v>
      </c>
      <c r="B56" s="3415" t="s">
        <v>3015</v>
      </c>
      <c r="C56" s="3416">
        <f ca="1">C13</f>
        <v>0</v>
      </c>
      <c r="D56" s="3417"/>
      <c r="E56" s="3418"/>
      <c r="F56" s="3407"/>
      <c r="I56" s="3419" t="s">
        <v>3147</v>
      </c>
      <c r="J56" s="3420"/>
      <c r="K56" s="3369" t="s">
        <v>3148</v>
      </c>
      <c r="L56" s="3372">
        <f ca="1">IF(L48&lt;J51,"——",L48-J51)</f>
        <v>69.02</v>
      </c>
      <c r="O56" s="3360" t="s">
        <v>2381</v>
      </c>
      <c r="P56" s="3361" t="s">
        <v>3115</v>
      </c>
      <c r="Q56" s="3362">
        <f ca="1">C40+J29</f>
        <v>0</v>
      </c>
      <c r="R56" s="3362" t="s">
        <v>3116</v>
      </c>
    </row>
    <row r="57" spans="1:18" s="3201" customFormat="1" ht="24.75" thickBot="1">
      <c r="A57" s="3421"/>
      <c r="B57" s="3422" t="s">
        <v>3093</v>
      </c>
      <c r="C57" s="3423">
        <f ca="1">C29</f>
        <v>403809749</v>
      </c>
      <c r="D57" s="3424"/>
      <c r="E57" s="3425"/>
      <c r="F57" s="3426"/>
      <c r="I57" s="3427" t="s">
        <v>3149</v>
      </c>
      <c r="J57" s="3428" t="str">
        <f ca="1">IF(OR(M47="住宅",J51&lt;L48,J56="是"),"——",J51-L48)</f>
        <v>——</v>
      </c>
      <c r="K57" s="3369" t="s">
        <v>3150</v>
      </c>
      <c r="L57" s="3372">
        <f ca="1">IF(L48&lt;J51,"——",IF(L55="比较法",L49,IF(L55="基准地价",L50,L51)))</f>
        <v>-71765078</v>
      </c>
      <c r="O57" s="3360" t="s">
        <v>2383</v>
      </c>
      <c r="P57" s="3361" t="s">
        <v>3151</v>
      </c>
      <c r="Q57" s="3362" t="e">
        <f ca="1">L60</f>
        <v>#DIV/0!</v>
      </c>
      <c r="R57" s="3362" t="s">
        <v>3152</v>
      </c>
    </row>
    <row r="58" spans="1:18" s="3201" customFormat="1" ht="24.75" thickBot="1">
      <c r="A58" s="3429" t="s">
        <v>3097</v>
      </c>
      <c r="B58" s="3415" t="s">
        <v>3032</v>
      </c>
      <c r="C58" s="3234">
        <f ca="1">ROUND(C59+C64+C65+C66,0)</f>
        <v>3392002</v>
      </c>
      <c r="D58" s="3430" t="s">
        <v>3033</v>
      </c>
      <c r="E58" s="3431"/>
      <c r="F58" s="3367"/>
      <c r="I58" s="3427" t="s">
        <v>3153</v>
      </c>
      <c r="J58" s="3432" t="e">
        <f ca="1">IF(J55&lt;0.4,0.4,J55)</f>
        <v>#VALUE!</v>
      </c>
      <c r="K58" s="3396" t="s">
        <v>3154</v>
      </c>
      <c r="L58" s="3372" t="e">
        <f ca="1">ROUND(POWER(1+L52,L47-L48)*(POWER(1+L52,L48)-1)/(POWER(1+L52,L47)-1),4)</f>
        <v>#DIV/0!</v>
      </c>
      <c r="O58" s="3382" t="s">
        <v>2385</v>
      </c>
      <c r="P58" s="3361" t="s">
        <v>3155</v>
      </c>
      <c r="Q58" s="3362">
        <f>IF(L55="比较法",L49,IF(L55="基准地价",L50,0))</f>
        <v>0</v>
      </c>
      <c r="R58" s="3362" t="s">
        <v>3116</v>
      </c>
    </row>
    <row r="59" spans="1:18" s="3201" customFormat="1" ht="24.75" thickBot="1">
      <c r="A59" s="3261" t="s">
        <v>2997</v>
      </c>
      <c r="B59" s="3422" t="s">
        <v>3038</v>
      </c>
      <c r="C59" s="3266">
        <f ca="1">ROUND(IF([1]项目基本情况!B11="自然人",C48*F59,C60+C61+C62),0)</f>
        <v>3392002</v>
      </c>
      <c r="D59" s="3433" t="s">
        <v>3039</v>
      </c>
      <c r="E59" s="3434" t="s">
        <v>3040</v>
      </c>
      <c r="F59" s="3283">
        <f ca="1">IF([1]项目基本情况!B11="企业","",IF(INDIRECT("'数据-取费表'!c"&amp;$G$1)="住宅",5%,IF(F49*F50*F51/12/(1+'[1]数据-取费表'!C42)&gt;20000,12%,7%)))</f>
        <v>0.05</v>
      </c>
      <c r="I59" s="3427" t="s">
        <v>3156</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2386</v>
      </c>
      <c r="P59" s="3361" t="s">
        <v>3157</v>
      </c>
      <c r="Q59" s="3391">
        <f>L52</f>
        <v>0</v>
      </c>
      <c r="R59" s="3362"/>
    </row>
    <row r="60" spans="1:18" s="3201" customFormat="1" ht="16.5" thickBot="1">
      <c r="A60" s="3261" t="s">
        <v>3018</v>
      </c>
      <c r="B60" s="3422" t="s">
        <v>3098</v>
      </c>
      <c r="C60" s="3266">
        <f ca="1">IF([1]项目基本情况!B11="自然人","——",ROUND(C48*F60/(1+'[1]数据-取费表'!C42),0))</f>
        <v>0</v>
      </c>
      <c r="D60" s="3434" t="s">
        <v>3099</v>
      </c>
      <c r="E60" s="3422" t="s">
        <v>3026</v>
      </c>
      <c r="F60" s="3298">
        <f t="shared" ref="F60:F66" si="0">F32</f>
        <v>0</v>
      </c>
      <c r="I60" s="3435" t="s">
        <v>3158</v>
      </c>
      <c r="J60" s="3436" t="str">
        <f ca="1">IF(OR(M47="住宅",J51&lt;L48,J56="是"),"0",ROUND(J59/(1+J52)^J53,0))</f>
        <v>0</v>
      </c>
      <c r="K60" s="3437" t="s">
        <v>3159</v>
      </c>
      <c r="L60" s="3436" t="e">
        <f ca="1">IF(OR(M47="住宅",L48&lt;J51),0,ROUND(L57*(L58/L59-1),0))</f>
        <v>#DIV/0!</v>
      </c>
      <c r="O60" s="3382" t="s">
        <v>2388</v>
      </c>
      <c r="P60" s="3361" t="s">
        <v>3160</v>
      </c>
      <c r="Q60" s="3362" t="e">
        <f ca="1">L58</f>
        <v>#DIV/0!</v>
      </c>
      <c r="R60" s="3362" t="s">
        <v>3161</v>
      </c>
    </row>
    <row r="61" spans="1:18" s="3201" customFormat="1" ht="13.5" thickBot="1">
      <c r="A61" s="3261" t="s">
        <v>3162</v>
      </c>
      <c r="B61" s="3422" t="s">
        <v>3047</v>
      </c>
      <c r="C61" s="3266">
        <f ca="1">IF([1]项目基本情况!B11="自然人","——",IF(D61="按租金收入计税",ROUND(C48*F61,0),IF(D61="按房产原值计税",ROUND(C57*F61*0.7,0),INDIRECT("'数据-取费表'!Aj"&amp;$G$1))))</f>
        <v>3392002</v>
      </c>
      <c r="D61" s="3286" t="s">
        <v>3048</v>
      </c>
      <c r="E61" s="3422" t="s">
        <v>3026</v>
      </c>
      <c r="F61" s="3279">
        <f t="shared" si="0"/>
        <v>1.2E-2</v>
      </c>
      <c r="I61" s="3438"/>
      <c r="J61" s="3438"/>
      <c r="K61" s="3438"/>
      <c r="L61" s="3438"/>
      <c r="O61" s="3382" t="s">
        <v>2390</v>
      </c>
      <c r="P61" s="3361" t="str">
        <f>K59</f>
        <v>建设期及建筑物耐用年限下的土地年期修正系数Kn</v>
      </c>
      <c r="Q61" s="3362" t="e">
        <f ca="1">L59</f>
        <v>#DIV/0!</v>
      </c>
      <c r="R61" s="3362" t="s">
        <v>3163</v>
      </c>
    </row>
    <row r="62" spans="1:18" s="3201" customFormat="1" ht="13.5" thickBot="1">
      <c r="A62" s="3261" t="s">
        <v>3164</v>
      </c>
      <c r="B62" s="3439" t="s">
        <v>3051</v>
      </c>
      <c r="C62" s="3288">
        <f ca="1">IF([1]项目基本情况!B11="自然人","——",ROUND(F62*F63,0))</f>
        <v>0</v>
      </c>
      <c r="D62" s="3440" t="s">
        <v>3052</v>
      </c>
      <c r="E62" s="3422" t="s">
        <v>3053</v>
      </c>
      <c r="F62" s="3290">
        <f t="shared" si="0"/>
        <v>0</v>
      </c>
      <c r="I62" s="3441" t="s">
        <v>3165</v>
      </c>
      <c r="J62" s="3442" t="s">
        <v>3166</v>
      </c>
      <c r="K62" s="3442" t="s">
        <v>3167</v>
      </c>
      <c r="L62" s="3442" t="s">
        <v>3168</v>
      </c>
      <c r="M62" s="3443" t="s">
        <v>3169</v>
      </c>
      <c r="O62" s="3360" t="s">
        <v>2393</v>
      </c>
      <c r="P62" s="3361" t="s">
        <v>3143</v>
      </c>
      <c r="Q62" s="3362" t="e">
        <f ca="1">Q56+Q57</f>
        <v>#DIV/0!</v>
      </c>
      <c r="R62" s="3362" t="s">
        <v>2394</v>
      </c>
    </row>
    <row r="63" spans="1:18" s="3201" customFormat="1" ht="13.5" thickBot="1">
      <c r="A63" s="3291"/>
      <c r="B63" s="3444"/>
      <c r="C63" s="3293"/>
      <c r="D63" s="3445"/>
      <c r="E63" s="3422" t="s">
        <v>3058</v>
      </c>
      <c r="F63" s="3221">
        <f t="shared" ca="1" si="0"/>
        <v>63612.12</v>
      </c>
      <c r="I63" s="3441" t="s">
        <v>3170</v>
      </c>
      <c r="J63" s="3442">
        <v>70</v>
      </c>
      <c r="K63" s="3442">
        <v>50</v>
      </c>
      <c r="L63" s="3442">
        <v>80</v>
      </c>
      <c r="M63" s="3446">
        <v>0.02</v>
      </c>
      <c r="O63" s="3339" t="s">
        <v>3171</v>
      </c>
      <c r="P63" s="3332"/>
      <c r="Q63" s="3332"/>
      <c r="R63" s="3332"/>
    </row>
    <row r="64" spans="1:18" s="3201" customFormat="1" ht="13.5" thickBot="1">
      <c r="A64" s="3261" t="s">
        <v>3005</v>
      </c>
      <c r="B64" s="3422" t="s">
        <v>3061</v>
      </c>
      <c r="C64" s="3266">
        <f ca="1">ROUND(C57*F64,0)</f>
        <v>0</v>
      </c>
      <c r="D64" s="3434" t="s">
        <v>3100</v>
      </c>
      <c r="E64" s="3422" t="s">
        <v>3026</v>
      </c>
      <c r="F64" s="3295">
        <f t="shared" ca="1" si="0"/>
        <v>0</v>
      </c>
      <c r="I64" s="3441" t="s">
        <v>3172</v>
      </c>
      <c r="J64" s="3442">
        <v>50</v>
      </c>
      <c r="K64" s="3442">
        <v>35</v>
      </c>
      <c r="L64" s="3442">
        <v>60</v>
      </c>
      <c r="M64" s="3443">
        <v>0</v>
      </c>
      <c r="O64" s="3347" t="s">
        <v>3109</v>
      </c>
      <c r="P64" s="3348" t="s">
        <v>3110</v>
      </c>
      <c r="Q64" s="3349" t="s">
        <v>3111</v>
      </c>
      <c r="R64" s="3349" t="s">
        <v>3112</v>
      </c>
    </row>
    <row r="65" spans="1:18" s="3201" customFormat="1" ht="13.5" thickBot="1">
      <c r="A65" s="3261" t="s">
        <v>3173</v>
      </c>
      <c r="B65" s="3422" t="s">
        <v>3065</v>
      </c>
      <c r="C65" s="3266">
        <f ca="1">ROUND(C56*F65,0)</f>
        <v>0</v>
      </c>
      <c r="D65" s="3434" t="s">
        <v>3066</v>
      </c>
      <c r="E65" s="3422" t="s">
        <v>3026</v>
      </c>
      <c r="F65" s="3297">
        <f t="shared" ca="1" si="0"/>
        <v>0</v>
      </c>
      <c r="I65" s="3441" t="s">
        <v>3174</v>
      </c>
      <c r="J65" s="3442">
        <v>40</v>
      </c>
      <c r="K65" s="3442">
        <v>30</v>
      </c>
      <c r="L65" s="3442">
        <v>50</v>
      </c>
      <c r="M65" s="3446">
        <v>0.02</v>
      </c>
      <c r="O65" s="3360" t="s">
        <v>2381</v>
      </c>
      <c r="P65" s="3361" t="s">
        <v>3115</v>
      </c>
      <c r="Q65" s="3362">
        <f ca="1">C40+J29</f>
        <v>0</v>
      </c>
      <c r="R65" s="3362" t="s">
        <v>3116</v>
      </c>
    </row>
    <row r="66" spans="1:18" s="3201" customFormat="1" ht="16.5" thickBot="1">
      <c r="A66" s="3261" t="s">
        <v>3175</v>
      </c>
      <c r="B66" s="3422" t="s">
        <v>3049</v>
      </c>
      <c r="C66" s="3266">
        <f ca="1">ROUND(C48*F66,0)</f>
        <v>0</v>
      </c>
      <c r="D66" s="3434" t="s">
        <v>3070</v>
      </c>
      <c r="E66" s="3422" t="s">
        <v>3026</v>
      </c>
      <c r="F66" s="3230">
        <f t="shared" ca="1" si="0"/>
        <v>0</v>
      </c>
      <c r="O66" s="3360" t="s">
        <v>2383</v>
      </c>
      <c r="P66" s="3361" t="s">
        <v>3151</v>
      </c>
      <c r="Q66" s="3362" t="e">
        <f ca="1">L60</f>
        <v>#DIV/0!</v>
      </c>
      <c r="R66" s="3362" t="s">
        <v>3176</v>
      </c>
    </row>
    <row r="67" spans="1:18" s="3201" customFormat="1" ht="16.5" thickBot="1">
      <c r="A67" s="3414" t="s">
        <v>3074</v>
      </c>
      <c r="B67" s="3447" t="s">
        <v>3075</v>
      </c>
      <c r="C67" s="3234">
        <f ca="1">C48-C58</f>
        <v>-3392002</v>
      </c>
      <c r="D67" s="3433" t="s">
        <v>3076</v>
      </c>
      <c r="E67" s="3448"/>
      <c r="F67" s="3449"/>
      <c r="O67" s="3382" t="s">
        <v>2385</v>
      </c>
      <c r="P67" s="3361" t="s">
        <v>3155</v>
      </c>
      <c r="Q67" s="3450">
        <f ca="1">L51</f>
        <v>-71765078</v>
      </c>
      <c r="R67" s="3362" t="s">
        <v>3177</v>
      </c>
    </row>
    <row r="68" spans="1:18" s="3201" customFormat="1" ht="16.5" thickBot="1">
      <c r="A68" s="3451" t="s">
        <v>3080</v>
      </c>
      <c r="B68" s="3452" t="s">
        <v>3101</v>
      </c>
      <c r="C68" s="3222">
        <f ca="1">ROUND(C67*(1-((1+F70)/(1+F68))^F69)/(F68-F70),0)</f>
        <v>0</v>
      </c>
      <c r="D68" s="3440" t="s">
        <v>3082</v>
      </c>
      <c r="E68" s="3422" t="s">
        <v>3083</v>
      </c>
      <c r="F68" s="3230">
        <f ca="1">F40</f>
        <v>5.5E-2</v>
      </c>
      <c r="O68" s="3382" t="s">
        <v>2386</v>
      </c>
      <c r="P68" s="3453" t="s">
        <v>3178</v>
      </c>
      <c r="Q68" s="3362">
        <f ca="1">ROUND(Q69-Q70*Q71,0)</f>
        <v>-3392002</v>
      </c>
      <c r="R68" s="3362" t="s">
        <v>3179</v>
      </c>
    </row>
    <row r="69" spans="1:18" s="3201" customFormat="1" ht="13.5" thickBot="1">
      <c r="A69" s="3454"/>
      <c r="B69" s="3455"/>
      <c r="C69" s="3229"/>
      <c r="D69" s="3456" t="s">
        <v>3086</v>
      </c>
      <c r="E69" s="3422" t="s">
        <v>3087</v>
      </c>
      <c r="F69" s="3307">
        <f ca="1">F41</f>
        <v>0</v>
      </c>
      <c r="O69" s="3382" t="s">
        <v>2401</v>
      </c>
      <c r="P69" s="3453" t="s">
        <v>3180</v>
      </c>
      <c r="Q69" s="3362">
        <f ca="1">C39</f>
        <v>-3392002</v>
      </c>
      <c r="R69" s="3362" t="s">
        <v>3116</v>
      </c>
    </row>
    <row r="70" spans="1:18" s="3201" customFormat="1" ht="13.5" thickBot="1">
      <c r="A70" s="3457"/>
      <c r="B70" s="3458"/>
      <c r="C70" s="3254"/>
      <c r="D70" s="3445"/>
      <c r="E70" s="3422" t="s">
        <v>3091</v>
      </c>
      <c r="F70" s="3399">
        <f ca="1">F42</f>
        <v>0</v>
      </c>
      <c r="O70" s="3382" t="s">
        <v>2403</v>
      </c>
      <c r="P70" s="3453" t="s">
        <v>3181</v>
      </c>
      <c r="Q70" s="3362">
        <f ca="1">C13</f>
        <v>0</v>
      </c>
      <c r="R70" s="3362" t="s">
        <v>3116</v>
      </c>
    </row>
    <row r="71" spans="1:18" s="3201" customFormat="1" ht="13.5" thickBot="1">
      <c r="A71" s="3459" t="s">
        <v>3094</v>
      </c>
      <c r="B71" s="3460" t="s">
        <v>3102</v>
      </c>
      <c r="C71" s="3312">
        <f ca="1">ROUND(C68/F71,0)</f>
        <v>0</v>
      </c>
      <c r="D71" s="3461" t="s">
        <v>3103</v>
      </c>
      <c r="E71" s="3462" t="s">
        <v>3104</v>
      </c>
      <c r="F71" s="3315">
        <f ca="1">F43</f>
        <v>146307.88</v>
      </c>
      <c r="O71" s="3382" t="s">
        <v>2405</v>
      </c>
      <c r="P71" s="3453" t="s">
        <v>3182</v>
      </c>
      <c r="Q71" s="3391">
        <f ca="1">C76</f>
        <v>8.5000000000000006E-2</v>
      </c>
      <c r="R71" s="3362"/>
    </row>
    <row r="72" spans="1:18" s="3201" customFormat="1" ht="13.5" thickBot="1">
      <c r="B72" s="3463"/>
      <c r="C72" s="3463"/>
      <c r="O72" s="3382" t="s">
        <v>2388</v>
      </c>
      <c r="P72" s="3361" t="s">
        <v>3157</v>
      </c>
      <c r="Q72" s="3391">
        <f>L52</f>
        <v>0</v>
      </c>
      <c r="R72" s="3362"/>
    </row>
    <row r="73" spans="1:18" ht="16.5" thickBot="1">
      <c r="A73" s="3201"/>
      <c r="B73" s="3463"/>
      <c r="C73" s="3463"/>
      <c r="D73" s="3201"/>
      <c r="E73" s="3201"/>
      <c r="F73" s="3201"/>
      <c r="O73" s="3382" t="s">
        <v>2390</v>
      </c>
      <c r="P73" s="3361" t="s">
        <v>3160</v>
      </c>
      <c r="Q73" s="3362" t="e">
        <f ca="1">L58</f>
        <v>#DIV/0!</v>
      </c>
      <c r="R73" s="3362" t="s">
        <v>3161</v>
      </c>
    </row>
    <row r="74" spans="1:18" ht="13.5" thickBot="1">
      <c r="A74" s="3201"/>
      <c r="B74" s="3465" t="s">
        <v>3183</v>
      </c>
      <c r="C74" s="3466"/>
      <c r="D74" s="3201"/>
      <c r="E74" s="3201"/>
      <c r="F74" s="3201"/>
      <c r="O74" s="3382" t="s">
        <v>3184</v>
      </c>
      <c r="P74" s="3361" t="str">
        <f>K59</f>
        <v>建设期及建筑物耐用年限下的土地年期修正系数Kn</v>
      </c>
      <c r="Q74" s="3362" t="e">
        <f ca="1">L59</f>
        <v>#DIV/0!</v>
      </c>
      <c r="R74" s="3362" t="s">
        <v>3163</v>
      </c>
    </row>
    <row r="75" spans="1:18" ht="13.5" thickBot="1">
      <c r="A75" s="3201"/>
      <c r="B75" s="3467" t="s">
        <v>3185</v>
      </c>
      <c r="C75" s="3468">
        <f ca="1">ROUND(C13*C76,0)</f>
        <v>0</v>
      </c>
      <c r="D75" s="3201"/>
      <c r="E75" s="3201"/>
      <c r="F75" s="3201"/>
      <c r="K75" s="3336"/>
      <c r="L75" s="3201"/>
      <c r="O75" s="3360" t="s">
        <v>2393</v>
      </c>
      <c r="P75" s="3361" t="s">
        <v>3143</v>
      </c>
      <c r="Q75" s="3362" t="e">
        <f ca="1">Q65+Q66</f>
        <v>#DIV/0!</v>
      </c>
      <c r="R75" s="3362" t="s">
        <v>2394</v>
      </c>
    </row>
    <row r="76" spans="1:18">
      <c r="B76" s="3469" t="s">
        <v>3186</v>
      </c>
      <c r="C76" s="3470">
        <f ca="1">INDIRECT("'数据-取费表'!j"&amp;$G$1)</f>
        <v>8.5000000000000006E-2</v>
      </c>
      <c r="I76" s="3201"/>
      <c r="J76" s="3201"/>
      <c r="K76" s="3336"/>
      <c r="L76" s="3201"/>
    </row>
    <row r="77" spans="1:18">
      <c r="B77" s="3471" t="s">
        <v>3187</v>
      </c>
      <c r="C77" s="3472"/>
      <c r="I77" s="3201"/>
      <c r="J77" s="3201"/>
      <c r="K77" s="3336"/>
      <c r="L77" s="3201"/>
    </row>
    <row r="78" spans="1:18">
      <c r="B78" s="3473" t="s">
        <v>3188</v>
      </c>
      <c r="C78" s="3474"/>
    </row>
    <row r="79" spans="1:18">
      <c r="B79" s="3467" t="s">
        <v>3189</v>
      </c>
      <c r="C79" s="3475">
        <f ca="1">1-C80</f>
        <v>1</v>
      </c>
    </row>
    <row r="80" spans="1:18">
      <c r="B80" s="3467" t="s">
        <v>3190</v>
      </c>
      <c r="C80" s="3475">
        <f ca="1">ROUND(C75/C39,3)</f>
        <v>0</v>
      </c>
    </row>
    <row r="81" spans="2:3">
      <c r="B81" s="3473" t="s">
        <v>3191</v>
      </c>
      <c r="C81" s="3423"/>
    </row>
    <row r="82" spans="2:3">
      <c r="B82" s="3465" t="s">
        <v>3192</v>
      </c>
      <c r="C82" s="3476" t="e">
        <f ca="1">1-C83</f>
        <v>#DIV/0!</v>
      </c>
    </row>
    <row r="83" spans="2:3">
      <c r="B83" s="3465" t="s">
        <v>3193</v>
      </c>
      <c r="C83" s="347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2960</v>
      </c>
      <c r="C18" s="1554"/>
    </row>
    <row r="19" spans="1:3">
      <c r="A19" s="8" t="s">
        <v>120</v>
      </c>
      <c r="B19" s="3142" t="s">
        <v>2968</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统建城市开发有限责任公司拟使用湖北省武汉市经济技术开发区55R2地块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540"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c r="D53" s="1767"/>
      <c r="E53" s="1767"/>
    </row>
    <row r="54" spans="1:5">
      <c r="A54" s="3540"/>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40"/>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40"/>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40"/>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3.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56" t="str">
        <f>IF(B10="北京市","北京市",C10)&amp;F10&amp;B16&amp;"国有建设用地使用权"&amp;B9&amp;"预评估"</f>
        <v>湖北省武汉市经济技术开发区55R2地块1宗住宅、商业用途出让国有建设用地使用权抵押价格预评估</v>
      </c>
      <c r="C1" s="3557"/>
      <c r="D1" s="3557"/>
      <c r="E1" s="3557"/>
      <c r="F1" s="3557"/>
      <c r="G1" s="3557"/>
      <c r="H1" s="3557"/>
      <c r="I1" s="3558"/>
      <c r="J1" s="1693"/>
      <c r="K1" s="2478" t="str">
        <f>IF(B10="北京市","北京市",C10)&amp;F10&amp;B16&amp;"国有建设用地使用权"&amp;B9</f>
        <v>湖北省武汉市经济技术开发区55R2地块1宗住宅、商业用途出让国有建设用地使用权抵押价格</v>
      </c>
      <c r="L1" s="1721"/>
      <c r="M1" s="1721"/>
      <c r="N1" s="1693"/>
      <c r="O1" s="1694"/>
      <c r="P1" s="1693"/>
      <c r="Q1" s="1693"/>
      <c r="R1" s="1693"/>
      <c r="S1" s="1693"/>
      <c r="T1" s="1693"/>
      <c r="U1" s="1693"/>
    </row>
    <row r="2" spans="1:21">
      <c r="A2" s="1659" t="s">
        <v>1942</v>
      </c>
      <c r="B2" s="1840"/>
      <c r="D2" s="1693"/>
      <c r="E2" s="1693"/>
      <c r="F2" s="1693"/>
      <c r="G2" s="1693"/>
      <c r="H2" s="1659"/>
      <c r="I2" s="1694"/>
      <c r="J2" s="1693"/>
      <c r="K2" s="2478" t="str">
        <f>IF(B10="北京市","北京市",C10)&amp;F10&amp;B16&amp;"国有建设用地使用权"</f>
        <v>湖北省武汉市经济技术开发区55R2地块1宗住宅、商业用途出让国有建设用地使用权</v>
      </c>
      <c r="L2" s="1721"/>
      <c r="M2" s="1721"/>
      <c r="N2" s="1693"/>
      <c r="O2" s="1694"/>
      <c r="P2" s="1693"/>
      <c r="Q2" s="1693"/>
      <c r="R2" s="1693"/>
      <c r="S2" s="1693"/>
      <c r="T2" s="1693"/>
      <c r="U2" s="1693"/>
    </row>
    <row r="3" spans="1:21">
      <c r="A3" s="1660" t="s">
        <v>1943</v>
      </c>
      <c r="B3" s="1661">
        <v>43131</v>
      </c>
      <c r="C3" s="1662" t="s">
        <v>1998</v>
      </c>
      <c r="D3" s="1661">
        <f>B3</f>
        <v>43131</v>
      </c>
      <c r="E3" s="1693"/>
      <c r="F3" s="1693"/>
      <c r="G3" s="1693"/>
      <c r="H3" s="1659"/>
      <c r="I3" s="1694"/>
      <c r="J3" s="1693"/>
      <c r="K3" s="1772"/>
      <c r="L3" s="1721"/>
      <c r="M3" s="1721"/>
      <c r="N3" s="1693"/>
      <c r="O3" s="1694"/>
      <c r="P3" s="1693"/>
      <c r="Q3" s="1693"/>
      <c r="R3" s="1693"/>
      <c r="S3" s="1693"/>
      <c r="T3" s="1693"/>
      <c r="U3" s="1693"/>
    </row>
    <row r="4" spans="1:21" ht="15" thickBot="1">
      <c r="A4" s="1663" t="s">
        <v>1944</v>
      </c>
      <c r="B4" s="1841" t="s">
        <v>3194</v>
      </c>
      <c r="C4" s="1844">
        <f ca="1">SUMIF(土地估价师,B4,估价师及机构信息!E3:E24)</f>
        <v>2002110030</v>
      </c>
      <c r="D4" s="1841" t="s">
        <v>3195</v>
      </c>
      <c r="E4" s="1844">
        <f>SUMIF(土地估价师,D4,估价师及机构信息!E3:E24)</f>
        <v>2014110011</v>
      </c>
      <c r="F4" s="1841" t="s">
        <v>953</v>
      </c>
      <c r="G4" s="1844">
        <f>SUMIF(土地估价师,F4,估价师及机构信息!E3:E24)</f>
        <v>0</v>
      </c>
      <c r="H4" s="1841" t="s">
        <v>953</v>
      </c>
      <c r="I4" s="1844">
        <f>SUMIF(土地估价师,H4,估价师及机构信息!E3:E24)</f>
        <v>0</v>
      </c>
      <c r="J4" s="1693"/>
      <c r="K4" s="2478" t="str">
        <f>IF(AND(F4="——",H4="——"),B4&amp;"、"&amp;D4,IF(AND(F4&lt;&gt;"——",H4="——"),B4&amp;"、"&amp;D4&amp;"、"&amp;F4,B4&amp;"、"&amp;D4&amp;"、"&amp;F4&amp;"、"&amp;H4))</f>
        <v>王鹏、郑燚</v>
      </c>
      <c r="L4" s="1721"/>
      <c r="M4" s="1721"/>
      <c r="N4" s="1693"/>
      <c r="O4" s="1694"/>
      <c r="P4" s="1693"/>
      <c r="Q4" s="1693"/>
      <c r="R4" s="1693"/>
      <c r="S4" s="1693"/>
      <c r="T4" s="1693"/>
      <c r="U4" s="1693"/>
    </row>
    <row r="5" spans="1:21" ht="15" thickTop="1">
      <c r="A5" s="1664" t="s">
        <v>1945</v>
      </c>
      <c r="B5" s="1787" t="s">
        <v>3196</v>
      </c>
      <c r="C5" s="1665"/>
      <c r="D5" s="1666"/>
      <c r="E5" s="1693"/>
      <c r="F5" s="1693"/>
      <c r="G5" s="1693"/>
      <c r="H5" s="1659"/>
      <c r="I5" s="1694"/>
      <c r="J5" s="1693"/>
      <c r="K5" s="1772"/>
      <c r="L5" s="1721"/>
      <c r="M5" s="1721"/>
      <c r="N5" s="1693"/>
      <c r="O5" s="1694"/>
      <c r="P5" s="1693"/>
      <c r="Q5" s="1693"/>
      <c r="R5" s="1693"/>
      <c r="S5" s="1693"/>
      <c r="T5" s="1693"/>
      <c r="U5" s="1693"/>
    </row>
    <row r="6" spans="1:21" ht="26.25">
      <c r="A6" s="1662" t="s">
        <v>2710</v>
      </c>
      <c r="B6" s="1787" t="s">
        <v>3197</v>
      </c>
      <c r="C6" s="1759"/>
      <c r="D6" s="1667"/>
      <c r="E6" s="1693"/>
      <c r="F6" s="1693"/>
      <c r="G6" s="1693"/>
      <c r="H6" s="1659"/>
      <c r="I6" s="1694"/>
      <c r="J6" s="1693"/>
      <c r="K6" s="3080" t="str">
        <f>IF(COUNTIF(B6,"*上海银行*"),"上海银行","")</f>
        <v/>
      </c>
      <c r="L6" s="1721"/>
      <c r="M6" s="1721"/>
      <c r="N6" s="1693"/>
      <c r="O6" s="1694"/>
      <c r="P6" s="1693"/>
      <c r="Q6" s="1693"/>
      <c r="R6" s="1693"/>
      <c r="S6" s="1693"/>
      <c r="T6" s="1693"/>
      <c r="U6" s="1693"/>
    </row>
    <row r="7" spans="1:21">
      <c r="A7" s="1668" t="s">
        <v>2711</v>
      </c>
      <c r="B7" s="1787" t="s">
        <v>3196</v>
      </c>
      <c r="C7" s="1759"/>
      <c r="D7" s="1667"/>
      <c r="E7" s="1693"/>
      <c r="F7" s="1693"/>
      <c r="G7" s="1693"/>
      <c r="H7" s="1659"/>
      <c r="I7" s="1694"/>
      <c r="J7" s="1693"/>
      <c r="K7" s="1772"/>
      <c r="L7" s="1721"/>
      <c r="M7" s="1721"/>
      <c r="N7" s="1693"/>
      <c r="O7" s="1694"/>
      <c r="P7" s="1693"/>
      <c r="Q7" s="1693"/>
      <c r="R7" s="1693"/>
      <c r="S7" s="1693"/>
      <c r="T7" s="1693"/>
      <c r="U7" s="1693"/>
    </row>
    <row r="8" spans="1:21">
      <c r="A8" s="1668" t="s">
        <v>1946</v>
      </c>
      <c r="B8" s="1669" t="s">
        <v>3198</v>
      </c>
      <c r="C8" s="1670"/>
      <c r="D8" s="3562" t="s">
        <v>1948</v>
      </c>
      <c r="E8" s="1842" t="s">
        <v>3199</v>
      </c>
      <c r="F8" s="1671"/>
      <c r="G8" s="1659"/>
      <c r="H8" s="1659"/>
      <c r="I8" s="1706"/>
      <c r="J8" s="1693"/>
      <c r="K8" s="1772"/>
      <c r="L8" s="1721"/>
      <c r="M8" s="1721"/>
      <c r="N8" s="1693"/>
      <c r="O8" s="1694"/>
      <c r="P8" s="1693"/>
      <c r="Q8" s="1693"/>
      <c r="R8" s="1693"/>
      <c r="S8" s="1693"/>
      <c r="T8" s="1693"/>
      <c r="U8" s="1693"/>
    </row>
    <row r="9" spans="1:21" ht="15" thickBot="1">
      <c r="A9" s="1672" t="s">
        <v>1947</v>
      </c>
      <c r="B9" s="1673" t="s">
        <v>3199</v>
      </c>
      <c r="C9" s="1674"/>
      <c r="D9" s="3563"/>
      <c r="E9" s="1673" t="s">
        <v>953</v>
      </c>
      <c r="F9" s="1745"/>
      <c r="G9" s="1740"/>
      <c r="H9" s="1740"/>
      <c r="I9" s="1741"/>
      <c r="J9" s="1693"/>
      <c r="K9" s="1772"/>
      <c r="L9" s="1721"/>
      <c r="M9" s="1721"/>
      <c r="N9" s="1693"/>
      <c r="O9" s="1694"/>
      <c r="P9" s="1693"/>
      <c r="Q9" s="1693"/>
      <c r="R9" s="1693"/>
      <c r="S9" s="1693"/>
      <c r="T9" s="1693"/>
      <c r="U9" s="1693"/>
    </row>
    <row r="10" spans="1:21" ht="15" thickTop="1">
      <c r="A10" s="1742" t="s">
        <v>2001</v>
      </c>
      <c r="B10" s="3179" t="s">
        <v>3200</v>
      </c>
      <c r="C10" s="1675" t="s">
        <v>3201</v>
      </c>
      <c r="D10" s="1666"/>
      <c r="E10" s="1676" t="s">
        <v>1950</v>
      </c>
      <c r="F10" s="1677" t="s">
        <v>3202</v>
      </c>
      <c r="G10" s="1743"/>
      <c r="H10" s="1744"/>
      <c r="I10" s="1666"/>
      <c r="J10" s="1693"/>
      <c r="K10" s="1772"/>
      <c r="L10" s="1721"/>
      <c r="M10" s="1721"/>
      <c r="N10" s="1693"/>
      <c r="O10" s="1694"/>
      <c r="P10" s="1693"/>
      <c r="Q10" s="1693"/>
      <c r="R10" s="1693"/>
      <c r="S10" s="1693"/>
      <c r="T10" s="1693"/>
      <c r="U10" s="1693"/>
    </row>
    <row r="11" spans="1:21">
      <c r="A11" s="1696" t="s">
        <v>2002</v>
      </c>
      <c r="B11" s="1697" t="s">
        <v>3203</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2060</v>
      </c>
      <c r="B12" s="3559" t="s">
        <v>3205</v>
      </c>
      <c r="C12" s="3560"/>
      <c r="D12" s="3561"/>
      <c r="E12" s="1698" t="s">
        <v>2063</v>
      </c>
      <c r="F12" s="3577" t="s">
        <v>3207</v>
      </c>
      <c r="G12" s="3578"/>
      <c r="H12" s="3578"/>
      <c r="I12" s="3579"/>
      <c r="J12" s="1693"/>
      <c r="K12" s="1772"/>
      <c r="L12" s="1721"/>
      <c r="M12" s="1721"/>
      <c r="N12" s="1693"/>
      <c r="O12" s="1694"/>
      <c r="P12" s="1693"/>
      <c r="Q12" s="1693"/>
      <c r="R12" s="1693"/>
      <c r="S12" s="1693"/>
      <c r="T12" s="1693"/>
      <c r="U12" s="1693"/>
    </row>
    <row r="13" spans="1:21">
      <c r="A13" s="1686" t="s">
        <v>2061</v>
      </c>
      <c r="B13" s="3559" t="s">
        <v>3208</v>
      </c>
      <c r="C13" s="3560"/>
      <c r="D13" s="3561"/>
      <c r="E13" s="1698" t="s">
        <v>2063</v>
      </c>
      <c r="F13" s="3577" t="s">
        <v>3210</v>
      </c>
      <c r="G13" s="3578"/>
      <c r="H13" s="3578"/>
      <c r="I13" s="3579"/>
      <c r="J13" s="1693"/>
      <c r="K13" s="1772"/>
      <c r="L13" s="1721"/>
      <c r="M13" s="1721"/>
      <c r="N13" s="1693"/>
      <c r="O13" s="1694"/>
      <c r="P13" s="1693"/>
      <c r="Q13" s="1693"/>
      <c r="R13" s="1693"/>
      <c r="S13" s="1693"/>
      <c r="T13" s="1693"/>
      <c r="U13" s="1693"/>
    </row>
    <row r="14" spans="1:21">
      <c r="A14" s="1660" t="s">
        <v>2064</v>
      </c>
      <c r="B14" s="1698"/>
      <c r="C14" s="1843" t="s">
        <v>3211</v>
      </c>
      <c r="D14" s="1731" t="str">
        <f>IF(C14="不一致","是否符合证载地类范围","")</f>
        <v/>
      </c>
      <c r="E14" s="1698"/>
      <c r="F14" s="1788" t="s">
        <v>3213</v>
      </c>
      <c r="G14" s="1726"/>
      <c r="H14" s="1726"/>
      <c r="I14" s="1835"/>
      <c r="J14" s="1693"/>
      <c r="K14" s="1772"/>
      <c r="L14" s="1721"/>
      <c r="M14" s="1721"/>
      <c r="N14" s="1693"/>
      <c r="O14" s="1694"/>
      <c r="P14" s="1693"/>
      <c r="Q14" s="1693"/>
      <c r="R14" s="1693"/>
      <c r="S14" s="1693"/>
      <c r="T14" s="1693"/>
      <c r="U14" s="1693"/>
    </row>
    <row r="15" spans="1:21" hidden="1">
      <c r="A15" s="2669"/>
      <c r="B15" s="1662"/>
      <c r="C15" s="1662"/>
      <c r="D15" s="1764" t="s">
        <v>1953</v>
      </c>
      <c r="E15" s="1764" t="s">
        <v>1954</v>
      </c>
      <c r="F15" s="1764" t="s">
        <v>1955</v>
      </c>
      <c r="G15" s="1685" t="s">
        <v>1956</v>
      </c>
      <c r="H15" s="1685" t="s">
        <v>1957</v>
      </c>
      <c r="I15" s="1685" t="s">
        <v>1958</v>
      </c>
      <c r="J15" s="1693"/>
      <c r="K15" s="1772"/>
      <c r="L15" s="1721"/>
      <c r="M15" s="1721"/>
      <c r="N15" s="1693"/>
      <c r="O15" s="1694"/>
      <c r="P15" s="1693"/>
      <c r="Q15" s="1693"/>
      <c r="R15" s="1693"/>
      <c r="S15" s="1693"/>
      <c r="T15" s="1693"/>
      <c r="U15" s="1693"/>
    </row>
    <row r="16" spans="1:21" ht="28.5">
      <c r="A16" s="1679" t="s">
        <v>1951</v>
      </c>
      <c r="B16" s="1680" t="s">
        <v>3212</v>
      </c>
      <c r="C16" s="1698" t="s">
        <v>1952</v>
      </c>
      <c r="D16" s="2670" t="s">
        <v>1953</v>
      </c>
      <c r="E16" s="1720"/>
      <c r="F16" s="1720"/>
      <c r="G16" s="1720"/>
      <c r="H16" s="1720"/>
      <c r="I16" s="1685" t="s">
        <v>1958</v>
      </c>
      <c r="J16" s="1693"/>
      <c r="K16" s="2479" t="str">
        <f>IF(D17="","",D16&amp;TEXT(D17,"yyyy年m月d日;;"))</f>
        <v>住宅2087年1月22日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1"/>
      <c r="B17" s="1681"/>
      <c r="C17" s="1682" t="s">
        <v>1959</v>
      </c>
      <c r="D17" s="1699">
        <v>68324</v>
      </c>
      <c r="E17" s="1699"/>
      <c r="F17" s="1699"/>
      <c r="G17" s="1699"/>
      <c r="H17" s="1699"/>
      <c r="I17" s="1699"/>
      <c r="J17" s="1693"/>
      <c r="K17" s="2478" t="str">
        <f>CONCATENATE(K16,L16,M16,N16,O16,P16,Q16,R16,S16,T16,,U16)</f>
        <v>住宅2087年1月22日</v>
      </c>
      <c r="L17" s="1721"/>
      <c r="M17" s="1721"/>
      <c r="N17" s="1693"/>
      <c r="O17" s="1694"/>
      <c r="P17" s="1693"/>
      <c r="Q17" s="1693"/>
      <c r="R17" s="1693"/>
      <c r="S17" s="1693"/>
      <c r="T17" s="1693"/>
      <c r="U17" s="1693"/>
    </row>
    <row r="18" spans="1:21">
      <c r="A18" s="1761"/>
      <c r="B18" s="1681"/>
      <c r="C18" s="1682" t="s">
        <v>1960</v>
      </c>
      <c r="D18" s="1683">
        <v>70</v>
      </c>
      <c r="E18" s="1683"/>
      <c r="F18" s="1683"/>
      <c r="G18" s="1683"/>
      <c r="H18" s="1683"/>
      <c r="I18" s="1683"/>
      <c r="J18" s="1693"/>
      <c r="K18" s="1772"/>
      <c r="L18" s="1721"/>
      <c r="M18" s="1721"/>
      <c r="N18" s="1693"/>
      <c r="O18" s="1694"/>
      <c r="P18" s="1693"/>
      <c r="Q18" s="1693"/>
      <c r="R18" s="1693"/>
      <c r="S18" s="1693"/>
      <c r="T18" s="1693"/>
      <c r="U18" s="1693"/>
    </row>
    <row r="19" spans="1:21">
      <c r="A19" s="1761"/>
      <c r="B19" s="1681"/>
      <c r="C19" s="1659" t="s">
        <v>1961</v>
      </c>
      <c r="D19" s="1756">
        <f>IF(B16="出让",IF(D17="","",ROUNDDOWN(MIN((D17-$D$3)/365,D18),2)),D18)</f>
        <v>69.02</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2062</v>
      </c>
      <c r="D20" s="3574" t="s">
        <v>3214</v>
      </c>
      <c r="E20" s="3575"/>
      <c r="F20" s="3575"/>
      <c r="G20" s="3575"/>
      <c r="H20" s="3575"/>
      <c r="I20" s="3576"/>
      <c r="J20" s="1693"/>
      <c r="K20" s="1772"/>
      <c r="L20" s="1721"/>
      <c r="M20" s="1721"/>
      <c r="N20" s="1693"/>
      <c r="O20" s="1694"/>
      <c r="P20" s="1693"/>
      <c r="Q20" s="1693"/>
      <c r="R20" s="1693"/>
      <c r="S20" s="1693"/>
      <c r="T20" s="1693"/>
      <c r="U20" s="1693"/>
    </row>
    <row r="21" spans="1:21">
      <c r="A21" s="1761" t="s">
        <v>1962</v>
      </c>
      <c r="B21" s="1762" t="s">
        <v>1963</v>
      </c>
      <c r="C21" s="1757">
        <f>'数据-汇总表'!E3</f>
        <v>146307.88</v>
      </c>
      <c r="D21" s="1758" t="s">
        <v>1964</v>
      </c>
      <c r="E21" s="3564" t="s">
        <v>3209</v>
      </c>
      <c r="F21" s="3565"/>
      <c r="G21" s="3565"/>
      <c r="H21" s="3565"/>
      <c r="I21" s="3566"/>
      <c r="J21" s="1693"/>
      <c r="K21" s="1772"/>
      <c r="L21" s="1721"/>
      <c r="M21" s="1721"/>
      <c r="N21" s="1693"/>
      <c r="O21" s="1694"/>
      <c r="P21" s="1693"/>
      <c r="Q21" s="1693"/>
      <c r="R21" s="1693"/>
      <c r="S21" s="1693"/>
      <c r="T21" s="1693"/>
      <c r="U21" s="1693"/>
    </row>
    <row r="22" spans="1:21">
      <c r="A22" s="2661" t="s">
        <v>953</v>
      </c>
      <c r="B22" s="1660" t="s">
        <v>1965</v>
      </c>
      <c r="C22" s="1685">
        <f>'数据-汇总表'!D3</f>
        <v>63612.12</v>
      </c>
      <c r="D22" s="1686" t="s">
        <v>1964</v>
      </c>
      <c r="E22" s="3564" t="s">
        <v>3206</v>
      </c>
      <c r="F22" s="3565"/>
      <c r="G22" s="3565"/>
      <c r="H22" s="3565"/>
      <c r="I22" s="3566"/>
      <c r="J22" s="1693"/>
      <c r="K22" s="1772"/>
      <c r="L22" s="1721"/>
      <c r="M22" s="1721"/>
      <c r="N22" s="1693"/>
      <c r="O22" s="1694"/>
      <c r="P22" s="1693"/>
      <c r="Q22" s="1693"/>
      <c r="R22" s="1693"/>
      <c r="S22" s="1693"/>
      <c r="T22" s="1693"/>
      <c r="U22" s="1693"/>
    </row>
    <row r="23" spans="1:21" ht="29.25" thickBot="1">
      <c r="A23" s="1763" t="s">
        <v>1966</v>
      </c>
      <c r="B23" s="1700" t="s">
        <v>1967</v>
      </c>
      <c r="C23" s="1701" t="s">
        <v>3215</v>
      </c>
      <c r="D23" s="1702" t="s">
        <v>1968</v>
      </c>
      <c r="E23" s="1703" t="s">
        <v>953</v>
      </c>
      <c r="F23" s="1704" t="str">
        <f>IF(AND(C23="是",E23="否"),"是否提供他项权证或相关说明","")</f>
        <v/>
      </c>
      <c r="G23" s="1705"/>
      <c r="H23" s="1693"/>
      <c r="I23" s="1706"/>
      <c r="J23" s="1693"/>
      <c r="K23" s="1772"/>
      <c r="L23" s="1721"/>
      <c r="M23" s="1721"/>
      <c r="N23" s="1693"/>
      <c r="O23" s="1694"/>
      <c r="P23" s="1693"/>
      <c r="Q23" s="1693"/>
      <c r="R23" s="1693"/>
      <c r="S23" s="1693"/>
      <c r="T23" s="1693"/>
      <c r="U23" s="1693"/>
    </row>
    <row r="24" spans="1:21">
      <c r="A24" s="1748" t="s">
        <v>1969</v>
      </c>
      <c r="B24" s="3567" t="s">
        <v>1970</v>
      </c>
      <c r="C24" s="3568"/>
      <c r="D24" s="3569" t="s">
        <v>1971</v>
      </c>
      <c r="E24" s="3570"/>
      <c r="F24" s="1707" t="s">
        <v>1972</v>
      </c>
      <c r="G24" s="1693"/>
      <c r="H24" s="1693"/>
      <c r="I24" s="1706"/>
      <c r="J24" s="1693"/>
      <c r="K24" s="3555" t="s">
        <v>1973</v>
      </c>
      <c r="L24" s="2480"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3"/>
      <c r="O24" s="1694"/>
      <c r="P24" s="1693"/>
      <c r="Q24" s="1693"/>
      <c r="R24" s="1693"/>
      <c r="S24" s="1693"/>
      <c r="T24" s="1693"/>
      <c r="U24" s="1693"/>
    </row>
    <row r="25" spans="1:21" ht="28.5">
      <c r="A25" s="1749"/>
      <c r="B25" s="1746" t="s">
        <v>2327</v>
      </c>
      <c r="C25" s="1708" t="s">
        <v>1974</v>
      </c>
      <c r="D25" s="1709"/>
      <c r="E25" s="1710" t="s">
        <v>953</v>
      </c>
      <c r="F25" s="1711"/>
      <c r="G25" s="1693"/>
      <c r="H25" s="1693"/>
      <c r="I25" s="1706"/>
      <c r="J25" s="1693"/>
      <c r="K25" s="355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15" thickBot="1">
      <c r="A26" s="1750"/>
      <c r="B26" s="1747" t="s">
        <v>953</v>
      </c>
      <c r="C26" s="1708" t="s">
        <v>953</v>
      </c>
      <c r="D26" s="1659"/>
      <c r="E26" s="1659"/>
      <c r="F26" s="1687"/>
      <c r="G26" s="1693"/>
      <c r="H26" s="1693"/>
      <c r="I26" s="1706"/>
      <c r="J26" s="1693"/>
      <c r="K26" s="355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1975</v>
      </c>
      <c r="B27" s="1751" t="s">
        <v>1976</v>
      </c>
      <c r="C27" s="1712"/>
      <c r="D27" s="2675" t="s">
        <v>1976</v>
      </c>
      <c r="E27" s="1713"/>
      <c r="F27" s="1687"/>
      <c r="G27" s="1693"/>
      <c r="H27" s="1693"/>
      <c r="I27" s="1706"/>
      <c r="J27" s="1693"/>
      <c r="K27" s="1772"/>
      <c r="L27" s="1721"/>
      <c r="M27" s="1721"/>
      <c r="N27" s="1693"/>
      <c r="O27" s="1694"/>
      <c r="P27" s="1693"/>
      <c r="Q27" s="1693"/>
      <c r="R27" s="1693"/>
      <c r="S27" s="1693"/>
      <c r="T27" s="1693"/>
      <c r="U27" s="1693"/>
    </row>
    <row r="28" spans="1:21">
      <c r="A28" s="1754"/>
      <c r="B28" s="1751" t="s">
        <v>1977</v>
      </c>
      <c r="C28" s="1714"/>
      <c r="D28" s="2676" t="s">
        <v>1977</v>
      </c>
      <c r="E28" s="1715"/>
      <c r="F28" s="1687"/>
      <c r="G28" s="1693"/>
      <c r="H28" s="1693"/>
      <c r="I28" s="1706"/>
      <c r="J28" s="1693"/>
      <c r="K28" s="1772"/>
      <c r="L28" s="1721"/>
      <c r="M28" s="1721"/>
      <c r="N28" s="1693"/>
      <c r="O28" s="1694"/>
      <c r="P28" s="1693"/>
      <c r="Q28" s="1693"/>
      <c r="R28" s="1693"/>
      <c r="S28" s="1693"/>
      <c r="T28" s="1693"/>
      <c r="U28" s="1693"/>
    </row>
    <row r="29" spans="1:21">
      <c r="A29" s="1754"/>
      <c r="B29" s="1751" t="s">
        <v>1978</v>
      </c>
      <c r="C29" s="1714"/>
      <c r="D29" s="2676" t="s">
        <v>1978</v>
      </c>
      <c r="E29" s="1715"/>
      <c r="F29" s="1687"/>
      <c r="G29" s="1693"/>
      <c r="H29" s="1693"/>
      <c r="I29" s="1706"/>
      <c r="J29" s="1693"/>
      <c r="K29" s="1772"/>
      <c r="L29" s="1721"/>
      <c r="M29" s="1721"/>
      <c r="N29" s="1693"/>
      <c r="O29" s="1694"/>
      <c r="P29" s="1693"/>
      <c r="Q29" s="1693"/>
      <c r="R29" s="1693"/>
      <c r="S29" s="1693"/>
      <c r="T29" s="1693"/>
      <c r="U29" s="1693"/>
    </row>
    <row r="30" spans="1:21" ht="15" thickBot="1">
      <c r="A30" s="1755"/>
      <c r="B30" s="1752" t="s">
        <v>1979</v>
      </c>
      <c r="C30" s="1716"/>
      <c r="D30" s="2677" t="s">
        <v>1979</v>
      </c>
      <c r="E30" s="1717"/>
      <c r="F30" s="1688"/>
      <c r="G30" s="1740"/>
      <c r="H30" s="1740"/>
      <c r="I30" s="1741"/>
      <c r="J30" s="1693"/>
      <c r="K30" s="1772"/>
      <c r="L30" s="1721"/>
      <c r="M30" s="1721"/>
      <c r="N30" s="1693"/>
      <c r="O30" s="1694"/>
      <c r="P30" s="1693"/>
      <c r="Q30" s="1693"/>
      <c r="R30" s="1693"/>
      <c r="S30" s="1693"/>
      <c r="T30" s="1693"/>
      <c r="U30" s="1693"/>
    </row>
    <row r="31" spans="1:21" ht="15" thickTop="1">
      <c r="A31" s="3541" t="s">
        <v>2003</v>
      </c>
      <c r="B31" s="1762" t="s">
        <v>2004</v>
      </c>
      <c r="C31" s="3580" t="s">
        <v>3216</v>
      </c>
      <c r="D31" s="3581"/>
      <c r="E31" s="1693"/>
      <c r="F31" s="1693"/>
      <c r="G31" s="1693"/>
      <c r="H31" s="1693"/>
      <c r="I31" s="1706"/>
      <c r="J31" s="1693"/>
      <c r="K31" s="2481"/>
      <c r="L31" s="1693"/>
      <c r="M31" s="1693"/>
      <c r="N31" s="1693"/>
      <c r="O31" s="1693"/>
      <c r="P31" s="1693"/>
      <c r="Q31" s="1693"/>
      <c r="R31" s="1693"/>
      <c r="S31" s="1693"/>
      <c r="T31" s="1693"/>
      <c r="U31" s="1693"/>
    </row>
    <row r="32" spans="1:21">
      <c r="A32" s="3541"/>
      <c r="B32" s="1660" t="s">
        <v>2005</v>
      </c>
      <c r="C32" s="3179" t="s">
        <v>3217</v>
      </c>
      <c r="D32" s="1718"/>
      <c r="E32" s="1693"/>
      <c r="F32" s="1693"/>
      <c r="G32" s="1693"/>
      <c r="H32" s="1693"/>
      <c r="I32" s="1706"/>
      <c r="J32" s="1693"/>
      <c r="K32" s="2481"/>
      <c r="L32" s="1693"/>
      <c r="M32" s="1693"/>
      <c r="N32" s="1693"/>
      <c r="O32" s="1693"/>
      <c r="P32" s="1693"/>
      <c r="Q32" s="1693"/>
      <c r="R32" s="1693"/>
      <c r="S32" s="1693"/>
      <c r="T32" s="1693"/>
      <c r="U32" s="1693"/>
    </row>
    <row r="33" spans="1:21">
      <c r="A33" s="3541"/>
      <c r="B33" s="1660" t="s">
        <v>2006</v>
      </c>
      <c r="C33" s="1719" t="s">
        <v>3215</v>
      </c>
      <c r="D33" s="1836"/>
      <c r="E33" s="1693"/>
      <c r="F33" s="1693"/>
      <c r="G33" s="1693"/>
      <c r="H33" s="1693"/>
      <c r="I33" s="1706"/>
      <c r="J33" s="1693"/>
      <c r="K33" s="2481"/>
      <c r="L33" s="1693"/>
      <c r="M33" s="1693"/>
      <c r="N33" s="1693"/>
      <c r="O33" s="1693"/>
      <c r="P33" s="1693"/>
      <c r="Q33" s="1693"/>
      <c r="R33" s="1693"/>
      <c r="S33" s="1693"/>
      <c r="T33" s="1693"/>
      <c r="U33" s="1693"/>
    </row>
    <row r="34" spans="1:21">
      <c r="A34" s="3542"/>
      <c r="B34" s="1660" t="s">
        <v>2007</v>
      </c>
      <c r="C34" s="3543"/>
      <c r="D34" s="3544"/>
      <c r="E34" s="1693"/>
      <c r="F34" s="1693"/>
      <c r="G34" s="1693"/>
      <c r="H34" s="1693"/>
      <c r="I34" s="1706"/>
      <c r="J34" s="1693"/>
      <c r="K34" s="2481"/>
      <c r="L34" s="1693"/>
      <c r="M34" s="1693"/>
      <c r="N34" s="1693"/>
      <c r="O34" s="1693"/>
      <c r="P34" s="1693"/>
      <c r="Q34" s="1693"/>
      <c r="R34" s="1693"/>
      <c r="S34" s="1693"/>
      <c r="T34" s="1693"/>
      <c r="U34" s="1693"/>
    </row>
    <row r="35" spans="1:21">
      <c r="A35" s="3545" t="s">
        <v>848</v>
      </c>
      <c r="B35" s="1720"/>
      <c r="C35" s="1774" t="str">
        <f>IF(B35="场地平整","——","具体情况：")</f>
        <v>具体情况：</v>
      </c>
      <c r="D35" s="3547"/>
      <c r="E35" s="3548"/>
      <c r="F35" s="3548"/>
      <c r="G35" s="3548"/>
      <c r="H35" s="3548"/>
      <c r="I35" s="3549"/>
      <c r="J35" s="1693"/>
      <c r="K35" s="1773"/>
      <c r="L35" s="1721"/>
      <c r="M35" s="1721"/>
      <c r="N35" s="1693"/>
      <c r="O35" s="1694"/>
      <c r="P35" s="1693"/>
      <c r="Q35" s="1693"/>
      <c r="R35" s="1693"/>
      <c r="S35" s="1693"/>
      <c r="T35" s="1693"/>
      <c r="U35" s="1693"/>
    </row>
    <row r="36" spans="1:21">
      <c r="A36" s="3541"/>
      <c r="B36" s="3550" t="s">
        <v>2056</v>
      </c>
      <c r="C36" s="3551"/>
      <c r="D36" s="1790" t="s">
        <v>3218</v>
      </c>
      <c r="E36" s="3552"/>
      <c r="F36" s="3552"/>
      <c r="G36" s="1686" t="str">
        <f>IF(B35="场地未平整","估价结果处理","")</f>
        <v/>
      </c>
      <c r="H36" s="3553"/>
      <c r="I36" s="3553"/>
      <c r="J36" s="1693"/>
      <c r="K36" s="1773"/>
      <c r="L36" s="1721"/>
      <c r="M36" s="1721"/>
      <c r="N36" s="1693"/>
      <c r="O36" s="1694"/>
      <c r="P36" s="1693"/>
      <c r="Q36" s="1693"/>
      <c r="R36" s="1693"/>
      <c r="S36" s="1693"/>
      <c r="T36" s="1693"/>
      <c r="U36" s="1693"/>
    </row>
    <row r="37" spans="1:21" ht="28.5">
      <c r="A37" s="3541"/>
      <c r="B37" s="3571" t="s">
        <v>849</v>
      </c>
      <c r="C37" s="1722" t="s">
        <v>850</v>
      </c>
      <c r="D37" s="1723"/>
      <c r="E37" s="1724"/>
      <c r="F37" s="1693"/>
      <c r="G37" s="1693"/>
      <c r="H37" s="1693"/>
      <c r="I37" s="1706"/>
      <c r="J37" s="1693"/>
      <c r="K37" s="1773"/>
      <c r="L37" s="1693"/>
      <c r="M37" s="1693"/>
      <c r="N37" s="1693"/>
      <c r="O37" s="1693"/>
      <c r="P37" s="1693"/>
      <c r="Q37" s="1693"/>
      <c r="R37" s="1693"/>
      <c r="S37" s="1693"/>
      <c r="T37" s="1693"/>
      <c r="U37" s="1693"/>
    </row>
    <row r="38" spans="1:21">
      <c r="A38" s="3541"/>
      <c r="B38" s="3572"/>
      <c r="C38" s="1668" t="s">
        <v>851</v>
      </c>
      <c r="D38" s="1789">
        <f>ROUNDDOWN(MIN(('数据-取费表'!$B$2-D37)/365,D34),1)</f>
        <v>118.1</v>
      </c>
      <c r="E38" s="1725" t="s">
        <v>852</v>
      </c>
      <c r="F38" s="1693"/>
      <c r="G38" s="1693"/>
      <c r="H38" s="1693"/>
      <c r="I38" s="1706"/>
      <c r="J38" s="1693"/>
      <c r="K38" s="1773"/>
      <c r="L38" s="1693"/>
      <c r="M38" s="1693"/>
      <c r="N38" s="1693"/>
      <c r="O38" s="1693"/>
      <c r="P38" s="1693"/>
      <c r="Q38" s="1693"/>
      <c r="R38" s="1693"/>
      <c r="S38" s="1693"/>
      <c r="T38" s="1693"/>
      <c r="U38" s="1693"/>
    </row>
    <row r="39" spans="1:21">
      <c r="A39" s="3542"/>
      <c r="B39" s="3573"/>
      <c r="C39" s="1696" t="str">
        <f>IF(D38&lt;1,"不存在土地闲置",IF(B35="宗地内已开工建设","已开工，不存在土地闲置","估价对象已涉嫌土地闲置"))</f>
        <v>估价对象已涉嫌土地闲置</v>
      </c>
      <c r="D39" s="1726"/>
      <c r="E39" s="1727"/>
      <c r="F39" s="1693"/>
      <c r="G39" s="1693"/>
      <c r="H39" s="1693"/>
      <c r="I39" s="1706"/>
      <c r="J39" s="1693"/>
      <c r="K39" s="1772"/>
      <c r="L39" s="1721"/>
      <c r="M39" s="1721"/>
      <c r="N39" s="1693"/>
      <c r="O39" s="1694"/>
      <c r="P39" s="1693"/>
      <c r="Q39" s="1693"/>
      <c r="R39" s="1693"/>
      <c r="S39" s="1693"/>
      <c r="T39" s="1693"/>
      <c r="U39" s="1693"/>
    </row>
    <row r="40" spans="1:21">
      <c r="A40" s="1686" t="s">
        <v>1980</v>
      </c>
      <c r="B40" s="1689" t="s">
        <v>3219</v>
      </c>
      <c r="C40" s="1689" t="s">
        <v>3220</v>
      </c>
      <c r="D40" s="1689" t="s">
        <v>3221</v>
      </c>
      <c r="E40" s="1689" t="s">
        <v>3222</v>
      </c>
      <c r="F40" s="1689" t="s">
        <v>3223</v>
      </c>
      <c r="G40" s="1689" t="s">
        <v>3224</v>
      </c>
      <c r="H40" s="1689"/>
      <c r="I40" s="1706"/>
      <c r="J40" s="1693"/>
      <c r="K40" s="1728">
        <f>COUNTIF(B40:H40,"——")</f>
        <v>0</v>
      </c>
      <c r="L40" s="1698" t="s">
        <v>1981</v>
      </c>
      <c r="M40" s="1695" t="s">
        <v>1982</v>
      </c>
      <c r="N40" s="1695" t="s">
        <v>1983</v>
      </c>
      <c r="O40" s="1695" t="s">
        <v>1984</v>
      </c>
      <c r="P40" s="1695" t="s">
        <v>1985</v>
      </c>
      <c r="Q40" s="1695" t="s">
        <v>1986</v>
      </c>
      <c r="R40" s="1695" t="s">
        <v>1987</v>
      </c>
      <c r="S40" s="3554" t="s">
        <v>1988</v>
      </c>
      <c r="T40" s="1729" t="str">
        <f>NUMBERSTRING(7-K40,1)&amp;"通"</f>
        <v>七通</v>
      </c>
      <c r="U40" s="1693"/>
    </row>
    <row r="41" spans="1:21" ht="28.5">
      <c r="A41" s="1662"/>
      <c r="B41" s="3546" t="s">
        <v>1723</v>
      </c>
      <c r="C41" s="3546"/>
      <c r="D41" s="3546"/>
      <c r="E41" s="3546"/>
      <c r="F41" s="1730" t="str">
        <f>C10</f>
        <v>湖北省武汉市</v>
      </c>
      <c r="G41" s="1693"/>
      <c r="H41" s="1693"/>
      <c r="I41" s="1706"/>
      <c r="J41" s="1693"/>
      <c r="K41" s="1698"/>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554"/>
      <c r="T41" s="1731" t="str">
        <f>IF(T40="一通",L41,IF(T40="二通",M41,IF(T40="三通",N41,IF(T40="四通",O41,IF(T40="五通",P41,IF(T40="六通",Q41,R41))))))</f>
        <v>通路、通电、通讯、通上水、通下水、燃气、</v>
      </c>
      <c r="U41" s="1693"/>
    </row>
    <row r="42" spans="1:21">
      <c r="A42" s="1733"/>
      <c r="B42" s="1764" t="s">
        <v>1899</v>
      </c>
      <c r="C42" s="1764" t="s">
        <v>1900</v>
      </c>
      <c r="D42" s="1764" t="s">
        <v>1901</v>
      </c>
      <c r="E42" s="1698" t="s">
        <v>1902</v>
      </c>
      <c r="F42" s="1734" t="s">
        <v>3228</v>
      </c>
      <c r="G42" s="1693"/>
      <c r="H42" s="1693"/>
      <c r="I42" s="1706"/>
      <c r="J42" s="1693"/>
      <c r="K42" s="1772"/>
      <c r="L42" s="1721"/>
      <c r="M42" s="1721"/>
      <c r="N42" s="1693"/>
      <c r="O42" s="1694"/>
      <c r="P42" s="1693"/>
      <c r="Q42" s="1693"/>
      <c r="R42" s="1693"/>
      <c r="S42" s="1693"/>
      <c r="T42" s="1693"/>
      <c r="U42" s="1693"/>
    </row>
    <row r="43" spans="1:21">
      <c r="A43" s="1735" t="s">
        <v>1708</v>
      </c>
      <c r="B43" s="1736"/>
      <c r="C43" s="1736"/>
      <c r="D43" s="1736"/>
      <c r="E43" s="1736"/>
      <c r="F43" s="1737"/>
      <c r="G43" s="1693"/>
      <c r="H43" s="1693"/>
      <c r="I43" s="1706"/>
      <c r="J43" s="1693"/>
      <c r="K43" s="1772"/>
      <c r="L43" s="1721"/>
      <c r="M43" s="1721"/>
      <c r="N43" s="1693"/>
      <c r="O43" s="1694"/>
      <c r="P43" s="1693"/>
      <c r="Q43" s="1693"/>
      <c r="R43" s="1693"/>
      <c r="S43" s="1693"/>
      <c r="T43" s="1693"/>
      <c r="U43" s="1693"/>
    </row>
    <row r="44" spans="1:21">
      <c r="A44" s="1735" t="s">
        <v>1709</v>
      </c>
      <c r="B44" s="1736"/>
      <c r="C44" s="1736"/>
      <c r="D44" s="1736"/>
      <c r="E44" s="1790"/>
      <c r="F44" s="1737"/>
      <c r="G44" s="1693"/>
      <c r="H44" s="1693"/>
      <c r="I44" s="1706"/>
      <c r="J44" s="1693"/>
      <c r="K44" s="1772"/>
      <c r="L44" s="1721"/>
      <c r="M44" s="1721"/>
      <c r="N44" s="1693"/>
      <c r="O44" s="1694"/>
      <c r="P44" s="1693"/>
      <c r="Q44" s="1693"/>
      <c r="R44" s="1693"/>
      <c r="S44" s="1693"/>
      <c r="T44" s="1693"/>
      <c r="U44" s="1693"/>
    </row>
    <row r="45" spans="1:21" s="3097" customFormat="1" ht="21" thickBot="1">
      <c r="A45" s="3098" t="s">
        <v>2893</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2"/>
      <c r="L46" s="1721"/>
      <c r="M46" s="1721"/>
      <c r="N46" s="1693"/>
      <c r="O46" s="1694"/>
      <c r="P46" s="1693"/>
      <c r="Q46" s="1693"/>
      <c r="R46" s="1693"/>
      <c r="S46" s="1693"/>
      <c r="T46" s="1693"/>
      <c r="U46" s="1693"/>
    </row>
    <row r="47" spans="1:21">
      <c r="A47" s="1738" t="s">
        <v>2008</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0" t="s">
        <v>2018</v>
      </c>
      <c r="K48" s="1764" t="s">
        <v>2019</v>
      </c>
      <c r="L48" s="1764" t="s">
        <v>2020</v>
      </c>
      <c r="M48" s="1764" t="s">
        <v>2021</v>
      </c>
      <c r="N48" s="1685" t="s">
        <v>2022</v>
      </c>
      <c r="O48" s="1685" t="s">
        <v>2023</v>
      </c>
      <c r="P48" s="1685" t="s">
        <v>2024</v>
      </c>
      <c r="Q48" s="1698" t="s">
        <v>2025</v>
      </c>
      <c r="R48" s="1698" t="s">
        <v>2026</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6" sqref="D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63612.12</v>
      </c>
      <c r="B3" s="22">
        <f>IF(C3="否",G5-AT5,G5)</f>
        <v>146307.88</v>
      </c>
      <c r="C3" s="23" t="s">
        <v>3215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146307.88</v>
      </c>
      <c r="H5" s="27">
        <f t="shared" ref="H5:AT5" si="0">SUM(H13:H641)</f>
        <v>146307.88</v>
      </c>
      <c r="I5" s="27">
        <f t="shared" si="0"/>
        <v>146307.88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146307.88</v>
      </c>
      <c r="BA5" s="29">
        <f t="shared" si="1"/>
        <v>146307.88</v>
      </c>
      <c r="BB5" s="29">
        <f t="shared" si="1"/>
        <v>146307.88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63612.12</v>
      </c>
      <c r="F6" s="27" t="s">
        <v>1</v>
      </c>
      <c r="G6" s="27" t="s">
        <v>2</v>
      </c>
      <c r="H6" s="33">
        <f>SUMIF(I$12:AB$12,"总值",I6:AB6)</f>
        <v>63612.12</v>
      </c>
      <c r="I6" s="27">
        <f t="shared" ref="I6:AB6" si="2">ROUND($A$3*I5/$B$3,2)</f>
        <v>63612.12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63612.12</v>
      </c>
      <c r="AZ6" s="27" t="s">
        <v>3</v>
      </c>
      <c r="BA6" s="27">
        <f>ROUND($AY$6*BA5/$AZ$5,2)</f>
        <v>63612.12</v>
      </c>
      <c r="BB6" s="27">
        <f>ROUND($AY$6*BB5/$AZ$5,2)</f>
        <v>63612.12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3225</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924</v>
      </c>
      <c r="J10" s="51"/>
      <c r="K10" s="3045"/>
      <c r="L10" s="51"/>
      <c r="M10" s="3045"/>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3226</v>
      </c>
      <c r="J11" s="71"/>
      <c r="K11" s="3044"/>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c r="D13" s="3039" t="s">
        <v>1680</v>
      </c>
      <c r="E13" s="27">
        <f t="shared" ref="E13:E20" si="6">IF($C$3="是",ROUND($A$3*G13/$B$3,2),ROUND($A$3*(G13-AT13)/$B$3,2))</f>
        <v>63612.12</v>
      </c>
      <c r="F13" s="81"/>
      <c r="G13" s="82">
        <f t="shared" ref="G13:G20" si="7">H13+AC13+AT13</f>
        <v>146307.88</v>
      </c>
      <c r="H13" s="33">
        <f t="shared" ref="H13:H20" si="8">SUMIF(I$12:AB$12,"总值",I13:AB13)</f>
        <v>146307.88</v>
      </c>
      <c r="I13" s="3042">
        <f>ROUND(A3*2.3,2)</f>
        <v>146307.88</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f t="shared" si="10"/>
        <v>0</v>
      </c>
      <c r="AY13" s="995">
        <f t="shared" ref="AY13:AY20" si="11">ROUND($AY$6*AZ13/$AZ$5,2)</f>
        <v>63612.12</v>
      </c>
      <c r="AZ13" s="27">
        <f t="shared" ref="AZ13:AZ20" si="12">BA13+BL13</f>
        <v>146307.88</v>
      </c>
      <c r="BA13" s="27">
        <f t="shared" ref="BA13:BA20" si="13">SUM(BB13:BK13)</f>
        <v>146307.88</v>
      </c>
      <c r="BB13" s="27">
        <f t="shared" ref="BB13:BB20" si="14">IF($D13="是",I13-J13,0)</f>
        <v>146307.88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2" t="s">
        <v>0</v>
      </c>
      <c r="B1" s="3582" t="s">
        <v>4</v>
      </c>
      <c r="C1" s="3582" t="s">
        <v>5</v>
      </c>
      <c r="D1" s="3583" t="s">
        <v>40</v>
      </c>
      <c r="E1" s="3583" t="s">
        <v>41</v>
      </c>
      <c r="F1" s="3583"/>
      <c r="G1" s="3583"/>
      <c r="H1" s="3583"/>
      <c r="I1" s="3583"/>
      <c r="J1" s="3583"/>
      <c r="K1" s="3583"/>
      <c r="L1" s="3583"/>
      <c r="M1" s="3583"/>
    </row>
    <row r="2" spans="1:13" ht="27" customHeight="1">
      <c r="A2" s="3582"/>
      <c r="B2" s="3582"/>
      <c r="C2" s="3582"/>
      <c r="D2" s="3583"/>
      <c r="E2" s="3583" t="s">
        <v>24</v>
      </c>
      <c r="F2" s="3583" t="s">
        <v>25</v>
      </c>
      <c r="G2" s="3583"/>
      <c r="H2" s="3583"/>
      <c r="I2" s="3583"/>
      <c r="J2" s="3583" t="s">
        <v>26</v>
      </c>
      <c r="K2" s="3583"/>
      <c r="L2" s="3583"/>
      <c r="M2" s="3583"/>
    </row>
    <row r="3" spans="1:13" ht="28.5">
      <c r="A3" s="3582"/>
      <c r="B3" s="3582"/>
      <c r="C3" s="3582"/>
      <c r="D3" s="3583"/>
      <c r="E3" s="35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3" t="s">
        <v>42</v>
      </c>
      <c r="B9" s="3583"/>
      <c r="C9" s="35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J12" sqref="J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593" t="s">
        <v>203</v>
      </c>
      <c r="B2" s="3593"/>
      <c r="C2" s="3593"/>
      <c r="D2" s="1974" t="s">
        <v>204</v>
      </c>
      <c r="E2" s="106" t="s">
        <v>205</v>
      </c>
      <c r="F2" s="1983"/>
      <c r="G2" s="1197"/>
      <c r="H2" s="1198"/>
      <c r="I2" s="1199" t="s">
        <v>858</v>
      </c>
      <c r="J2" s="1983"/>
      <c r="K2" s="1983"/>
      <c r="L2" s="1983"/>
    </row>
    <row r="3" spans="1:16" ht="15.75" thickBot="1">
      <c r="A3" s="3594" t="s">
        <v>206</v>
      </c>
      <c r="B3" s="3594"/>
      <c r="C3" s="3594"/>
      <c r="D3" s="107">
        <f>'数据-基础表'!AY6</f>
        <v>63612.12</v>
      </c>
      <c r="E3" s="107">
        <f>'数据-基础表'!AZ5</f>
        <v>146307.88</v>
      </c>
      <c r="F3" s="1983"/>
      <c r="G3" s="279" t="s">
        <v>859</v>
      </c>
      <c r="H3" s="274" t="s">
        <v>860</v>
      </c>
      <c r="I3" s="1975">
        <f>ROUND('数据-基础表'!B3/'数据-基础表'!A3,2)</f>
        <v>2.2999999999999998</v>
      </c>
      <c r="J3" s="1983"/>
      <c r="K3" s="1983"/>
      <c r="L3" s="1983"/>
    </row>
    <row r="4" spans="1:16" ht="15">
      <c r="A4" s="3595"/>
      <c r="B4" s="3596"/>
      <c r="C4" s="3597"/>
      <c r="D4" s="108" t="s">
        <v>204</v>
      </c>
      <c r="E4" s="109" t="s">
        <v>205</v>
      </c>
      <c r="F4" s="1983"/>
      <c r="G4" s="1200"/>
      <c r="H4" s="274" t="s">
        <v>861</v>
      </c>
      <c r="I4" s="1975">
        <f>ROUND(SUMIF('数据-基础表'!I9:AS9,"地上",'数据-基础表'!I5:AS5)/'数据-基础表'!A3,2)</f>
        <v>2.2999999999999998</v>
      </c>
      <c r="J4" s="1983"/>
      <c r="K4" s="1983"/>
      <c r="L4" s="1983"/>
    </row>
    <row r="5" spans="1:16">
      <c r="A5" s="110" t="s">
        <v>207</v>
      </c>
      <c r="B5" s="3598" t="s">
        <v>230</v>
      </c>
      <c r="C5" s="3598"/>
      <c r="D5" s="111">
        <f>ROUND($D$3*E5/$E$3,2)</f>
        <v>63612.12</v>
      </c>
      <c r="E5" s="112">
        <f>SUMIF('数据-基础表'!$11:$11,"住宅",'数据-基础表'!$5:$5)</f>
        <v>146307.88</v>
      </c>
      <c r="F5" s="1983"/>
      <c r="G5" s="279" t="s">
        <v>862</v>
      </c>
      <c r="H5" s="274" t="s">
        <v>860</v>
      </c>
      <c r="I5" s="1975">
        <f>ROUND(E31/D31,2)</f>
        <v>2.2999999999999998</v>
      </c>
      <c r="J5" s="1983"/>
      <c r="K5" s="1983"/>
      <c r="L5" s="1983"/>
    </row>
    <row r="6" spans="1:16" ht="15" thickBot="1">
      <c r="A6" s="113"/>
      <c r="B6" s="3598" t="s">
        <v>208</v>
      </c>
      <c r="C6" s="3598"/>
      <c r="D6" s="111">
        <f>ROUND($D$3*E6/$E$3,2)</f>
        <v>0</v>
      </c>
      <c r="E6" s="112">
        <f>E3-E5</f>
        <v>0</v>
      </c>
      <c r="F6" s="1983"/>
      <c r="G6" s="1200"/>
      <c r="H6" s="274" t="s">
        <v>861</v>
      </c>
      <c r="I6" s="1975">
        <f>ROUND(F31/D31,2)</f>
        <v>2.2999999999999998</v>
      </c>
      <c r="J6" s="1983"/>
      <c r="K6" s="1983"/>
      <c r="L6" s="1983"/>
    </row>
    <row r="7" spans="1:16" ht="15">
      <c r="A7" s="3590"/>
      <c r="B7" s="3591"/>
      <c r="C7" s="3592"/>
      <c r="D7" s="108" t="s">
        <v>204</v>
      </c>
      <c r="E7" s="114" t="s">
        <v>231</v>
      </c>
      <c r="F7" s="1983"/>
      <c r="G7" s="1155" t="s">
        <v>1647</v>
      </c>
      <c r="H7" s="1156"/>
      <c r="I7" s="1845"/>
      <c r="J7" s="1983"/>
      <c r="K7" s="1983"/>
      <c r="L7" s="1983"/>
    </row>
    <row r="8" spans="1:16">
      <c r="A8" s="110" t="s">
        <v>209</v>
      </c>
      <c r="B8" s="115" t="s">
        <v>210</v>
      </c>
      <c r="C8" s="111" t="s">
        <v>211</v>
      </c>
      <c r="D8" s="111">
        <f t="shared" ref="D8:D15" si="0">ROUND($D$3*E8/$E$3,2)</f>
        <v>63612.12</v>
      </c>
      <c r="E8" s="116">
        <f>SUMIF('数据-基础表'!BB10:BK10,"地上",'数据-基础表'!BB5:BK5)</f>
        <v>146307.88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63612.12</v>
      </c>
      <c r="E16" s="120">
        <f>SUM(E8:E15)</f>
        <v>146307.88</v>
      </c>
      <c r="F16" s="1983"/>
      <c r="G16" s="1985"/>
      <c r="H16" s="967" t="s">
        <v>219</v>
      </c>
      <c r="I16" s="968"/>
      <c r="J16" s="1983"/>
      <c r="K16" s="3584" t="s">
        <v>2570</v>
      </c>
      <c r="L16" s="3585"/>
      <c r="M16" s="3585"/>
      <c r="N16" s="3585"/>
      <c r="O16" s="3585"/>
      <c r="P16" s="3586"/>
    </row>
    <row r="17" spans="1:19" ht="15">
      <c r="A17" s="121" t="s">
        <v>216</v>
      </c>
      <c r="B17" s="122" t="s">
        <v>217</v>
      </c>
      <c r="C17" s="2297" t="s">
        <v>2315</v>
      </c>
      <c r="D17" s="108" t="s">
        <v>204</v>
      </c>
      <c r="E17" s="124" t="s">
        <v>205</v>
      </c>
      <c r="F17" s="125"/>
      <c r="G17" s="1365"/>
      <c r="H17" s="969" t="s">
        <v>218</v>
      </c>
      <c r="I17" s="970" t="s">
        <v>2314</v>
      </c>
      <c r="J17" s="1983"/>
      <c r="K17" s="3587" t="s">
        <v>2571</v>
      </c>
      <c r="L17" s="3588"/>
      <c r="M17" s="3589"/>
      <c r="N17" s="3587" t="s">
        <v>2572</v>
      </c>
      <c r="O17" s="3588"/>
      <c r="P17" s="3589"/>
      <c r="R17" s="2298" t="s">
        <v>2313</v>
      </c>
      <c r="S17" s="144"/>
    </row>
    <row r="18" spans="1:19" ht="15">
      <c r="A18" s="117"/>
      <c r="B18" s="128"/>
      <c r="C18" s="129"/>
      <c r="D18" s="2666"/>
      <c r="E18" s="130" t="s">
        <v>220</v>
      </c>
      <c r="F18" s="131" t="s">
        <v>221</v>
      </c>
      <c r="G18" s="1366" t="s">
        <v>222</v>
      </c>
      <c r="H18" s="971" t="s">
        <v>223</v>
      </c>
      <c r="I18" s="972" t="s">
        <v>224</v>
      </c>
      <c r="J18" s="1983"/>
      <c r="K18" s="2628" t="s">
        <v>2573</v>
      </c>
      <c r="L18" s="2629" t="s">
        <v>2574</v>
      </c>
      <c r="M18" s="2630" t="s">
        <v>2575</v>
      </c>
      <c r="N18" s="2628" t="s">
        <v>2573</v>
      </c>
      <c r="O18" s="2629" t="s">
        <v>2574</v>
      </c>
      <c r="P18" s="2630" t="s">
        <v>2575</v>
      </c>
      <c r="R18" s="2299" t="s">
        <v>2311</v>
      </c>
      <c r="S18" s="2299" t="s">
        <v>2312</v>
      </c>
    </row>
    <row r="19" spans="1:19">
      <c r="A19" s="133"/>
      <c r="B19" s="115" t="s">
        <v>225</v>
      </c>
      <c r="C19" s="3049" t="s">
        <v>3227</v>
      </c>
      <c r="D19" s="111">
        <f t="shared" ref="D19:D26" si="1">ROUND($D$3*E19/$E$3,2)</f>
        <v>63612.12</v>
      </c>
      <c r="E19" s="134">
        <f t="shared" ref="E19:E26" si="2">SUM(F19:G19)</f>
        <v>146307.88</v>
      </c>
      <c r="F19" s="135">
        <f>'数据-基础表'!I13</f>
        <v>146307.88</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63612.12</v>
      </c>
      <c r="S19" s="2300">
        <f t="shared" si="5"/>
        <v>146307.88</v>
      </c>
    </row>
    <row r="20" spans="1:19">
      <c r="A20" s="138"/>
      <c r="B20" s="115" t="s">
        <v>226</v>
      </c>
      <c r="C20" s="3049"/>
      <c r="D20" s="111">
        <f t="shared" si="1"/>
        <v>0</v>
      </c>
      <c r="E20" s="134">
        <f t="shared" si="2"/>
        <v>0</v>
      </c>
      <c r="F20" s="135"/>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0</v>
      </c>
      <c r="S20" s="2300">
        <f t="shared" si="5"/>
        <v>0</v>
      </c>
    </row>
    <row r="21" spans="1:19">
      <c r="A21" s="138"/>
      <c r="B21" s="115" t="s">
        <v>226</v>
      </c>
      <c r="C21" s="3049"/>
      <c r="D21" s="111">
        <f t="shared" si="1"/>
        <v>0</v>
      </c>
      <c r="E21" s="134">
        <f t="shared" si="2"/>
        <v>0</v>
      </c>
      <c r="F21" s="135"/>
      <c r="G21" s="1367"/>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63612.12</v>
      </c>
      <c r="E27" s="143">
        <f>IF(SUM(E19:E26)='数据-基础表'!BA5,SUM(E19:E26),IF(F27="地上面积有误","面积有误","地下面积有误"))</f>
        <v>146307.88</v>
      </c>
      <c r="F27" s="134">
        <f>IF(SUM(F19:F26)=E8,SUM(F19:F26),"地上面积有误")</f>
        <v>146307.88</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63612.12</v>
      </c>
      <c r="S27" s="274">
        <f>IF(SUM(S19:S26)=$E$3,SUM(S19:S26),SUM(S19:S26)&amp;"误差"&amp;ROUND(SUM(S19:S26)-E3,2))</f>
        <v>146307.88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63612.12</v>
      </c>
      <c r="E31" s="1371">
        <f>E27+E30</f>
        <v>146307.88</v>
      </c>
      <c r="F31" s="1372">
        <f>F27+F30</f>
        <v>146307.88</v>
      </c>
      <c r="G31" s="1373">
        <f>G27+G30</f>
        <v>0</v>
      </c>
      <c r="H31" s="1983"/>
      <c r="I31" s="1983"/>
      <c r="J31" s="1983"/>
      <c r="K31" s="1983"/>
      <c r="L31" s="1983"/>
    </row>
    <row r="32" spans="1:19">
      <c r="A32" s="1983"/>
      <c r="B32" s="2362" t="s">
        <v>2323</v>
      </c>
      <c r="C32" s="2671"/>
      <c r="D32" s="1200"/>
      <c r="E32" s="1200">
        <f>SUMIF(C19:C26,"*住宅*",E19:E26)</f>
        <v>146307.88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32" sqref="K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43131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2832</v>
      </c>
      <c r="O5" s="163" t="s">
        <v>246</v>
      </c>
      <c r="P5" s="165" t="s">
        <v>247</v>
      </c>
      <c r="Q5" s="166" t="s">
        <v>248</v>
      </c>
      <c r="R5" s="167" t="s">
        <v>249</v>
      </c>
      <c r="S5" s="2644" t="s">
        <v>2576</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2325</v>
      </c>
      <c r="AI5" s="171" t="s">
        <v>2294</v>
      </c>
      <c r="AJ5" s="171" t="s">
        <v>258</v>
      </c>
      <c r="AK5" s="159" t="s">
        <v>259</v>
      </c>
      <c r="AL5" s="159" t="s">
        <v>260</v>
      </c>
      <c r="AM5" s="172" t="s">
        <v>261</v>
      </c>
      <c r="AN5" s="2414"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5">
      <c r="A6" s="2301" t="str">
        <f>'数据-汇总表'!C19</f>
        <v>住宅</v>
      </c>
      <c r="B6" s="2336" t="str">
        <f>IF(A6=0,"","经营性")</f>
        <v>经营性</v>
      </c>
      <c r="C6" s="173" t="s">
        <v>924</v>
      </c>
      <c r="D6" s="2307">
        <f>SUMIF(项目基本情况!D$15:I$15,C6,项目基本情况!D$18:I$18)</f>
        <v>70</v>
      </c>
      <c r="E6" s="2308">
        <f>IF(B6="","",SUMIF(项目基本情况!D$15:I$15,C6,项目基本情况!D$17:I$17))</f>
        <v>68324</v>
      </c>
      <c r="F6" s="174">
        <f>SUMIF(项目基本情况!D$15:I$15,C6,项目基本情况!D$19:I$19)</f>
        <v>69.02</v>
      </c>
      <c r="G6" s="175">
        <f>IF(ISERROR(ROUND(POWER(1+H6,D6-F6)*(POWER(1+H6,F6)-1)/(POWER(1+H6,D6)-1),3)),0,ROUND(POWER(1+H6,D6-F6)*(POWER(1+H6,F6)-1)/(POWER(1+H6,D6)-1),3))</f>
        <v>0.998</v>
      </c>
      <c r="H6" s="3478">
        <v>4.4999999999999998E-2</v>
      </c>
      <c r="I6" s="3478">
        <v>5.5E-2</v>
      </c>
      <c r="J6" s="3497">
        <v>8.5000000000000006E-2</v>
      </c>
      <c r="K6" s="179">
        <f>SUMIF('数据-汇总表'!C$19:C$33,'数据-取费表'!A6,'数据-汇总表'!E$19:E$33)</f>
        <v>146307.88</v>
      </c>
      <c r="L6" s="3051">
        <v>2400</v>
      </c>
      <c r="M6" s="177">
        <f t="shared" ref="M6:M14" si="0">ROUND(K6*L6/10000,0)</f>
        <v>35114</v>
      </c>
      <c r="N6" s="3052">
        <v>0</v>
      </c>
      <c r="O6" s="177">
        <f>IF($N$5="成新度","——",ROUND(M6*N6,0))</f>
        <v>0</v>
      </c>
      <c r="P6" s="178">
        <f>IF($N$5="成新度","——",M6-O6)</f>
        <v>35114</v>
      </c>
      <c r="Q6" s="3053">
        <v>0.15</v>
      </c>
      <c r="R6" s="179">
        <f>SUMIF('数据-汇总表'!C$19:C$33,A6,'数据-汇总表'!R$19:R$33)</f>
        <v>63612.12</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4"/>
      <c r="AN6" s="2415"/>
      <c r="AO6" s="1999"/>
      <c r="AP6" s="1203">
        <f>ROUND(1-1/(1+H6)^F6,3)</f>
        <v>0.95199999999999996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0"/>
      <c r="I7" s="3050"/>
      <c r="J7" s="176"/>
      <c r="K7" s="179">
        <f>SUMIF('数据-汇总表'!C$19:C$33,'数据-取费表'!A7,'数据-汇总表'!E$19:E$33)</f>
        <v>0</v>
      </c>
      <c r="L7" s="3051"/>
      <c r="M7" s="177">
        <f t="shared" si="0"/>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1681</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1681</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146307.88</v>
      </c>
      <c r="L16" s="206">
        <f>ROUND(M16*10000/SUM(K6:K14),0)</f>
        <v>2400</v>
      </c>
      <c r="M16" s="206">
        <f>SUM(M6:M14)</f>
        <v>35114</v>
      </c>
      <c r="N16" s="207">
        <f>ROUND(SUMPRODUCT(M6:M14,N6:N14)/M16,3)</f>
        <v>0</v>
      </c>
      <c r="O16" s="206">
        <f>SUM(O6:O14)</f>
        <v>0</v>
      </c>
      <c r="P16" s="206">
        <f>SUM(P6:P14)</f>
        <v>35114</v>
      </c>
      <c r="Q16" s="208">
        <f>ROUND(SUMPRODUCT(Q6:Q13,K6:K13)/SUMPRODUCT((Q6:Q13&gt;0)*(K6:K13)),2)</f>
        <v>0.15</v>
      </c>
      <c r="R16" s="2310">
        <f>SUM(R6:R13)</f>
        <v>63612.12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0.95199999999999996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120</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120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2895</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4"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0.01</v>
      </c>
      <c r="C37" s="2364"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4"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6.2719999999999998E-2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5.6000000000000001E-2</v>
      </c>
      <c r="C42" s="3125">
        <f>IF(B2&lt;DATE(2016,5,1),0,B42)</f>
        <v>5.6000000000000001E-2</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6.7200000000000003E-3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9"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0"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0"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5">
      <c r="A52" s="247" t="s">
        <v>293</v>
      </c>
      <c r="B52" s="349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1411</v>
      </c>
      <c r="C53" s="3101" t="s">
        <v>2905</v>
      </c>
      <c r="D53" s="3102"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2907</v>
      </c>
      <c r="B54" s="186"/>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2908</v>
      </c>
      <c r="B55" s="186"/>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2909</v>
      </c>
      <c r="B56" s="186"/>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2910</v>
      </c>
      <c r="B57" s="186"/>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2911</v>
      </c>
      <c r="B58" s="186"/>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2912</v>
      </c>
      <c r="B59" s="186"/>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2916</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599" t="s">
        <v>1665</v>
      </c>
      <c r="B1" s="3600"/>
      <c r="C1" s="3600"/>
      <c r="D1" s="3600"/>
      <c r="E1" s="3600"/>
      <c r="F1" s="3600"/>
      <c r="G1" s="3600"/>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6" t="s">
        <v>2923</v>
      </c>
      <c r="D3" s="2008"/>
      <c r="E3" s="1228" t="s">
        <v>1668</v>
      </c>
      <c r="F3" s="1229" t="s">
        <v>1656</v>
      </c>
      <c r="G3" s="3110" t="s">
        <v>2922</v>
      </c>
      <c r="H3" s="2007"/>
      <c r="I3" s="2007"/>
      <c r="J3" s="2007"/>
      <c r="K3" s="2007"/>
      <c r="L3" s="2007"/>
      <c r="M3" s="2007"/>
      <c r="N3" s="2007"/>
      <c r="O3" s="2007"/>
      <c r="P3" s="2007"/>
      <c r="Q3" s="2007"/>
      <c r="R3" s="2007"/>
    </row>
    <row r="4" spans="1:18" ht="41.25">
      <c r="A4" s="1228"/>
      <c r="B4" s="1230" t="s">
        <v>1669</v>
      </c>
      <c r="C4" s="3107" t="s">
        <v>2924</v>
      </c>
      <c r="D4" s="2008"/>
      <c r="E4" s="1231"/>
      <c r="F4" s="1232" t="s">
        <v>1670</v>
      </c>
      <c r="G4" s="3108" t="s">
        <v>2919</v>
      </c>
      <c r="H4" s="2007"/>
      <c r="I4" s="2007"/>
      <c r="J4" s="2007"/>
      <c r="K4" s="2007"/>
      <c r="L4" s="2007"/>
      <c r="M4" s="2007"/>
      <c r="N4" s="2007"/>
      <c r="O4" s="2007"/>
      <c r="P4" s="2007"/>
      <c r="Q4" s="2007"/>
      <c r="R4" s="2007"/>
    </row>
    <row r="5" spans="1:18" ht="41.25">
      <c r="A5" s="1228"/>
      <c r="B5" s="1230" t="s">
        <v>1671</v>
      </c>
      <c r="C5" s="3107" t="s">
        <v>2925</v>
      </c>
      <c r="D5" s="2008"/>
      <c r="E5" s="1231"/>
      <c r="F5" s="1230" t="s">
        <v>2550</v>
      </c>
      <c r="G5" s="3108" t="s">
        <v>2920</v>
      </c>
      <c r="H5" s="2007"/>
      <c r="I5" s="2007"/>
      <c r="J5" s="2007"/>
      <c r="K5" s="2007"/>
      <c r="L5" s="2007"/>
      <c r="M5" s="2007"/>
      <c r="N5" s="2007"/>
      <c r="O5" s="2007"/>
      <c r="P5" s="2007"/>
      <c r="Q5" s="2007"/>
      <c r="R5" s="2007"/>
    </row>
    <row r="6" spans="1:18" ht="54">
      <c r="A6" s="1228"/>
      <c r="B6" s="1230" t="s">
        <v>1657</v>
      </c>
      <c r="C6" s="3108" t="s">
        <v>2919</v>
      </c>
      <c r="D6" s="2008"/>
      <c r="E6" s="1231"/>
      <c r="F6" s="1230" t="s">
        <v>2551</v>
      </c>
      <c r="G6" s="3108" t="s">
        <v>2917</v>
      </c>
      <c r="H6" s="2007"/>
      <c r="I6" s="2007"/>
      <c r="J6" s="2007"/>
      <c r="K6" s="2007"/>
      <c r="L6" s="2007"/>
      <c r="M6" s="2007"/>
      <c r="N6" s="2007"/>
      <c r="O6" s="2007"/>
      <c r="P6" s="2007"/>
      <c r="Q6" s="2007"/>
      <c r="R6" s="2007"/>
    </row>
    <row r="7" spans="1:18" ht="41.25" thickBot="1">
      <c r="A7" s="1228"/>
      <c r="B7" s="1230" t="s">
        <v>2550</v>
      </c>
      <c r="C7" s="3108" t="s">
        <v>2920</v>
      </c>
      <c r="D7" s="2009"/>
      <c r="E7" s="1233"/>
      <c r="F7" s="1234" t="s">
        <v>1672</v>
      </c>
      <c r="G7" s="3111" t="s">
        <v>2921</v>
      </c>
      <c r="H7" s="2007"/>
      <c r="I7" s="2007"/>
      <c r="J7" s="2007"/>
      <c r="K7" s="2007"/>
      <c r="L7" s="2007"/>
      <c r="M7" s="2007"/>
      <c r="N7" s="2007"/>
      <c r="O7" s="2007"/>
      <c r="P7" s="2007"/>
      <c r="Q7" s="2007"/>
      <c r="R7" s="2007"/>
    </row>
    <row r="8" spans="1:18" ht="27">
      <c r="A8" s="1228"/>
      <c r="B8" s="1230" t="s">
        <v>2551</v>
      </c>
      <c r="C8" s="3108" t="s">
        <v>2917</v>
      </c>
      <c r="D8" s="2009"/>
      <c r="E8" s="2009"/>
      <c r="F8" s="1553"/>
      <c r="G8" s="1553"/>
      <c r="H8" s="2007"/>
      <c r="I8" s="2007"/>
      <c r="J8" s="2007"/>
      <c r="K8" s="2007"/>
      <c r="L8" s="2007"/>
      <c r="M8" s="2007"/>
      <c r="N8" s="2007"/>
      <c r="O8" s="2007"/>
      <c r="P8" s="2007"/>
      <c r="Q8" s="2007"/>
      <c r="R8" s="2007"/>
    </row>
    <row r="9" spans="1:18" ht="40.5">
      <c r="A9" s="1228"/>
      <c r="B9" s="1230" t="s">
        <v>1658</v>
      </c>
      <c r="C9" s="3107" t="s">
        <v>2918</v>
      </c>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2550</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2551</v>
      </c>
      <c r="G20" s="1004" t="str">
        <f>G6</f>
        <v>估价对象所在区域基础设施水平</v>
      </c>
    </row>
    <row r="21" spans="1:7" ht="27">
      <c r="A21" s="2612"/>
      <c r="B21" s="1230" t="s">
        <v>2550</v>
      </c>
      <c r="C21" s="1004" t="str">
        <f>C7</f>
        <v>估价对象所在区域公共配套设施齐备情况</v>
      </c>
      <c r="D21" s="2008"/>
      <c r="E21" s="2609"/>
      <c r="F21" s="1246" t="s">
        <v>1663</v>
      </c>
      <c r="G21" s="3112"/>
    </row>
    <row r="22" spans="1:7" ht="27">
      <c r="A22" s="2612"/>
      <c r="B22" s="1230" t="s">
        <v>2551</v>
      </c>
      <c r="C22" s="1004" t="str">
        <f>C8</f>
        <v>估价对象所在区域基础设施水平</v>
      </c>
      <c r="D22" s="2008"/>
      <c r="E22" s="2609"/>
      <c r="F22" s="1246" t="s">
        <v>1673</v>
      </c>
      <c r="G22" s="2818"/>
    </row>
    <row r="23" spans="1:7" ht="15" thickBot="1">
      <c r="A23" s="2612"/>
      <c r="B23" s="1246" t="s">
        <v>1663</v>
      </c>
      <c r="C23" s="3112"/>
      <c r="E23" s="2610"/>
      <c r="F23" s="1247" t="s">
        <v>1677</v>
      </c>
      <c r="G23" s="3113"/>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2848</v>
      </c>
      <c r="B1" s="3070">
        <f>SUM(B14:B23)</f>
        <v>146307.88</v>
      </c>
      <c r="C1" s="3071"/>
      <c r="D1" s="3071"/>
      <c r="E1" s="3071"/>
      <c r="F1" s="3071"/>
    </row>
    <row r="2" spans="1:9" ht="16.5">
      <c r="A2" s="3070" t="s">
        <v>2849</v>
      </c>
      <c r="B2" s="3070">
        <f>SUM(C14:C23)</f>
        <v>63612.12</v>
      </c>
      <c r="C2" s="3071"/>
      <c r="D2" s="3071"/>
      <c r="E2" s="3071"/>
      <c r="F2" s="3071"/>
    </row>
    <row r="3" spans="1:9" ht="16.5">
      <c r="A3" s="3070" t="s">
        <v>2850</v>
      </c>
      <c r="B3" s="3072">
        <f>项目基本情况!D3</f>
        <v>43131</v>
      </c>
      <c r="C3" s="3071"/>
      <c r="D3" s="3071"/>
      <c r="E3" s="3071"/>
      <c r="F3" s="3071"/>
    </row>
    <row r="4" spans="1:9" ht="33">
      <c r="A4" s="3070" t="s">
        <v>2851</v>
      </c>
      <c r="B4" s="3070" t="s">
        <v>2852</v>
      </c>
      <c r="C4" s="3070" t="s">
        <v>2853</v>
      </c>
      <c r="D4" s="3070" t="s">
        <v>2854</v>
      </c>
      <c r="E4" s="3071"/>
      <c r="F4" s="3071"/>
    </row>
    <row r="5" spans="1:9" ht="16.5">
      <c r="A5" s="3070" t="s">
        <v>2855</v>
      </c>
      <c r="B5" s="3070">
        <f ca="1">SUM(D14:D23)</f>
        <v>114555</v>
      </c>
      <c r="C5" s="3070">
        <f ca="1">ROUND(B5*10000/$B$1,0)</f>
        <v>7830</v>
      </c>
      <c r="D5" s="3070">
        <f ca="1">ROUND(B5*10000/$B$2,0)</f>
        <v>18008</v>
      </c>
      <c r="E5" s="3071"/>
      <c r="F5" s="3071"/>
    </row>
    <row r="6" spans="1:9" ht="16.5">
      <c r="A6" s="3070" t="s">
        <v>2856</v>
      </c>
      <c r="B6" s="3070">
        <f ca="1">SUM(G14:G23)</f>
        <v>114555</v>
      </c>
      <c r="C6" s="3070">
        <f t="shared" ref="C6:C8" ca="1" si="0">ROUND(B6*10000/$B$1,0)</f>
        <v>7830</v>
      </c>
      <c r="D6" s="3070">
        <f t="shared" ref="D6:D8" ca="1" si="1">ROUND(B6*10000/$B$2,0)</f>
        <v>18008</v>
      </c>
      <c r="E6" s="3071"/>
      <c r="F6" s="3071"/>
    </row>
    <row r="7" spans="1:9" ht="16.5">
      <c r="A7" s="3070" t="s">
        <v>2857</v>
      </c>
      <c r="B7" s="3070">
        <f>SUM(H14:H23)</f>
        <v>0</v>
      </c>
      <c r="C7" s="3070">
        <f t="shared" si="0"/>
        <v>0</v>
      </c>
      <c r="D7" s="3070">
        <f t="shared" si="1"/>
        <v>0</v>
      </c>
      <c r="E7" s="3071"/>
      <c r="F7" s="3071"/>
    </row>
    <row r="8" spans="1:9" ht="16.5">
      <c r="A8" s="3070" t="s">
        <v>2858</v>
      </c>
      <c r="B8" s="3070">
        <f>SUM(I14:I23)</f>
        <v>0</v>
      </c>
      <c r="C8" s="3070">
        <f t="shared" si="0"/>
        <v>0</v>
      </c>
      <c r="D8" s="3070">
        <f t="shared" si="1"/>
        <v>0</v>
      </c>
      <c r="E8" s="3071"/>
      <c r="F8" s="3071"/>
    </row>
    <row r="9" spans="1:9" ht="16.5">
      <c r="A9" s="3070" t="s">
        <v>2859</v>
      </c>
      <c r="B9" s="3073"/>
      <c r="C9" s="3071"/>
      <c r="D9" s="3071"/>
      <c r="E9" s="3071"/>
      <c r="F9" s="3071"/>
    </row>
    <row r="10" spans="1:9" ht="16.5">
      <c r="A10" s="3070" t="s">
        <v>2860</v>
      </c>
      <c r="B10" s="3073"/>
      <c r="C10" s="3071"/>
      <c r="D10" s="3071"/>
      <c r="E10" s="3071"/>
      <c r="F10" s="3071"/>
    </row>
    <row r="11" spans="1:9" ht="16.5">
      <c r="A11" s="3070" t="s">
        <v>2877</v>
      </c>
      <c r="B11" s="3073"/>
      <c r="C11" s="3071"/>
      <c r="D11" s="3071"/>
      <c r="E11" s="3071"/>
      <c r="F11" s="3071"/>
    </row>
    <row r="12" spans="1:9" ht="16.5">
      <c r="A12" s="3071"/>
      <c r="B12" s="3071"/>
      <c r="C12" s="3071"/>
      <c r="D12" s="3071"/>
      <c r="E12" s="3071"/>
      <c r="F12" s="3071"/>
    </row>
    <row r="13" spans="1:9" ht="33">
      <c r="A13" s="3076" t="s">
        <v>2876</v>
      </c>
      <c r="B13" s="3074" t="s">
        <v>2848</v>
      </c>
      <c r="C13" s="3074" t="s">
        <v>2849</v>
      </c>
      <c r="D13" s="3074" t="s">
        <v>2861</v>
      </c>
      <c r="E13" s="3070" t="s">
        <v>2875</v>
      </c>
      <c r="F13" s="3070" t="s">
        <v>2854</v>
      </c>
      <c r="G13" s="3074" t="s">
        <v>2862</v>
      </c>
      <c r="H13" s="3074" t="s">
        <v>2863</v>
      </c>
      <c r="I13" s="3074" t="s">
        <v>2864</v>
      </c>
    </row>
    <row r="14" spans="1:9" ht="16.5">
      <c r="A14" s="3077" t="s">
        <v>2874</v>
      </c>
      <c r="B14" s="3074">
        <f>结果表!L38</f>
        <v>146307.88</v>
      </c>
      <c r="C14" s="3074">
        <f>结果表!K38</f>
        <v>63612.12</v>
      </c>
      <c r="D14" s="3074">
        <f ca="1">结果表!C42</f>
        <v>114555</v>
      </c>
      <c r="E14" s="3074">
        <f ca="1">ROUND(D14*10000/B14,0)</f>
        <v>7830</v>
      </c>
      <c r="F14" s="3074">
        <f ca="1">ROUND(D14*10000/C14,0)</f>
        <v>18008</v>
      </c>
      <c r="G14" s="3074">
        <f ca="1">结果表!C44</f>
        <v>114555</v>
      </c>
      <c r="H14" s="3074" t="str">
        <f>结果表!C45</f>
        <v>——</v>
      </c>
      <c r="I14" s="3074" t="str">
        <f>结果表!C46</f>
        <v>——</v>
      </c>
    </row>
    <row r="15" spans="1:9" ht="16.5">
      <c r="A15" s="3077" t="s">
        <v>2865</v>
      </c>
      <c r="B15" s="3078"/>
      <c r="C15" s="3078"/>
      <c r="D15" s="3078"/>
      <c r="E15" s="3074" t="e">
        <f t="shared" ref="E15:E23" si="2">ROUND(D15*10000/B15,0)</f>
        <v>#DIV/0!</v>
      </c>
      <c r="F15" s="3074" t="e">
        <f t="shared" ref="F15:F23" si="3">ROUND(D15*10000/C15,0)</f>
        <v>#DIV/0!</v>
      </c>
      <c r="G15" s="3075"/>
      <c r="H15" s="3075"/>
      <c r="I15" s="3078"/>
    </row>
    <row r="16" spans="1:9" ht="16.5">
      <c r="A16" s="3077" t="s">
        <v>2866</v>
      </c>
      <c r="B16" s="3078"/>
      <c r="C16" s="3078"/>
      <c r="D16" s="3078"/>
      <c r="E16" s="3074" t="e">
        <f t="shared" si="2"/>
        <v>#DIV/0!</v>
      </c>
      <c r="F16" s="3074" t="e">
        <f t="shared" si="3"/>
        <v>#DIV/0!</v>
      </c>
      <c r="G16" s="3075"/>
      <c r="H16" s="3075"/>
      <c r="I16" s="3078"/>
    </row>
    <row r="17" spans="1:9" ht="16.5">
      <c r="A17" s="3077" t="s">
        <v>2867</v>
      </c>
      <c r="B17" s="3078"/>
      <c r="C17" s="3078"/>
      <c r="D17" s="3078"/>
      <c r="E17" s="3074" t="e">
        <f t="shared" si="2"/>
        <v>#DIV/0!</v>
      </c>
      <c r="F17" s="3074" t="e">
        <f t="shared" si="3"/>
        <v>#DIV/0!</v>
      </c>
      <c r="G17" s="3075"/>
      <c r="H17" s="3075"/>
      <c r="I17" s="3078"/>
    </row>
    <row r="18" spans="1:9" ht="16.5">
      <c r="A18" s="3077" t="s">
        <v>2868</v>
      </c>
      <c r="B18" s="3078"/>
      <c r="C18" s="3078"/>
      <c r="D18" s="3078"/>
      <c r="E18" s="3074" t="e">
        <f t="shared" si="2"/>
        <v>#DIV/0!</v>
      </c>
      <c r="F18" s="3074" t="e">
        <f t="shared" si="3"/>
        <v>#DIV/0!</v>
      </c>
      <c r="G18" s="3078"/>
      <c r="H18" s="3078"/>
      <c r="I18" s="3078"/>
    </row>
    <row r="19" spans="1:9" ht="16.5">
      <c r="A19" s="3077" t="s">
        <v>2869</v>
      </c>
      <c r="B19" s="3078"/>
      <c r="C19" s="3078"/>
      <c r="D19" s="3078"/>
      <c r="E19" s="3074" t="e">
        <f t="shared" si="2"/>
        <v>#DIV/0!</v>
      </c>
      <c r="F19" s="3074" t="e">
        <f t="shared" si="3"/>
        <v>#DIV/0!</v>
      </c>
      <c r="G19" s="3078"/>
      <c r="H19" s="3078"/>
      <c r="I19" s="3078"/>
    </row>
    <row r="20" spans="1:9" ht="16.5">
      <c r="A20" s="3077" t="s">
        <v>2870</v>
      </c>
      <c r="B20" s="3078"/>
      <c r="C20" s="3078"/>
      <c r="D20" s="3078"/>
      <c r="E20" s="3074" t="e">
        <f t="shared" si="2"/>
        <v>#DIV/0!</v>
      </c>
      <c r="F20" s="3074" t="e">
        <f t="shared" si="3"/>
        <v>#DIV/0!</v>
      </c>
      <c r="G20" s="3078"/>
      <c r="H20" s="3078"/>
      <c r="I20" s="3078"/>
    </row>
    <row r="21" spans="1:9" ht="16.5">
      <c r="A21" s="3077" t="s">
        <v>2871</v>
      </c>
      <c r="B21" s="3078"/>
      <c r="C21" s="3078"/>
      <c r="D21" s="3078"/>
      <c r="E21" s="3074" t="e">
        <f t="shared" si="2"/>
        <v>#DIV/0!</v>
      </c>
      <c r="F21" s="3074" t="e">
        <f t="shared" si="3"/>
        <v>#DIV/0!</v>
      </c>
      <c r="G21" s="3078"/>
      <c r="H21" s="3078"/>
      <c r="I21" s="3078"/>
    </row>
    <row r="22" spans="1:9" ht="16.5">
      <c r="A22" s="3077" t="s">
        <v>2872</v>
      </c>
      <c r="B22" s="3078"/>
      <c r="C22" s="3078"/>
      <c r="D22" s="3078"/>
      <c r="E22" s="3074" t="e">
        <f t="shared" si="2"/>
        <v>#DIV/0!</v>
      </c>
      <c r="F22" s="3074" t="e">
        <f t="shared" si="3"/>
        <v>#DIV/0!</v>
      </c>
      <c r="G22" s="3078"/>
      <c r="H22" s="3078"/>
      <c r="I22" s="3078"/>
    </row>
    <row r="23" spans="1:9" ht="16.5">
      <c r="A23" s="3077" t="s">
        <v>2873</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16" zoomScaleSheetLayoutView="100" zoomScalePageLayoutView="80" workbookViewId="0">
      <selection activeCell="H25" sqref="H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3275</v>
      </c>
      <c r="E1" s="1804" t="s">
        <v>2059</v>
      </c>
      <c r="F1" s="1806" t="s">
        <v>3276</v>
      </c>
      <c r="G1" s="310"/>
      <c r="H1" s="310"/>
      <c r="I1" s="310"/>
      <c r="J1" s="2028"/>
      <c r="K1" s="2028"/>
      <c r="L1" s="2028"/>
      <c r="M1" s="2028"/>
      <c r="N1" s="2028"/>
      <c r="O1" s="2028"/>
      <c r="P1" s="2028"/>
      <c r="Q1" s="2028"/>
      <c r="R1" s="2028"/>
      <c r="S1" s="2028"/>
      <c r="T1" s="2028"/>
      <c r="U1" s="2028"/>
      <c r="V1" s="2028"/>
    </row>
    <row r="2" spans="1:22" ht="21.75" customHeight="1" thickBot="1">
      <c r="A2" s="3637" t="str">
        <f>项目基本情况!K2</f>
        <v>湖北省武汉市经济技术开发区55R2地块1宗住宅、商业用途出让国有建设用地使用权</v>
      </c>
      <c r="B2" s="3638"/>
      <c r="C2" s="3639"/>
      <c r="D2" s="3639"/>
      <c r="E2" s="3639"/>
      <c r="F2" s="3639"/>
      <c r="G2" s="3638"/>
      <c r="H2" s="3638"/>
      <c r="I2" s="3640"/>
      <c r="J2" s="2029"/>
      <c r="K2" s="2028"/>
      <c r="L2" s="2028"/>
      <c r="M2" s="2028"/>
      <c r="N2" s="2028"/>
      <c r="O2" s="2028"/>
      <c r="P2" s="2028"/>
      <c r="Q2" s="2028"/>
      <c r="R2" s="2028"/>
      <c r="S2" s="2028"/>
      <c r="T2" s="2028"/>
      <c r="U2" s="2028"/>
      <c r="V2" s="2028"/>
    </row>
    <row r="3" spans="1:22" ht="14.25">
      <c r="A3" s="3630" t="s">
        <v>298</v>
      </c>
      <c r="B3" s="3631"/>
      <c r="C3" s="3631"/>
      <c r="D3" s="3631"/>
      <c r="E3" s="3631"/>
      <c r="F3" s="3631"/>
      <c r="G3" s="3631"/>
      <c r="H3" s="3631"/>
      <c r="I3" s="3631"/>
      <c r="J3" s="2029"/>
      <c r="K3" s="2028"/>
      <c r="L3" s="2028"/>
      <c r="M3" s="2028"/>
      <c r="N3" s="2028"/>
      <c r="O3" s="2028"/>
      <c r="P3" s="2028"/>
      <c r="Q3" s="2028"/>
      <c r="R3" s="2028"/>
      <c r="S3" s="2028"/>
      <c r="T3" s="2028"/>
      <c r="U3" s="2028"/>
      <c r="V3" s="2028"/>
    </row>
    <row r="4" spans="1:22" ht="14.25">
      <c r="A4" s="257" t="s">
        <v>299</v>
      </c>
      <c r="B4" s="258" t="s">
        <v>300</v>
      </c>
      <c r="C4" s="259" t="s">
        <v>3277</v>
      </c>
      <c r="D4" s="259" t="s">
        <v>3324</v>
      </c>
      <c r="E4" s="3602" t="s">
        <v>301</v>
      </c>
      <c r="F4" s="3603"/>
      <c r="G4" s="3603"/>
      <c r="H4" s="3603"/>
      <c r="I4" s="363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601" t="s">
        <v>302</v>
      </c>
      <c r="B5" s="3627">
        <v>25</v>
      </c>
      <c r="C5" s="3625"/>
      <c r="D5" s="3629"/>
      <c r="E5" s="260" t="s">
        <v>303</v>
      </c>
      <c r="F5" s="261"/>
      <c r="G5" s="261"/>
      <c r="H5" s="261"/>
      <c r="I5" s="262"/>
      <c r="J5" s="2029"/>
      <c r="K5" s="2028"/>
      <c r="L5" s="2028"/>
      <c r="M5" s="2028"/>
      <c r="N5" s="2028"/>
      <c r="O5" s="2028"/>
      <c r="P5" s="2028"/>
      <c r="Q5" s="2028"/>
      <c r="R5" s="2028"/>
      <c r="S5" s="2028"/>
      <c r="T5" s="2028"/>
      <c r="U5" s="2028"/>
      <c r="V5" s="2028"/>
    </row>
    <row r="6" spans="1:22" ht="14.25">
      <c r="A6" s="3601"/>
      <c r="B6" s="3627"/>
      <c r="C6" s="3628"/>
      <c r="D6" s="3629"/>
      <c r="E6" s="260" t="s">
        <v>304</v>
      </c>
      <c r="F6" s="261"/>
      <c r="G6" s="261"/>
      <c r="H6" s="261"/>
      <c r="I6" s="262"/>
      <c r="J6" s="2029"/>
      <c r="K6" s="2028"/>
      <c r="L6" s="2028"/>
      <c r="M6" s="2028"/>
      <c r="N6" s="2028"/>
      <c r="O6" s="2028"/>
      <c r="P6" s="2028"/>
      <c r="Q6" s="2028"/>
      <c r="R6" s="2028"/>
      <c r="S6" s="2028"/>
      <c r="T6" s="2028"/>
      <c r="U6" s="2028"/>
      <c r="V6" s="2028"/>
    </row>
    <row r="7" spans="1:22" ht="14.25">
      <c r="A7" s="3601"/>
      <c r="B7" s="3627"/>
      <c r="C7" s="3626"/>
      <c r="D7" s="3629"/>
      <c r="E7" s="260" t="s">
        <v>305</v>
      </c>
      <c r="F7" s="261"/>
      <c r="G7" s="261"/>
      <c r="H7" s="261"/>
      <c r="I7" s="262"/>
      <c r="J7" s="2029"/>
      <c r="K7" s="2028"/>
      <c r="L7" s="2028"/>
      <c r="M7" s="2028"/>
      <c r="N7" s="2028"/>
      <c r="O7" s="2028"/>
      <c r="P7" s="2028"/>
      <c r="Q7" s="2028"/>
      <c r="R7" s="2028"/>
      <c r="S7" s="2028"/>
      <c r="T7" s="2028"/>
      <c r="U7" s="2028"/>
      <c r="V7" s="2028"/>
    </row>
    <row r="8" spans="1:22" ht="14.25">
      <c r="A8" s="3601" t="s">
        <v>306</v>
      </c>
      <c r="B8" s="3627">
        <v>15</v>
      </c>
      <c r="C8" s="3625"/>
      <c r="D8" s="3629"/>
      <c r="E8" s="260" t="s">
        <v>307</v>
      </c>
      <c r="F8" s="261"/>
      <c r="G8" s="261"/>
      <c r="H8" s="261"/>
      <c r="I8" s="262"/>
      <c r="J8" s="2029"/>
      <c r="K8" s="2028"/>
      <c r="L8" s="2028"/>
      <c r="M8" s="2028"/>
      <c r="N8" s="2028"/>
      <c r="O8" s="2028"/>
      <c r="P8" s="2028"/>
      <c r="Q8" s="2028"/>
      <c r="R8" s="2028"/>
      <c r="S8" s="2028"/>
      <c r="T8" s="2028"/>
      <c r="U8" s="2028"/>
      <c r="V8" s="2028"/>
    </row>
    <row r="9" spans="1:22" ht="14.25">
      <c r="A9" s="3601"/>
      <c r="B9" s="3627"/>
      <c r="C9" s="3626"/>
      <c r="D9" s="3629"/>
      <c r="E9" s="260" t="s">
        <v>308</v>
      </c>
      <c r="F9" s="261"/>
      <c r="G9" s="261"/>
      <c r="H9" s="261"/>
      <c r="I9" s="262"/>
      <c r="J9" s="2029"/>
      <c r="K9" s="2028"/>
      <c r="L9" s="2028"/>
      <c r="M9" s="2028"/>
      <c r="N9" s="2028"/>
      <c r="O9" s="2028"/>
      <c r="P9" s="2028"/>
      <c r="Q9" s="2028"/>
      <c r="R9" s="2028"/>
      <c r="S9" s="2028"/>
      <c r="T9" s="2028"/>
      <c r="U9" s="2028"/>
      <c r="V9" s="2028"/>
    </row>
    <row r="10" spans="1:22" ht="14.25">
      <c r="A10" s="3601" t="s">
        <v>309</v>
      </c>
      <c r="B10" s="3627">
        <v>15</v>
      </c>
      <c r="C10" s="3625"/>
      <c r="D10" s="3629"/>
      <c r="E10" s="260" t="s">
        <v>310</v>
      </c>
      <c r="F10" s="261"/>
      <c r="G10" s="261"/>
      <c r="H10" s="261"/>
      <c r="I10" s="262"/>
      <c r="J10" s="2029"/>
      <c r="K10" s="2028"/>
      <c r="L10" s="2028"/>
      <c r="M10" s="2028"/>
      <c r="N10" s="2028"/>
      <c r="O10" s="2028"/>
      <c r="P10" s="2028"/>
      <c r="Q10" s="2028"/>
      <c r="R10" s="2028"/>
      <c r="S10" s="2028"/>
      <c r="T10" s="2028"/>
      <c r="U10" s="2028"/>
      <c r="V10" s="2028"/>
    </row>
    <row r="11" spans="1:22" ht="14.25">
      <c r="A11" s="3601"/>
      <c r="B11" s="3627"/>
      <c r="C11" s="3626"/>
      <c r="D11" s="3629"/>
      <c r="E11" s="260" t="s">
        <v>311</v>
      </c>
      <c r="F11" s="261"/>
      <c r="G11" s="261"/>
      <c r="H11" s="261"/>
      <c r="I11" s="262"/>
      <c r="J11" s="2029"/>
      <c r="K11" s="2028"/>
      <c r="L11" s="2028"/>
      <c r="M11" s="2028"/>
      <c r="N11" s="2028"/>
      <c r="O11" s="2028"/>
      <c r="P11" s="2028"/>
      <c r="Q11" s="2028"/>
      <c r="R11" s="2028"/>
      <c r="S11" s="2028"/>
      <c r="T11" s="2028"/>
      <c r="U11" s="2028"/>
      <c r="V11" s="2028"/>
    </row>
    <row r="12" spans="1:22" ht="14.25">
      <c r="A12" s="3601" t="s">
        <v>312</v>
      </c>
      <c r="B12" s="3627">
        <v>15</v>
      </c>
      <c r="C12" s="3625"/>
      <c r="D12" s="3629"/>
      <c r="E12" s="260" t="s">
        <v>313</v>
      </c>
      <c r="F12" s="261"/>
      <c r="G12" s="261"/>
      <c r="H12" s="261"/>
      <c r="I12" s="262"/>
      <c r="J12" s="2029"/>
      <c r="K12" s="2028"/>
      <c r="L12" s="2028"/>
      <c r="M12" s="2028"/>
      <c r="N12" s="2028"/>
      <c r="O12" s="2028"/>
      <c r="P12" s="2028"/>
      <c r="Q12" s="2028"/>
      <c r="R12" s="2028"/>
      <c r="S12" s="2028"/>
      <c r="T12" s="2028"/>
      <c r="U12" s="2028"/>
      <c r="V12" s="2028"/>
    </row>
    <row r="13" spans="1:22" ht="14.25">
      <c r="A13" s="3601"/>
      <c r="B13" s="3627"/>
      <c r="C13" s="3626"/>
      <c r="D13" s="3629"/>
      <c r="E13" s="260" t="s">
        <v>314</v>
      </c>
      <c r="F13" s="261"/>
      <c r="G13" s="261"/>
      <c r="H13" s="261"/>
      <c r="I13" s="262"/>
      <c r="J13" s="2029"/>
      <c r="K13" s="2028"/>
      <c r="L13" s="2028"/>
      <c r="M13" s="2028"/>
      <c r="N13" s="2028"/>
      <c r="O13" s="2028"/>
      <c r="P13" s="2028"/>
      <c r="Q13" s="2028"/>
      <c r="R13" s="2028"/>
      <c r="S13" s="2028"/>
      <c r="T13" s="2028"/>
      <c r="U13" s="2028"/>
      <c r="V13" s="2028"/>
    </row>
    <row r="14" spans="1:22" ht="14.25">
      <c r="A14" s="3601" t="s">
        <v>315</v>
      </c>
      <c r="B14" s="3627">
        <v>30</v>
      </c>
      <c r="C14" s="3625">
        <v>5</v>
      </c>
      <c r="D14" s="3629">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601"/>
      <c r="B15" s="3627"/>
      <c r="C15" s="3628"/>
      <c r="D15" s="3629"/>
      <c r="E15" s="260" t="s">
        <v>317</v>
      </c>
      <c r="F15" s="261"/>
      <c r="G15" s="261"/>
      <c r="H15" s="261"/>
      <c r="I15" s="262"/>
      <c r="J15" s="2029"/>
      <c r="K15" s="2028"/>
      <c r="L15" s="2028"/>
      <c r="M15" s="2028"/>
      <c r="N15" s="2028"/>
      <c r="O15" s="2028"/>
      <c r="P15" s="2028"/>
      <c r="Q15" s="2028"/>
      <c r="R15" s="2028"/>
      <c r="S15" s="2028"/>
      <c r="T15" s="2028"/>
      <c r="U15" s="2028"/>
      <c r="V15" s="2028"/>
    </row>
    <row r="16" spans="1:22" ht="14.25">
      <c r="A16" s="3601"/>
      <c r="B16" s="3627"/>
      <c r="C16" s="3626"/>
      <c r="D16" s="362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98904</v>
      </c>
      <c r="D19" s="270">
        <f ca="1">SUMIF(INDIRECT("'"&amp;D4&amp;"'"&amp;"!A:A"),结果表!B19,INDIRECT("'"&amp;D4&amp;"'"&amp;"!B:B"))</f>
        <v>130206</v>
      </c>
      <c r="E19" s="267" t="s">
        <v>323</v>
      </c>
      <c r="F19" s="268" t="s">
        <v>322</v>
      </c>
      <c r="G19" s="271">
        <f ca="1">ROUND(C19*$C$18+D19*$D$18,0)</f>
        <v>114555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6760</v>
      </c>
      <c r="D20" s="276">
        <f ca="1">SUMIF(INDIRECT("'"&amp;D4&amp;"'"&amp;"!A:A"),结果表!B20,INDIRECT("'"&amp;D4&amp;"'"&amp;"!B:B"))</f>
        <v>8899</v>
      </c>
      <c r="E20" s="273"/>
      <c r="F20" s="274" t="s">
        <v>325</v>
      </c>
      <c r="G20" s="277">
        <f ca="1">ROUND(C20*$C$18+D20*$D$18,0)</f>
        <v>7830</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15548</v>
      </c>
      <c r="D21" s="151">
        <f ca="1">SUMIF(INDIRECT("'"&amp;D4&amp;"'"&amp;"!A:A"),结果表!B21,INDIRECT("'"&amp;D4&amp;"'"&amp;"!B:B"))</f>
        <v>20469</v>
      </c>
      <c r="E21" s="273"/>
      <c r="F21" s="279" t="s">
        <v>327</v>
      </c>
      <c r="G21" s="281">
        <f ca="1">ROUND(C21*$C$18+D21*$D$18,0)</f>
        <v>18009</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0.31648871633098752</v>
      </c>
      <c r="E22" s="283"/>
      <c r="F22" s="284"/>
      <c r="G22" s="285">
        <f ca="1">ROUND(G19/('数据-汇总表'!D3/666.67),0)</f>
        <v>1201</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60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608"/>
      <c r="B25" s="1320" t="s">
        <v>331</v>
      </c>
      <c r="C25" s="289">
        <f>IF(B30=0,0,C30)</f>
        <v>0</v>
      </c>
      <c r="D25" s="290"/>
      <c r="E25" s="310"/>
      <c r="F25" s="310"/>
      <c r="G25" s="310"/>
      <c r="H25" s="310"/>
      <c r="I25" s="310"/>
      <c r="J25" s="2028"/>
      <c r="K25" s="1254" t="str">
        <f ca="1">项目基本情况!B16&amp;"国有建设用地使用权价格："&amp;O38&amp;"万元"</f>
        <v>出让国有建设用地使用权价格：114555万元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大写金额：人民币壹拾壹亿肆仟伍佰伍拾伍万元整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7" t="str">
        <f ca="1">"单位面积地价："&amp;M38&amp;"元/平方米"</f>
        <v>单位面积地价：18008元/平方米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楼面地价：7830元/平方米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抵押价格：114555万元</v>
      </c>
      <c r="L29" s="1251"/>
      <c r="M29" s="1251"/>
      <c r="N29" s="1251"/>
      <c r="O29" s="1250"/>
      <c r="P29" s="2028"/>
      <c r="V29" s="2028"/>
    </row>
    <row r="30" spans="1:26" ht="18.75" thickBot="1">
      <c r="A30" s="3161" t="s">
        <v>336</v>
      </c>
      <c r="B30" s="308"/>
      <c r="C30" s="308"/>
      <c r="D30" s="309"/>
      <c r="E30" s="3162" t="s">
        <v>2973</v>
      </c>
      <c r="F30" s="310"/>
      <c r="G30" s="310"/>
      <c r="H30" s="310"/>
      <c r="I30" s="310"/>
      <c r="J30" s="2028"/>
      <c r="K30" s="1257" t="str">
        <f ca="1">IF(K29="——","——","大写金额：人民币"&amp;NUMBERSTRING(INT(O39*10000),2)&amp;"元整")</f>
        <v>大写金额：人民币壹拾壹亿肆仟伍佰伍拾伍万元整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1690</v>
      </c>
      <c r="C32" s="1382">
        <f ca="1">G19-C24</f>
        <v>114555</v>
      </c>
      <c r="D32" s="1383" t="s">
        <v>1691</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1692</v>
      </c>
      <c r="C33" s="263">
        <f ca="1">ROUND(C32*10000/'数据-汇总表'!E3,0)</f>
        <v>7830</v>
      </c>
      <c r="D33" s="1385" t="s">
        <v>1693</v>
      </c>
      <c r="E33" s="3607"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6" t="s">
        <v>1694</v>
      </c>
      <c r="C34" s="263">
        <f ca="1">ROUND(C32*10000/'数据-汇总表'!D3,0)</f>
        <v>18008</v>
      </c>
      <c r="D34" s="1387" t="s">
        <v>1693</v>
      </c>
      <c r="E34" s="3648"/>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1201</v>
      </c>
      <c r="D35" s="1390" t="s">
        <v>1695</v>
      </c>
      <c r="E35" s="3649"/>
      <c r="F35" s="300" t="s">
        <v>342</v>
      </c>
      <c r="G35" s="981"/>
      <c r="H35" s="980" t="s">
        <v>343</v>
      </c>
      <c r="I35" s="310"/>
      <c r="J35" s="2028"/>
      <c r="K35" s="3622" t="s">
        <v>350</v>
      </c>
      <c r="L35" s="3622" t="s">
        <v>351</v>
      </c>
      <c r="M35" s="1263" t="s">
        <v>352</v>
      </c>
      <c r="N35" s="3622" t="s">
        <v>353</v>
      </c>
      <c r="O35" s="3622" t="s">
        <v>354</v>
      </c>
      <c r="P35" s="2028"/>
      <c r="V35" s="2028"/>
    </row>
    <row r="36" spans="1:26" ht="16.5" customHeight="1">
      <c r="A36" s="302" t="s">
        <v>344</v>
      </c>
      <c r="B36" s="303" t="s">
        <v>333</v>
      </c>
      <c r="C36" s="304" t="s">
        <v>345</v>
      </c>
      <c r="D36" s="304" t="s">
        <v>346</v>
      </c>
      <c r="E36" s="305" t="s">
        <v>347</v>
      </c>
      <c r="F36" s="310"/>
      <c r="G36" s="310"/>
      <c r="H36" s="310"/>
      <c r="I36" s="310"/>
      <c r="J36" s="2030"/>
      <c r="K36" s="3623"/>
      <c r="L36" s="3623"/>
      <c r="M36" s="1265" t="s">
        <v>355</v>
      </c>
      <c r="N36" s="3623"/>
      <c r="O36" s="3623"/>
      <c r="P36" s="2028"/>
      <c r="V36" s="2028"/>
    </row>
    <row r="37" spans="1:26" ht="16.5" customHeight="1" thickBot="1">
      <c r="A37" s="1259" t="s">
        <v>348</v>
      </c>
      <c r="B37" s="306"/>
      <c r="C37" s="293"/>
      <c r="D37" s="293"/>
      <c r="E37" s="294"/>
      <c r="F37" s="310"/>
      <c r="G37" s="310"/>
      <c r="H37" s="310"/>
      <c r="I37" s="310"/>
      <c r="J37" s="2030"/>
      <c r="K37" s="3624"/>
      <c r="L37" s="3624"/>
      <c r="M37" s="1266"/>
      <c r="N37" s="3624"/>
      <c r="O37" s="3624"/>
      <c r="P37" s="2028"/>
      <c r="V37" s="2028"/>
    </row>
    <row r="38" spans="1:26" ht="16.5" customHeight="1" thickBot="1">
      <c r="A38" s="1259" t="s">
        <v>349</v>
      </c>
      <c r="B38" s="306"/>
      <c r="C38" s="293"/>
      <c r="D38" s="293"/>
      <c r="E38" s="294"/>
      <c r="F38" s="310"/>
      <c r="G38" s="310"/>
      <c r="H38" s="310"/>
      <c r="I38" s="310"/>
      <c r="J38" s="2030"/>
      <c r="K38" s="1267">
        <f>'数据-汇总表'!D3</f>
        <v>63612.12</v>
      </c>
      <c r="L38" s="1268">
        <f>'数据-汇总表'!E3</f>
        <v>146307.88</v>
      </c>
      <c r="M38" s="1268">
        <f ca="1">C34</f>
        <v>18008</v>
      </c>
      <c r="N38" s="1268">
        <f ca="1">C33</f>
        <v>7830</v>
      </c>
      <c r="O38" s="1269">
        <f ca="1">C32</f>
        <v>114555</v>
      </c>
      <c r="P38" s="2028"/>
      <c r="V38" s="2028"/>
    </row>
    <row r="39" spans="1:26" ht="16.5" customHeight="1" thickBot="1">
      <c r="A39" s="1264"/>
      <c r="B39" s="307"/>
      <c r="C39" s="308"/>
      <c r="D39" s="308"/>
      <c r="E39" s="309"/>
      <c r="F39" s="310"/>
      <c r="G39" s="310"/>
      <c r="H39" s="310"/>
      <c r="I39" s="310"/>
      <c r="J39" s="2030"/>
      <c r="K39" s="3667" t="str">
        <f>MID(A44,3,LEN(A44)-2)</f>
        <v>抵押价格</v>
      </c>
      <c r="L39" s="3668"/>
      <c r="M39" s="3668"/>
      <c r="N39" s="3669"/>
      <c r="O39" s="1392">
        <f ca="1">C44</f>
        <v>114555</v>
      </c>
      <c r="P39" s="2028"/>
      <c r="V39" s="2028"/>
    </row>
    <row r="40" spans="1:26" ht="19.5" thickBot="1">
      <c r="A40" s="104" t="s">
        <v>874</v>
      </c>
      <c r="B40" s="310"/>
      <c r="C40" s="310"/>
      <c r="D40" s="310"/>
      <c r="E40" s="310"/>
      <c r="F40" s="310"/>
      <c r="G40" s="310"/>
      <c r="H40" s="310"/>
      <c r="I40" s="310"/>
      <c r="J40" s="2030"/>
      <c r="K40" s="3667" t="str">
        <f t="shared" ref="K40:K41" si="0">MID(A45,3,LEN(A45)-2)</f>
        <v/>
      </c>
      <c r="L40" s="3668"/>
      <c r="M40" s="3668"/>
      <c r="N40" s="3669"/>
      <c r="O40" s="1392" t="str">
        <f>C45</f>
        <v>——</v>
      </c>
      <c r="P40" s="2028"/>
      <c r="V40" s="2028"/>
    </row>
    <row r="41" spans="1:26" ht="16.5" thickBot="1">
      <c r="A41" s="311" t="s">
        <v>356</v>
      </c>
      <c r="B41" s="312"/>
      <c r="C41" s="313" t="s">
        <v>357</v>
      </c>
      <c r="D41" s="314" t="s">
        <v>358</v>
      </c>
      <c r="E41" s="314" t="s">
        <v>359</v>
      </c>
      <c r="F41" s="315" t="s">
        <v>360</v>
      </c>
      <c r="G41" s="310"/>
      <c r="H41" s="310"/>
      <c r="I41" s="310"/>
      <c r="J41" s="2030"/>
      <c r="K41" s="3667" t="str">
        <f t="shared" si="0"/>
        <v/>
      </c>
      <c r="L41" s="3668"/>
      <c r="M41" s="3668"/>
      <c r="N41" s="3669"/>
      <c r="O41" s="1392" t="str">
        <f>C46</f>
        <v>——</v>
      </c>
      <c r="P41" s="2028"/>
      <c r="V41" s="2028"/>
    </row>
    <row r="42" spans="1:26" ht="29.25">
      <c r="A42" s="3609" t="s">
        <v>2069</v>
      </c>
      <c r="B42" s="3610"/>
      <c r="C42" s="263">
        <f ca="1">C32</f>
        <v>114555</v>
      </c>
      <c r="D42" s="316">
        <f ca="1">C33</f>
        <v>7830</v>
      </c>
      <c r="E42" s="316">
        <f ca="1">C34</f>
        <v>18008</v>
      </c>
      <c r="F42" s="317">
        <f ca="1">C35</f>
        <v>1201</v>
      </c>
      <c r="G42" s="310"/>
      <c r="H42" s="310"/>
      <c r="I42" s="318"/>
      <c r="J42" s="2030"/>
      <c r="K42" s="1270" t="s">
        <v>361</v>
      </c>
      <c r="L42" s="2047" t="s">
        <v>362</v>
      </c>
      <c r="M42" s="1271" t="s">
        <v>363</v>
      </c>
      <c r="N42" s="2048" t="s">
        <v>364</v>
      </c>
      <c r="O42" s="2049" t="s">
        <v>365</v>
      </c>
      <c r="P42" s="2028"/>
      <c r="V42" s="2028"/>
    </row>
    <row r="43" spans="1:26" ht="30">
      <c r="A43" s="3620" t="s">
        <v>2734</v>
      </c>
      <c r="B43" s="3621"/>
      <c r="C43" s="263">
        <f>IF(H33="正常操作",G33+G34+G35,G34+G35)</f>
        <v>0</v>
      </c>
      <c r="D43" s="316" t="s">
        <v>43</v>
      </c>
      <c r="E43" s="316" t="s">
        <v>44</v>
      </c>
      <c r="F43" s="317" t="s">
        <v>44</v>
      </c>
      <c r="G43" s="2891" t="s">
        <v>953</v>
      </c>
      <c r="H43" s="310"/>
      <c r="I43" s="318"/>
      <c r="J43" s="2030"/>
      <c r="K43" s="1272" t="str">
        <f>C4</f>
        <v>比较法-住宅、综合</v>
      </c>
      <c r="L43" s="1273">
        <f ca="1">IF(L42="估价结果/万元",C19,C20)</f>
        <v>98904</v>
      </c>
      <c r="M43" s="1274">
        <f>C18</f>
        <v>0.5</v>
      </c>
      <c r="N43" s="1275">
        <f ca="1">IF(N42="测算结果/万元",G19,G20)</f>
        <v>114555</v>
      </c>
      <c r="O43" s="1276">
        <f ca="1">IF(O42="最终结果/万元",C32,C33)</f>
        <v>114555</v>
      </c>
      <c r="P43" s="2028"/>
      <c r="V43" s="2028"/>
    </row>
    <row r="44" spans="1:26" ht="30.75" thickBot="1">
      <c r="A44" s="3609" t="str">
        <f>IF(OR(项目基本情况!E8="抵押价格",项目基本情况!E8="已注销及未注销"),"3.抵押价格","——")</f>
        <v>3.抵押价格</v>
      </c>
      <c r="B44" s="3610"/>
      <c r="C44" s="263">
        <f ca="1">IF(A44="——","——",C42-C43)</f>
        <v>114555</v>
      </c>
      <c r="D44" s="316">
        <f ca="1">ROUND(C44*10000/'数据-汇总表'!E3,0)</f>
        <v>7830</v>
      </c>
      <c r="E44" s="316">
        <f ca="1">ROUND(C44*10000/'数据-汇总表'!D3,0)</f>
        <v>18008</v>
      </c>
      <c r="F44" s="317">
        <f ca="1">ROUND(C44/('数据-汇总表'!D3/666.67),0)</f>
        <v>1201</v>
      </c>
      <c r="G44" s="310"/>
      <c r="H44" s="310"/>
      <c r="I44" s="318"/>
      <c r="J44" s="2030"/>
      <c r="K44" s="1277" t="str">
        <f>D4</f>
        <v>剩余法-待开发</v>
      </c>
      <c r="L44" s="1278">
        <f ca="1">IF(L42="估价结果/万元",D19,D20)</f>
        <v>130206</v>
      </c>
      <c r="M44" s="1279">
        <f>D18</f>
        <v>0.5</v>
      </c>
      <c r="N44" s="1280"/>
      <c r="O44" s="1281"/>
      <c r="P44" s="2028"/>
      <c r="V44" s="2028"/>
    </row>
    <row r="45" spans="1:26" ht="15">
      <c r="A45" s="3615" t="str">
        <f>IF(项目基本情况!E8="已注销及未注销","4.抵押担保权已注销时的抵押价格",IF(项目基本情况!E8="已注销","3.抵押担保权已注销时的抵押价格","——"))</f>
        <v>——</v>
      </c>
      <c r="B45" s="361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611" t="str">
        <f>IF(项目基本情况!E9="抵押净值",IF(A45="——","4.抵押净值","5.抵押净值"),"——")</f>
        <v>——</v>
      </c>
      <c r="B46" s="361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656" t="s">
        <v>374</v>
      </c>
      <c r="B63" s="3657"/>
      <c r="C63" s="3658"/>
      <c r="D63" s="340">
        <f ca="1">ROUND(C42*F63,0)</f>
        <v>68733</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617" t="s">
        <v>378</v>
      </c>
      <c r="B64" s="3618"/>
      <c r="C64" s="3618"/>
      <c r="D64" s="3618"/>
      <c r="E64" s="3618"/>
      <c r="F64" s="3618"/>
      <c r="G64" s="3619"/>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613" t="s">
        <v>386</v>
      </c>
      <c r="B66" s="3614"/>
      <c r="C66" s="3614"/>
      <c r="D66" s="260">
        <f ca="1">IF(H66="情况1",0,IF(H66="情况2",D70,IF(H66="情况3",D71,IF(H66="情况4",D72))))</f>
        <v>4082</v>
      </c>
      <c r="E66" s="992" t="str">
        <f>IF(H66="情况4","(销售额-原购置价)×税（费）率","销售额×税（费）率")</f>
        <v>销售额×税（费）率</v>
      </c>
      <c r="F66" s="349">
        <f>IF(H66="情况1","免征",'数据-取费表'!B41)</f>
        <v>6.2719999999999998E-2</v>
      </c>
      <c r="G66" s="350" t="s">
        <v>387</v>
      </c>
      <c r="H66" s="191" t="s">
        <v>388</v>
      </c>
      <c r="I66" s="1287"/>
      <c r="J66" s="2034"/>
      <c r="K66" s="1290">
        <v>1</v>
      </c>
      <c r="L66" s="3671" t="s">
        <v>385</v>
      </c>
      <c r="M66" s="3672"/>
      <c r="N66" s="2482"/>
      <c r="O66" s="2483"/>
      <c r="P66" s="2484"/>
      <c r="Q66" s="2028"/>
      <c r="R66" s="2028"/>
      <c r="S66" s="2028"/>
      <c r="T66" s="2028"/>
      <c r="U66" s="2028"/>
      <c r="V66" s="2028"/>
    </row>
    <row r="67" spans="1:22" ht="25.5" customHeight="1">
      <c r="A67" s="351" t="s">
        <v>390</v>
      </c>
      <c r="B67" s="3604" t="s">
        <v>391</v>
      </c>
      <c r="C67" s="3604"/>
      <c r="D67" s="352">
        <v>0</v>
      </c>
      <c r="E67" s="41" t="s">
        <v>392</v>
      </c>
      <c r="F67" s="62" t="s">
        <v>21</v>
      </c>
      <c r="G67" s="3659"/>
      <c r="H67" s="310"/>
      <c r="I67" s="1291"/>
      <c r="J67" s="2035"/>
      <c r="K67" s="1976">
        <v>2</v>
      </c>
      <c r="L67" s="3670" t="s">
        <v>389</v>
      </c>
      <c r="M67" s="3670"/>
      <c r="N67" s="1324">
        <f>'数据-取费表'!B2</f>
        <v>43131</v>
      </c>
      <c r="O67" s="1324"/>
      <c r="P67" s="1324"/>
      <c r="Q67" s="2028"/>
      <c r="R67" s="2028"/>
      <c r="S67" s="2028"/>
      <c r="T67" s="2028"/>
      <c r="U67" s="2028"/>
      <c r="V67" s="2028"/>
    </row>
    <row r="68" spans="1:22" ht="25.5" customHeight="1">
      <c r="A68" s="353"/>
      <c r="B68" s="3604" t="s">
        <v>394</v>
      </c>
      <c r="C68" s="3604"/>
      <c r="D68" s="354"/>
      <c r="E68" s="77"/>
      <c r="F68" s="355"/>
      <c r="G68" s="3660"/>
      <c r="H68" s="310"/>
      <c r="I68" s="1291"/>
      <c r="J68" s="2035"/>
      <c r="K68" s="1976">
        <v>3</v>
      </c>
      <c r="L68" s="3670" t="s">
        <v>393</v>
      </c>
      <c r="M68" s="3670"/>
      <c r="N68" s="1292">
        <f ca="1">C42</f>
        <v>114555</v>
      </c>
      <c r="O68" s="1292"/>
      <c r="P68" s="1292"/>
      <c r="Q68" s="2028"/>
      <c r="R68" s="2028"/>
      <c r="S68" s="2028"/>
      <c r="T68" s="2028"/>
      <c r="U68" s="2028"/>
      <c r="V68" s="2028"/>
    </row>
    <row r="69" spans="1:22" ht="12" customHeight="1">
      <c r="A69" s="356"/>
      <c r="B69" s="3604" t="s">
        <v>395</v>
      </c>
      <c r="C69" s="3604"/>
      <c r="D69" s="357"/>
      <c r="E69" s="73"/>
      <c r="F69" s="355"/>
      <c r="G69" s="3661"/>
      <c r="H69" s="310"/>
      <c r="I69" s="1291"/>
      <c r="J69" s="2035"/>
      <c r="K69" s="1293">
        <v>4</v>
      </c>
      <c r="L69" s="3675" t="s">
        <v>2887</v>
      </c>
      <c r="M69" s="3676"/>
      <c r="N69" s="1294">
        <f ca="1">C44</f>
        <v>114555</v>
      </c>
      <c r="O69" s="1294"/>
      <c r="P69" s="1294"/>
      <c r="Q69" s="2028"/>
      <c r="R69" s="2028"/>
      <c r="S69" s="2028"/>
      <c r="T69" s="2028"/>
      <c r="U69" s="2028"/>
      <c r="V69" s="2028"/>
    </row>
    <row r="70" spans="1:22" ht="24" customHeight="1">
      <c r="A70" s="358" t="s">
        <v>396</v>
      </c>
      <c r="B70" s="3604" t="s">
        <v>397</v>
      </c>
      <c r="C70" s="3604"/>
      <c r="D70" s="357">
        <f ca="1">ROUND(D63*'数据-取费表'!B41/(1+'数据-取费表'!C42),0)</f>
        <v>4082</v>
      </c>
      <c r="E70" s="17" t="s">
        <v>398</v>
      </c>
      <c r="F70" s="359">
        <f>'数据-取费表'!B41</f>
        <v>6.2719999999999998E-2</v>
      </c>
      <c r="G70" s="360"/>
      <c r="H70" s="310"/>
      <c r="I70" s="1291"/>
      <c r="J70" s="2035"/>
      <c r="K70" s="3087"/>
      <c r="L70" s="3088"/>
      <c r="M70" s="3088"/>
      <c r="N70" s="3089" t="s">
        <v>2892</v>
      </c>
      <c r="O70" s="3088"/>
      <c r="P70" s="3090"/>
      <c r="Q70" s="2028"/>
      <c r="R70" s="2028"/>
      <c r="S70" s="2028"/>
      <c r="T70" s="2028"/>
      <c r="U70" s="2028"/>
      <c r="V70" s="2028"/>
    </row>
    <row r="71" spans="1:22" ht="12" customHeight="1">
      <c r="A71" s="358" t="s">
        <v>404</v>
      </c>
      <c r="B71" s="3605" t="s">
        <v>405</v>
      </c>
      <c r="C71" s="3606"/>
      <c r="D71" s="357">
        <f ca="1">ROUND(D63*'数据-取费表'!B41/(1+'数据-取费表'!C42),0)</f>
        <v>4082</v>
      </c>
      <c r="E71" s="17" t="s">
        <v>398</v>
      </c>
      <c r="F71" s="359">
        <f>'数据-取费表'!B41</f>
        <v>6.2719999999999998E-2</v>
      </c>
      <c r="G71" s="360"/>
      <c r="H71" s="310"/>
      <c r="I71" s="1291"/>
      <c r="J71" s="2035"/>
      <c r="K71" s="3086" t="s">
        <v>399</v>
      </c>
      <c r="L71" s="3677" t="s">
        <v>400</v>
      </c>
      <c r="M71" s="3677"/>
      <c r="N71" s="3086" t="s">
        <v>401</v>
      </c>
      <c r="O71" s="3086" t="s">
        <v>402</v>
      </c>
      <c r="P71" s="3086" t="s">
        <v>403</v>
      </c>
      <c r="Q71" s="2028"/>
      <c r="R71" s="2028"/>
      <c r="S71" s="2028"/>
      <c r="T71" s="2028"/>
      <c r="U71" s="2028"/>
      <c r="V71" s="2028"/>
    </row>
    <row r="72" spans="1:22" ht="12" customHeight="1">
      <c r="A72" s="358" t="s">
        <v>407</v>
      </c>
      <c r="B72" s="3605" t="s">
        <v>408</v>
      </c>
      <c r="C72" s="3606"/>
      <c r="D72" s="357">
        <f ca="1">C86</f>
        <v>3957</v>
      </c>
      <c r="E72" s="73" t="s">
        <v>409</v>
      </c>
      <c r="F72" s="359">
        <f>'数据-取费表'!B41</f>
        <v>6.2719999999999998E-2</v>
      </c>
      <c r="G72" s="360"/>
      <c r="H72" s="1297"/>
      <c r="I72" s="1291"/>
      <c r="J72" s="2035"/>
      <c r="K72" s="1976">
        <v>1</v>
      </c>
      <c r="L72" s="3652" t="s">
        <v>406</v>
      </c>
      <c r="M72" s="3652"/>
      <c r="N72" s="1295">
        <f ca="1">D66</f>
        <v>4082</v>
      </c>
      <c r="O72" s="1859" t="str">
        <f>E66</f>
        <v>销售额×税（费）率</v>
      </c>
      <c r="P72" s="1296">
        <f>F66</f>
        <v>6.2719999999999998E-2</v>
      </c>
      <c r="Q72" s="2028"/>
      <c r="R72" s="2028"/>
      <c r="S72" s="2028"/>
      <c r="T72" s="2028"/>
      <c r="U72" s="2028"/>
      <c r="V72" s="2028"/>
    </row>
    <row r="73" spans="1:22" ht="24" customHeight="1">
      <c r="A73" s="3646" t="s">
        <v>411</v>
      </c>
      <c r="B73" s="3614"/>
      <c r="C73" s="3614"/>
      <c r="D73" s="361">
        <f>IF(H73="个人住宅",0,ROUND(D63*I73,0))</f>
        <v>0</v>
      </c>
      <c r="E73" s="17" t="s">
        <v>412</v>
      </c>
      <c r="F73" s="359" t="str">
        <f>IF(H73="正常",I73,"免征")</f>
        <v>免征</v>
      </c>
      <c r="G73" s="360"/>
      <c r="H73" s="191" t="s">
        <v>2458</v>
      </c>
      <c r="I73" s="359">
        <f>'数据-取费表'!B49</f>
        <v>5.0000000000000001E-4</v>
      </c>
      <c r="J73" s="2035"/>
      <c r="K73" s="1976">
        <v>2</v>
      </c>
      <c r="L73" s="3652" t="s">
        <v>410</v>
      </c>
      <c r="M73" s="3652"/>
      <c r="N73" s="1295">
        <f t="shared" ref="N73:P74" si="1">D73</f>
        <v>0</v>
      </c>
      <c r="O73" s="1859" t="str">
        <f t="shared" si="1"/>
        <v>销售额×税（费）率</v>
      </c>
      <c r="P73" s="1296" t="str">
        <f t="shared" si="1"/>
        <v>免征</v>
      </c>
      <c r="Q73" s="2028"/>
      <c r="R73" s="2028"/>
      <c r="S73" s="2028"/>
      <c r="T73" s="2028"/>
      <c r="U73" s="2028"/>
      <c r="V73" s="2028"/>
    </row>
    <row r="74" spans="1:22" ht="24.75">
      <c r="A74" s="3646" t="s">
        <v>415</v>
      </c>
      <c r="B74" s="3614"/>
      <c r="C74" s="3614"/>
      <c r="D74" s="361">
        <f ca="1">IF(H74="个人住宅",D75,D76)</f>
        <v>37982</v>
      </c>
      <c r="E74" s="17" t="s">
        <v>416</v>
      </c>
      <c r="F74" s="359" t="str">
        <f>IF(H74="正常",F76,"免征")</f>
        <v>——</v>
      </c>
      <c r="G74" s="982" t="s">
        <v>417</v>
      </c>
      <c r="H74" s="362" t="s">
        <v>413</v>
      </c>
      <c r="I74" s="42"/>
      <c r="J74" s="2035"/>
      <c r="K74" s="1976">
        <v>3</v>
      </c>
      <c r="L74" s="3652" t="s">
        <v>414</v>
      </c>
      <c r="M74" s="3652"/>
      <c r="N74" s="1295">
        <f t="shared" ca="1" si="1"/>
        <v>37982</v>
      </c>
      <c r="O74" s="1859" t="str">
        <f t="shared" si="1"/>
        <v>增值额×税（费）率</v>
      </c>
      <c r="P74" s="1298" t="str">
        <f t="shared" si="1"/>
        <v>——</v>
      </c>
      <c r="Q74" s="2028"/>
      <c r="R74" s="2028"/>
      <c r="S74" s="2028"/>
      <c r="T74" s="2028"/>
      <c r="U74" s="2028"/>
      <c r="V74" s="2028"/>
    </row>
    <row r="75" spans="1:22" ht="24">
      <c r="A75" s="358" t="s">
        <v>418</v>
      </c>
      <c r="B75" s="3602" t="s">
        <v>419</v>
      </c>
      <c r="C75" s="3632"/>
      <c r="D75" s="363">
        <v>0</v>
      </c>
      <c r="E75" s="41" t="s">
        <v>420</v>
      </c>
      <c r="F75" s="364"/>
      <c r="G75" s="360"/>
      <c r="H75" s="42"/>
      <c r="I75" s="42"/>
      <c r="J75" s="2035"/>
      <c r="K75" s="3079">
        <f>IF(H77="非个人房产","",4)</f>
        <v>4</v>
      </c>
      <c r="L75" s="3652" t="str">
        <f>IF(H77="非个人房产","——","个人所得税")</f>
        <v>个人所得税</v>
      </c>
      <c r="M75" s="3652"/>
      <c r="N75" s="1299">
        <f ca="1">D77</f>
        <v>687</v>
      </c>
      <c r="O75" s="1872" t="str">
        <f>E77</f>
        <v>销售额×税（费）率</v>
      </c>
      <c r="P75" s="1300">
        <f>F77</f>
        <v>0.01</v>
      </c>
      <c r="Q75" s="2028"/>
      <c r="R75" s="2028"/>
      <c r="S75" s="2028"/>
      <c r="T75" s="2028"/>
      <c r="U75" s="2028"/>
      <c r="V75" s="2028"/>
    </row>
    <row r="76" spans="1:22" ht="24.75">
      <c r="A76" s="358" t="s">
        <v>396</v>
      </c>
      <c r="B76" s="3602" t="s">
        <v>422</v>
      </c>
      <c r="C76" s="3603"/>
      <c r="D76" s="361">
        <f ca="1">IF(H76="转让取得",C99,C115)</f>
        <v>37982</v>
      </c>
      <c r="E76" s="17" t="s">
        <v>423</v>
      </c>
      <c r="F76" s="53" t="s">
        <v>21</v>
      </c>
      <c r="G76" s="360"/>
      <c r="H76" s="362" t="s">
        <v>424</v>
      </c>
      <c r="I76" s="42"/>
      <c r="J76" s="2035"/>
      <c r="K76" s="3079" t="str">
        <f>IF(项目基本情况!K6="上海银行",IF(K75="",4,K75+1),"")</f>
        <v/>
      </c>
      <c r="L76" s="3663" t="str">
        <f>IF(项目基本情况!K6="上海银行","其他处置费用","")</f>
        <v/>
      </c>
      <c r="M76" s="3664"/>
      <c r="N76" s="1295" t="str">
        <f>IF(项目基本情况!K6="上海银行",N89,"")</f>
        <v/>
      </c>
      <c r="O76" s="3665" t="str">
        <f>IF(项目基本情况!K6="上海银行","包含处置中涉及的律师、诉讼、拍卖、评估等费用","")</f>
        <v/>
      </c>
      <c r="P76" s="3666"/>
      <c r="Q76" s="2028"/>
      <c r="R76" s="2028"/>
      <c r="S76" s="2028"/>
      <c r="T76" s="2028"/>
      <c r="U76" s="2028"/>
      <c r="V76" s="2028"/>
    </row>
    <row r="77" spans="1:22" ht="26.25" thickBot="1">
      <c r="A77" s="3654" t="s">
        <v>426</v>
      </c>
      <c r="B77" s="3655"/>
      <c r="C77" s="3655"/>
      <c r="D77" s="365">
        <f ca="1">IF(H77="非个人房产","——",IF(H77="个人住宅",0,ROUND(D63*I77,0)))</f>
        <v>687</v>
      </c>
      <c r="E77" s="366" t="str">
        <f>IF(H77="非个人房产","——","销售额×税（费）率")</f>
        <v>销售额×税（费）率</v>
      </c>
      <c r="F77" s="367">
        <f>IF(H77="非个人房产","——",IF(H77="个人住宅","免征",I77))</f>
        <v>0.01</v>
      </c>
      <c r="G77" s="983" t="s">
        <v>417</v>
      </c>
      <c r="H77" s="362" t="s">
        <v>2888</v>
      </c>
      <c r="I77" s="368">
        <v>0.01</v>
      </c>
      <c r="J77" s="2035"/>
      <c r="K77" s="3653">
        <f>IF(AND(K75="",K76=""),4,IF(项目基本情况!K6="上海银行",K76+1,K75+1))</f>
        <v>5</v>
      </c>
      <c r="L77" s="3652" t="s">
        <v>2889</v>
      </c>
      <c r="M77" s="3085" t="s">
        <v>421</v>
      </c>
      <c r="N77" s="1301"/>
      <c r="O77" s="1302">
        <f ca="1">SUMIF(N72:N76,"&lt;9e307")</f>
        <v>42751</v>
      </c>
      <c r="P77" s="1303"/>
      <c r="Q77" s="3083">
        <f ca="1">O77/N69</f>
        <v>0.37319191654663697</v>
      </c>
      <c r="R77" s="2028"/>
      <c r="S77" s="2028"/>
      <c r="T77" s="2028"/>
      <c r="U77" s="2028"/>
      <c r="V77" s="2028"/>
    </row>
    <row r="78" spans="1:22" ht="12" customHeight="1">
      <c r="A78" s="1304"/>
      <c r="B78" s="310"/>
      <c r="C78" s="310"/>
      <c r="D78" s="310"/>
      <c r="E78" s="42"/>
      <c r="F78" s="42"/>
      <c r="G78" s="42"/>
      <c r="H78" s="1002"/>
      <c r="I78" s="310"/>
      <c r="J78" s="2035"/>
      <c r="K78" s="3653"/>
      <c r="L78" s="3652"/>
      <c r="M78" s="3085" t="s">
        <v>425</v>
      </c>
      <c r="N78" s="1301"/>
      <c r="O78" s="1302" t="str">
        <f ca="1">NUMBERSTRING(INT(O77*10000),2)&amp;"元整"</f>
        <v>肆亿贰仟柒佰伍拾壹万元整</v>
      </c>
      <c r="P78" s="1303"/>
      <c r="Q78" s="2028"/>
      <c r="R78" s="2028"/>
      <c r="S78" s="2028"/>
      <c r="T78" s="2028"/>
      <c r="U78" s="2028"/>
      <c r="V78" s="2028"/>
    </row>
    <row r="79" spans="1:22" ht="13.5" thickBot="1">
      <c r="A79" s="3647" t="s">
        <v>427</v>
      </c>
      <c r="B79" s="3647"/>
      <c r="C79" s="3647"/>
      <c r="D79" s="3647"/>
      <c r="E79" s="3647"/>
      <c r="F79" s="42"/>
      <c r="G79" s="42"/>
      <c r="H79" s="1002"/>
      <c r="I79" s="310"/>
      <c r="J79" s="2035"/>
      <c r="K79" s="3673">
        <f>K77+1</f>
        <v>6</v>
      </c>
      <c r="L79" s="3652" t="s">
        <v>2890</v>
      </c>
      <c r="M79" s="3085" t="s">
        <v>421</v>
      </c>
      <c r="N79" s="1301"/>
      <c r="O79" s="1302">
        <f ca="1">N69-O77</f>
        <v>71804</v>
      </c>
      <c r="P79" s="1303"/>
      <c r="Q79" s="2028"/>
      <c r="R79" s="2028"/>
      <c r="S79" s="2028"/>
      <c r="T79" s="2028"/>
      <c r="U79" s="2028"/>
      <c r="V79" s="2028"/>
    </row>
    <row r="80" spans="1:22" ht="25.5">
      <c r="A80" s="3642" t="s">
        <v>428</v>
      </c>
      <c r="B80" s="3643"/>
      <c r="C80" s="993"/>
      <c r="D80" s="993" t="s">
        <v>429</v>
      </c>
      <c r="E80" s="369" t="s">
        <v>430</v>
      </c>
      <c r="F80" s="42"/>
      <c r="G80" s="42"/>
      <c r="H80" s="1002"/>
      <c r="I80" s="310"/>
      <c r="J80" s="2028"/>
      <c r="K80" s="3674"/>
      <c r="L80" s="3652"/>
      <c r="M80" s="3085" t="s">
        <v>425</v>
      </c>
      <c r="N80" s="1301"/>
      <c r="O80" s="1302" t="str">
        <f ca="1">NUMBERSTRING(INT(O79*10000),2)&amp;"元整"</f>
        <v>柒亿壹仟捌佰零肆万元整</v>
      </c>
      <c r="P80" s="1303"/>
      <c r="Q80" s="2028"/>
      <c r="R80" s="2028"/>
      <c r="S80" s="2028"/>
      <c r="T80" s="2028"/>
      <c r="U80" s="2028"/>
      <c r="V80" s="2028"/>
    </row>
    <row r="81" spans="1:26" ht="13.5" thickBot="1">
      <c r="A81" s="380" t="s">
        <v>1825</v>
      </c>
      <c r="B81" s="370" t="s">
        <v>431</v>
      </c>
      <c r="C81" s="371">
        <f ca="1">ROUND((C82+C83)/(1+'数据-取费表'!C42),0)</f>
        <v>65088</v>
      </c>
      <c r="D81" s="372"/>
      <c r="E81" s="373"/>
      <c r="F81" s="42"/>
      <c r="G81" s="42"/>
      <c r="H81" s="1002"/>
      <c r="I81" s="310"/>
      <c r="J81" s="2028"/>
      <c r="K81" s="3079">
        <f>K79+1</f>
        <v>7</v>
      </c>
      <c r="L81" s="3650" t="s">
        <v>2891</v>
      </c>
      <c r="M81" s="3651"/>
      <c r="N81" s="1305"/>
      <c r="O81" s="1306">
        <f ca="1">ROUND(O79*10000/'数据-汇总表'!E3,0)</f>
        <v>4908</v>
      </c>
      <c r="P81" s="1307"/>
      <c r="Q81" s="2028"/>
      <c r="R81" s="2028"/>
      <c r="S81" s="2028"/>
      <c r="T81" s="2028"/>
      <c r="U81" s="2028"/>
      <c r="V81" s="2028"/>
    </row>
    <row r="82" spans="1:26" ht="13.5" thickTop="1">
      <c r="A82" s="374" t="s">
        <v>1826</v>
      </c>
      <c r="B82" s="375" t="s">
        <v>432</v>
      </c>
      <c r="C82" s="376">
        <f ca="1">D63</f>
        <v>68733</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0"/>
      <c r="J83" s="2028"/>
      <c r="K83" s="3662" t="s">
        <v>2878</v>
      </c>
      <c r="L83" s="3091" t="s">
        <v>2879</v>
      </c>
      <c r="M83" s="3081">
        <f ca="1">IF(N69&gt;10000,N69*0.5%,IF(AND(N69&gt;1000,N69&lt;=10000),N69*1%,IF(AND(N69&gt;100,N69&lt;=1000),N69*3%,IF(AND(N69&gt;10,N69&lt;=100),N69*5%,N69*8%))))</f>
        <v>572.77499999999998</v>
      </c>
      <c r="N83" s="53">
        <f ca="1">ROUND(M83,1)</f>
        <v>572.79999999999995</v>
      </c>
      <c r="O83" s="3084"/>
      <c r="P83" s="2028"/>
      <c r="Q83" s="2028"/>
      <c r="R83" s="2028"/>
      <c r="S83" s="2028"/>
      <c r="T83" s="2028"/>
      <c r="U83" s="2028"/>
      <c r="V83" s="2028"/>
    </row>
    <row r="84" spans="1:26" ht="12.75">
      <c r="A84" s="380" t="s">
        <v>1828</v>
      </c>
      <c r="B84" s="381" t="s">
        <v>434</v>
      </c>
      <c r="C84" s="382">
        <v>2000</v>
      </c>
      <c r="D84" s="383" t="s">
        <v>19</v>
      </c>
      <c r="E84" s="3126" t="s">
        <v>2944</v>
      </c>
      <c r="F84" s="42"/>
      <c r="G84" s="42"/>
      <c r="H84" s="1002"/>
      <c r="I84" s="310"/>
      <c r="J84" s="2028"/>
      <c r="K84" s="3662"/>
      <c r="L84" s="3091" t="s">
        <v>2880</v>
      </c>
      <c r="M84" s="3081">
        <f ca="1">IF(N69&gt;2000,N69*0.5%,IF(AND(N69&gt;1000,N69&lt;=2000),N69*0.6%,IF(AND(N69&gt;500,N69&lt;=1000),N69*0.7%,IF(AND(N69&gt;200,N69&lt;=500),N69*0.8%,IF(AND(N69&gt;100,N69&lt;=200),N69*0.9%,IF(AND(N69&gt;50,N69&lt;=100),N69*1%,IF(AND(N69&gt;20,N69&lt;=50),N69*1.5%,IF(AND(N69&gt;10,N69&lt;=20),N69*2%,IF(AND(N69&gt;1,N69&lt;=10),N69*2.5%)))))))))</f>
        <v>572.77499999999998</v>
      </c>
      <c r="N84" s="53">
        <f t="shared" ref="N84:N85" ca="1" si="2">ROUND(M84,1)</f>
        <v>572.79999999999995</v>
      </c>
      <c r="O84" s="2028" t="s">
        <v>2881</v>
      </c>
      <c r="P84" s="2028"/>
      <c r="Q84" s="2028"/>
      <c r="R84" s="2028"/>
      <c r="S84" s="2028"/>
      <c r="T84" s="2028"/>
      <c r="U84" s="2028"/>
      <c r="V84" s="2028"/>
    </row>
    <row r="85" spans="1:26" ht="12.75">
      <c r="A85" s="380" t="s">
        <v>1829</v>
      </c>
      <c r="B85" s="381" t="s">
        <v>435</v>
      </c>
      <c r="C85" s="384">
        <f ca="1">C81-C84</f>
        <v>63088</v>
      </c>
      <c r="D85" s="377" t="s">
        <v>19</v>
      </c>
      <c r="E85" s="378"/>
      <c r="F85" s="42"/>
      <c r="G85" s="42"/>
      <c r="H85" s="1002"/>
      <c r="I85" s="310"/>
      <c r="J85" s="2028"/>
      <c r="K85" s="3662"/>
      <c r="L85" s="3091" t="s">
        <v>2882</v>
      </c>
      <c r="M85" s="3081">
        <f ca="1">IF(N69&gt;1000,N69*0.1%,IF(AND(N69&gt;500,N69&lt;=1000),N69*0.5%,IF(AND(N69&gt;50,N69&lt;=500),N69*1%,IF(AND(N69&gt;1,N69&lt;=50),N69*1.5%))))</f>
        <v>114.55500000000001</v>
      </c>
      <c r="N85" s="53">
        <f t="shared" ca="1" si="2"/>
        <v>114.6</v>
      </c>
      <c r="O85" s="2028" t="s">
        <v>2881</v>
      </c>
      <c r="P85" s="2028"/>
      <c r="Q85" s="2028"/>
      <c r="R85" s="2028"/>
      <c r="S85" s="2028"/>
      <c r="T85" s="2028"/>
      <c r="U85" s="2028"/>
      <c r="V85" s="2028"/>
    </row>
    <row r="86" spans="1:26" ht="13.5" thickBot="1">
      <c r="A86" s="385" t="s">
        <v>1830</v>
      </c>
      <c r="B86" s="386" t="s">
        <v>436</v>
      </c>
      <c r="C86" s="387">
        <f ca="1">IF(C85&lt;=0,0,ROUND(C85*D86,0))</f>
        <v>3957</v>
      </c>
      <c r="D86" s="388">
        <f>'数据-取费表'!B41</f>
        <v>6.2719999999999998E-2</v>
      </c>
      <c r="E86" s="389"/>
      <c r="F86" s="42"/>
      <c r="G86" s="42"/>
      <c r="H86" s="1002"/>
      <c r="I86" s="310"/>
      <c r="J86" s="2028"/>
      <c r="K86" s="3662"/>
      <c r="L86" s="3091" t="s">
        <v>2883</v>
      </c>
      <c r="M86" s="3081">
        <f ca="1">N69*0.5%</f>
        <v>572.77499999999998</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662"/>
      <c r="L87" s="3091" t="s">
        <v>2885</v>
      </c>
      <c r="M87" s="3081">
        <f ca="1">IF(N69&gt;=10000,(8.25+(N69-10000)*0.01%),IF(AND(N69&gt;=8000,N69&lt;10000),(7.85+(N69-8000)*0.02%),IF(AND(N69&gt;=5000,N69&lt;8000),(6.65+(N69-5000)*0.04%),IF(AND(N69&gt;=2000,N69&lt;5000),(4.25+(PN69-2000)*0.08%),IF(AND(N69&gt;=1000,N69&lt;2000),(2.75+(N69-1000)*0.15%),IF(AND(N69&gt;=100,N69&lt;1000),(0.5+(N69-100)*0.25%),IF(AND(N69&gt;0,N69&lt;100),N69*0.5%)))))))</f>
        <v>18.705500000000001</v>
      </c>
      <c r="N87" s="53">
        <f ca="1">ROUND(M87*0.9,1)</f>
        <v>16.8</v>
      </c>
      <c r="O87" s="3084"/>
      <c r="P87" s="310"/>
      <c r="Q87" s="2028"/>
      <c r="R87" s="2028"/>
      <c r="S87" s="2028"/>
      <c r="T87" s="2028"/>
      <c r="U87" s="2028"/>
      <c r="V87" s="2028"/>
      <c r="W87" s="291"/>
      <c r="X87" s="291"/>
      <c r="Y87" s="291"/>
      <c r="Z87" s="291"/>
    </row>
    <row r="88" spans="1:26" s="1313" customFormat="1" ht="15" thickBot="1">
      <c r="A88" s="3644" t="s">
        <v>437</v>
      </c>
      <c r="B88" s="3645"/>
      <c r="C88" s="3645"/>
      <c r="D88" s="3645"/>
      <c r="E88" s="3645"/>
      <c r="F88" s="3645"/>
      <c r="G88" s="3645"/>
      <c r="H88" s="3645"/>
      <c r="I88" s="1314"/>
      <c r="J88" s="2036"/>
      <c r="K88" s="3662"/>
      <c r="L88" s="3091" t="s">
        <v>2886</v>
      </c>
      <c r="M88" s="3081">
        <f ca="1">IF(N69&gt;10000,N69*0.5%,IF(AND(N69&gt;5000,N69&lt;=10000),N69*1%,IF(AND(N69&gt;1000,N69&lt;=5000),N69*2%,IF(AND(N69&gt;200,N69&lt;=1000),N69*3%,N69*5%))))</f>
        <v>572.77499999999998</v>
      </c>
      <c r="N88" s="53">
        <f ca="1">ROUND(M88,1)</f>
        <v>572.79999999999995</v>
      </c>
      <c r="O88" s="3084"/>
      <c r="P88" s="11"/>
      <c r="Q88" s="2033"/>
      <c r="R88" s="2033"/>
      <c r="S88" s="2033"/>
      <c r="T88" s="2033"/>
      <c r="U88" s="2033"/>
      <c r="V88" s="2033"/>
      <c r="W88" s="2037"/>
      <c r="X88" s="2037"/>
      <c r="Y88" s="2037"/>
      <c r="Z88" s="2037"/>
    </row>
    <row r="89" spans="1:26" s="1313" customFormat="1" ht="14.25">
      <c r="A89" s="3642" t="s">
        <v>428</v>
      </c>
      <c r="B89" s="3643"/>
      <c r="C89" s="993"/>
      <c r="D89" s="993" t="s">
        <v>429</v>
      </c>
      <c r="E89" s="390" t="s">
        <v>438</v>
      </c>
      <c r="F89" s="391"/>
      <c r="G89" s="391"/>
      <c r="H89" s="392"/>
      <c r="I89" s="1315"/>
      <c r="J89" s="2038"/>
      <c r="K89" s="3662"/>
      <c r="L89" s="3091" t="s">
        <v>27</v>
      </c>
      <c r="M89" s="3082"/>
      <c r="N89" s="53">
        <f ca="1">ROUND(SUM(N83:N88),0)</f>
        <v>1850</v>
      </c>
      <c r="O89" s="3092">
        <f ca="1">N89/N69</f>
        <v>1.6149447863471694E-2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65088</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2998</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3605" t="s">
        <v>447</v>
      </c>
      <c r="F94" s="3604"/>
      <c r="G94" s="3604"/>
      <c r="H94" s="364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437</v>
      </c>
      <c r="D96" s="405">
        <f>'数据-取费表'!B43</f>
        <v>6.7200000000000003E-3</v>
      </c>
      <c r="E96" s="3633" t="s">
        <v>2430</v>
      </c>
      <c r="F96" s="3634"/>
      <c r="G96" s="3634"/>
      <c r="H96" s="363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1" t="s">
        <v>451</v>
      </c>
      <c r="C97" s="384">
        <f ca="1">C90-C91</f>
        <v>62090</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1" t="s">
        <v>452</v>
      </c>
      <c r="C98" s="406">
        <f ca="1">IF(C97&lt;=0,0,C97/C91)</f>
        <v>20.710473649099399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6" t="s">
        <v>453</v>
      </c>
      <c r="C99" s="407">
        <f ca="1">ROUND(IF(C97&lt;=0,0,IF(C98&gt;=200%,C97*60%-C91*35%,IF(C98&gt;=100%,C97*50%-C91*15%,IF(C98&gt;=50%,C97*40%-C91*5%,IF(C98&lt;50%,C97*30%,0))))),0)</f>
        <v>36205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644" t="s">
        <v>454</v>
      </c>
      <c r="B101" s="3645"/>
      <c r="C101" s="3645"/>
      <c r="D101" s="3645"/>
      <c r="E101" s="3645"/>
      <c r="F101" s="3645"/>
      <c r="G101" s="3645"/>
      <c r="H101" s="364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642" t="s">
        <v>428</v>
      </c>
      <c r="B102" s="3643"/>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65088</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1127</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5" t="s">
        <v>461</v>
      </c>
      <c r="C109" s="404">
        <f>IF(H109="——",IF(F1="现房",'剩余法-现房'!C18,'剩余法-待开发'!C18),I109)</f>
        <v>55</v>
      </c>
      <c r="D109" s="405"/>
      <c r="E109" s="3636" t="s">
        <v>462</v>
      </c>
      <c r="F109" s="3634"/>
      <c r="G109" s="3634"/>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5" t="s">
        <v>463</v>
      </c>
      <c r="C110" s="404">
        <f>ROUND((C105+C108+C109)*D110,0)</f>
        <v>63</v>
      </c>
      <c r="D110" s="405">
        <v>0.1</v>
      </c>
      <c r="E110" s="3636" t="s">
        <v>464</v>
      </c>
      <c r="F110" s="3634"/>
      <c r="G110" s="3634"/>
      <c r="H110" s="363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5" t="s">
        <v>450</v>
      </c>
      <c r="C111" s="404">
        <f ca="1">ROUND(D63*D111/(1+'数据-取费表'!C42),0)</f>
        <v>437</v>
      </c>
      <c r="D111" s="405">
        <f>'数据-取费表'!B43</f>
        <v>6.7200000000000003E-3</v>
      </c>
      <c r="E111" s="3633" t="s">
        <v>2430</v>
      </c>
      <c r="F111" s="3634"/>
      <c r="G111" s="3634"/>
      <c r="H111" s="363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5" t="s">
        <v>465</v>
      </c>
      <c r="C112" s="404">
        <f>ROUND(C108*D112,0)</f>
        <v>0</v>
      </c>
      <c r="D112" s="405">
        <v>0.2</v>
      </c>
      <c r="E112" s="3636" t="s">
        <v>2455</v>
      </c>
      <c r="F112" s="3634"/>
      <c r="G112" s="3634"/>
      <c r="H112" s="363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1" t="s">
        <v>451</v>
      </c>
      <c r="C113" s="384">
        <f ca="1">ROUND(C103-C104,0)</f>
        <v>63961</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1" t="s">
        <v>452</v>
      </c>
      <c r="C114" s="406">
        <f ca="1">IF(C113&lt;=0,0,C113/C104)</f>
        <v>56.753327417923693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6" t="s">
        <v>453</v>
      </c>
      <c r="C115" s="407">
        <f ca="1">ROUND(IF(C113&lt;=0,0,IF(C114&gt;=200%,C113*60%-C104*35%,IF(C114&gt;=100%,C113*50%-C104*15%,IF(C114&gt;=50%,C113*40%-C104*5%,IF(C114&lt;50%,C113*30%,0))))),0)</f>
        <v>37982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32" zoomScale="80" zoomScaleNormal="95" zoomScaleSheetLayoutView="80" workbookViewId="0">
      <selection activeCell="M13" sqref="M1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98904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f>ROUND(B2*10000/'数据-汇总表'!E3,0)</f>
        <v>6760</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521</v>
      </c>
      <c r="B4" s="426">
        <f>IF(B48="单位面积地价",C50,ROUND(B2*10000/'数据-汇总表'!D3,0))</f>
        <v>15548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1037</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522</v>
      </c>
      <c r="B6" s="512"/>
      <c r="C6" s="3687" t="s">
        <v>523</v>
      </c>
      <c r="D6" s="3688"/>
      <c r="E6" s="3687" t="s">
        <v>524</v>
      </c>
      <c r="F6" s="3688"/>
      <c r="G6" s="3687" t="s">
        <v>525</v>
      </c>
      <c r="H6" s="3688"/>
      <c r="I6" s="3687" t="s">
        <v>526</v>
      </c>
      <c r="J6" s="3688"/>
      <c r="K6" s="513" t="s">
        <v>527</v>
      </c>
      <c r="L6" s="2133"/>
      <c r="M6" s="2132"/>
      <c r="N6" s="2132"/>
      <c r="O6" s="2134"/>
      <c r="P6" s="3689" t="s">
        <v>528</v>
      </c>
      <c r="Q6" s="3690"/>
      <c r="R6" s="3695" t="s">
        <v>524</v>
      </c>
      <c r="S6" s="3696"/>
      <c r="T6" s="3695" t="s">
        <v>525</v>
      </c>
      <c r="U6" s="3696"/>
      <c r="V6" s="3682" t="s">
        <v>526</v>
      </c>
      <c r="W6" s="3682"/>
      <c r="X6" s="1567"/>
      <c r="Y6" s="3695" t="s">
        <v>528</v>
      </c>
      <c r="Z6" s="3696"/>
      <c r="AA6" s="3684" t="s">
        <v>524</v>
      </c>
      <c r="AB6" s="3685" t="s">
        <v>525</v>
      </c>
      <c r="AC6" s="3684" t="s">
        <v>526</v>
      </c>
    </row>
    <row r="7" spans="1:30" ht="20.25">
      <c r="A7" s="514"/>
      <c r="B7" s="515"/>
      <c r="C7" s="3705" t="s">
        <v>2931</v>
      </c>
      <c r="D7" s="3704"/>
      <c r="E7" s="3703" t="s">
        <v>3229</v>
      </c>
      <c r="F7" s="3704"/>
      <c r="G7" s="3703" t="s">
        <v>3269</v>
      </c>
      <c r="H7" s="3704"/>
      <c r="I7" s="3703" t="s">
        <v>3271</v>
      </c>
      <c r="J7" s="3704"/>
      <c r="K7" s="513"/>
      <c r="L7" s="2133"/>
      <c r="M7" s="2132"/>
      <c r="N7" s="2132"/>
      <c r="O7" s="2134"/>
      <c r="P7" s="3691"/>
      <c r="Q7" s="3692"/>
      <c r="R7" s="3697"/>
      <c r="S7" s="3698"/>
      <c r="T7" s="3697"/>
      <c r="U7" s="3698"/>
      <c r="V7" s="3682"/>
      <c r="W7" s="3682"/>
      <c r="X7" s="1567"/>
      <c r="Y7" s="3697"/>
      <c r="Z7" s="3698"/>
      <c r="AA7" s="3685"/>
      <c r="AB7" s="3685"/>
      <c r="AC7" s="3685"/>
    </row>
    <row r="8" spans="1:30" ht="21" thickBot="1">
      <c r="A8" s="514"/>
      <c r="B8" s="515"/>
      <c r="C8" s="3706" t="s">
        <v>2935</v>
      </c>
      <c r="D8" s="3707"/>
      <c r="E8" s="3708" t="s">
        <v>3230</v>
      </c>
      <c r="F8" s="3707"/>
      <c r="G8" s="3701" t="s">
        <v>3270</v>
      </c>
      <c r="H8" s="3702"/>
      <c r="I8" s="3701" t="s">
        <v>3272</v>
      </c>
      <c r="J8" s="3702"/>
      <c r="K8" s="513" t="s">
        <v>529</v>
      </c>
      <c r="L8" s="2133"/>
      <c r="M8" s="2132"/>
      <c r="N8" s="2132"/>
      <c r="O8" s="2134"/>
      <c r="P8" s="3693"/>
      <c r="Q8" s="3694"/>
      <c r="R8" s="3697"/>
      <c r="S8" s="3698"/>
      <c r="T8" s="3699"/>
      <c r="U8" s="3700"/>
      <c r="V8" s="3682"/>
      <c r="W8" s="3682"/>
      <c r="X8" s="1567"/>
      <c r="Y8" s="3699"/>
      <c r="Z8" s="3700"/>
      <c r="AA8" s="3686"/>
      <c r="AB8" s="3686"/>
      <c r="AC8" s="3686"/>
    </row>
    <row r="9" spans="1:30" s="1219" customFormat="1" ht="21" thickBot="1">
      <c r="A9" s="2937"/>
      <c r="B9" s="2944" t="s">
        <v>530</v>
      </c>
      <c r="C9" s="2936">
        <f>'数据-取费表'!B2</f>
        <v>43131</v>
      </c>
      <c r="D9" s="519">
        <v>100</v>
      </c>
      <c r="E9" s="520">
        <v>42990</v>
      </c>
      <c r="F9" s="521">
        <f>SUMIF(72:72,YEAR(E9)&amp;"-"&amp;INT((MONTH(E9)+2)/3),73:73)</f>
        <v>96</v>
      </c>
      <c r="G9" s="522">
        <v>42991</v>
      </c>
      <c r="H9" s="519">
        <f>SUMIF(72:72,YEAR(G9)&amp;"-"&amp;INT((MONTH(G9)+2)/3),73:73)</f>
        <v>96</v>
      </c>
      <c r="I9" s="522">
        <v>42920</v>
      </c>
      <c r="J9" s="519">
        <f>SUMIF(72:72,YEAR(I9)&amp;"-"&amp;INT((MONTH(I9)+2)/3),73:73)</f>
        <v>96</v>
      </c>
      <c r="K9" s="523"/>
      <c r="L9" s="2135"/>
      <c r="M9" s="2132"/>
      <c r="N9" s="2132"/>
      <c r="O9" s="2136"/>
      <c r="P9" s="3714" t="s">
        <v>531</v>
      </c>
      <c r="Q9" s="3716"/>
      <c r="R9" s="1568" t="s">
        <v>8</v>
      </c>
      <c r="S9" s="1569">
        <f t="shared" ref="S9:S17" si="0">F9</f>
        <v>96</v>
      </c>
      <c r="T9" s="1568" t="s">
        <v>8</v>
      </c>
      <c r="U9" s="1569">
        <f t="shared" ref="U9:U17" si="1">H9</f>
        <v>96</v>
      </c>
      <c r="V9" s="1568" t="s">
        <v>8</v>
      </c>
      <c r="W9" s="1569">
        <f t="shared" ref="W9:W17" si="2">J9</f>
        <v>96</v>
      </c>
      <c r="X9" s="1570"/>
      <c r="Y9" s="3714" t="s">
        <v>531</v>
      </c>
      <c r="Z9" s="3715"/>
      <c r="AA9" s="1571">
        <f>D9/F9</f>
        <v>1.0416666666666667</v>
      </c>
      <c r="AB9" s="1571">
        <f>D9/H9</f>
        <v>1.0416666666666667</v>
      </c>
      <c r="AC9" s="1571">
        <f>D9/J9</f>
        <v>1.0416666666666667</v>
      </c>
    </row>
    <row r="10" spans="1:30" s="1219" customFormat="1" ht="21" thickBot="1">
      <c r="A10" s="2938"/>
      <c r="B10" s="2945" t="s">
        <v>532</v>
      </c>
      <c r="C10" s="855" t="s">
        <v>533</v>
      </c>
      <c r="D10" s="519">
        <v>100</v>
      </c>
      <c r="E10" s="524" t="s">
        <v>3231</v>
      </c>
      <c r="F10" s="521">
        <f>SUMIF(75:75,E10,76:76)-SUMIF(75:75,C10,76:76)+100</f>
        <v>100</v>
      </c>
      <c r="G10" s="524" t="s">
        <v>3231</v>
      </c>
      <c r="H10" s="519">
        <f>SUMIF(75:75,G10,76:76)-SUMIF(75:75,C10,76:76)+100</f>
        <v>100</v>
      </c>
      <c r="I10" s="524" t="s">
        <v>3231</v>
      </c>
      <c r="J10" s="519">
        <f>SUMIF(75:75,I10,76:76)-SUMIF(75:75,C10,76:76)+100</f>
        <v>100</v>
      </c>
      <c r="K10" s="523"/>
      <c r="L10" s="2135"/>
      <c r="M10" s="2132"/>
      <c r="N10" s="2132"/>
      <c r="O10" s="2136"/>
      <c r="P10" s="3714" t="s">
        <v>534</v>
      </c>
      <c r="Q10" s="3715"/>
      <c r="R10" s="1568" t="s">
        <v>8</v>
      </c>
      <c r="S10" s="1569">
        <f t="shared" si="0"/>
        <v>100</v>
      </c>
      <c r="T10" s="1568" t="s">
        <v>8</v>
      </c>
      <c r="U10" s="1569">
        <f t="shared" si="1"/>
        <v>100</v>
      </c>
      <c r="V10" s="1568" t="s">
        <v>8</v>
      </c>
      <c r="W10" s="1569">
        <f t="shared" si="2"/>
        <v>100</v>
      </c>
      <c r="X10" s="1570"/>
      <c r="Y10" s="3714" t="s">
        <v>534</v>
      </c>
      <c r="Z10" s="3715"/>
      <c r="AA10" s="1571">
        <f t="shared" ref="AA10:AA47" si="3">D10/F10</f>
        <v>1</v>
      </c>
      <c r="AB10" s="1571">
        <f t="shared" ref="AB10:AB47" si="4">D10/H10</f>
        <v>1</v>
      </c>
      <c r="AC10" s="1571">
        <f t="shared" ref="AC10:AC47" si="5">D10/J10</f>
        <v>1</v>
      </c>
    </row>
    <row r="11" spans="1:30" s="1219" customFormat="1" ht="28.5">
      <c r="A11" s="2939"/>
      <c r="B11" s="2946" t="s">
        <v>2760</v>
      </c>
      <c r="C11" s="2933" t="s">
        <v>3204</v>
      </c>
      <c r="D11" s="253">
        <v>100</v>
      </c>
      <c r="E11" s="525" t="s">
        <v>924</v>
      </c>
      <c r="F11" s="253">
        <f>SUMIF(77:77,E11,78:78)-SUMIF(77:77,C11,78:78)+100</f>
        <v>100</v>
      </c>
      <c r="G11" s="525" t="s">
        <v>924</v>
      </c>
      <c r="H11" s="253">
        <f>SUMIF(77:77,G11,78:78)-SUMIF(77:77,C11,78:78)+100</f>
        <v>100</v>
      </c>
      <c r="I11" s="525" t="s">
        <v>3273</v>
      </c>
      <c r="J11" s="253">
        <f>SUMIF(77:77,I11,78:78)-SUMIF(77:77,C11,78:78)+100</f>
        <v>100</v>
      </c>
      <c r="K11" s="523"/>
      <c r="L11" s="2135"/>
      <c r="M11" s="2132"/>
      <c r="N11" s="2132"/>
      <c r="O11" s="2137"/>
      <c r="P11" s="3681" t="s">
        <v>536</v>
      </c>
      <c r="Q11" s="1150" t="str">
        <f t="shared" ref="Q11:Q17" si="6">B11</f>
        <v>用途</v>
      </c>
      <c r="R11" s="1568" t="s">
        <v>8</v>
      </c>
      <c r="S11" s="1569">
        <f t="shared" si="0"/>
        <v>100</v>
      </c>
      <c r="T11" s="1568" t="s">
        <v>8</v>
      </c>
      <c r="U11" s="1569">
        <f t="shared" si="1"/>
        <v>100</v>
      </c>
      <c r="V11" s="1568" t="s">
        <v>8</v>
      </c>
      <c r="W11" s="1569">
        <f t="shared" si="2"/>
        <v>100</v>
      </c>
      <c r="X11" s="1570"/>
      <c r="Y11" s="3627" t="s">
        <v>537</v>
      </c>
      <c r="Z11" s="1149" t="str">
        <f t="shared" ref="Z11:Z17" si="7">Q11</f>
        <v>用途</v>
      </c>
      <c r="AA11" s="1571">
        <f t="shared" si="3"/>
        <v>1</v>
      </c>
      <c r="AB11" s="1571">
        <f t="shared" si="4"/>
        <v>1</v>
      </c>
      <c r="AC11" s="1571">
        <f t="shared" si="5"/>
        <v>1</v>
      </c>
    </row>
    <row r="12" spans="1:30" s="1337" customFormat="1" ht="27">
      <c r="A12" s="2940"/>
      <c r="B12" s="2945" t="s">
        <v>2761</v>
      </c>
      <c r="C12" s="909" t="s">
        <v>3259</v>
      </c>
      <c r="D12" s="254">
        <v>100</v>
      </c>
      <c r="E12" s="528" t="s">
        <v>3260</v>
      </c>
      <c r="F12" s="254">
        <f>ROUND(100/'数据-取费表'!G16,0)</f>
        <v>100</v>
      </c>
      <c r="G12" s="528" t="s">
        <v>3260</v>
      </c>
      <c r="H12" s="254">
        <f>ROUND(100/'数据-取费表'!G16,0)</f>
        <v>100</v>
      </c>
      <c r="I12" s="528" t="s">
        <v>3260</v>
      </c>
      <c r="J12" s="254">
        <f>ROUND(100/'数据-取费表'!G16,0)</f>
        <v>100</v>
      </c>
      <c r="K12" s="530"/>
      <c r="L12" s="2138"/>
      <c r="M12" s="2132"/>
      <c r="N12" s="2132"/>
      <c r="O12" s="2139"/>
      <c r="P12" s="3681"/>
      <c r="Q12" s="1150" t="str">
        <f t="shared" si="6"/>
        <v>土地使用年限（年）</v>
      </c>
      <c r="R12" s="1568" t="s">
        <v>8</v>
      </c>
      <c r="S12" s="1569">
        <f t="shared" si="0"/>
        <v>100</v>
      </c>
      <c r="T12" s="1568" t="s">
        <v>8</v>
      </c>
      <c r="U12" s="1569">
        <f t="shared" si="1"/>
        <v>100</v>
      </c>
      <c r="V12" s="1568" t="s">
        <v>8</v>
      </c>
      <c r="W12" s="1569">
        <f t="shared" si="2"/>
        <v>100</v>
      </c>
      <c r="X12" s="1570"/>
      <c r="Y12" s="3627"/>
      <c r="Z12" s="1149" t="str">
        <f t="shared" si="7"/>
        <v>土地使用年限（年）</v>
      </c>
      <c r="AA12" s="1571">
        <f t="shared" si="3"/>
        <v>1</v>
      </c>
      <c r="AB12" s="1571">
        <f t="shared" si="4"/>
        <v>1</v>
      </c>
      <c r="AC12" s="1571">
        <f t="shared" si="5"/>
        <v>1</v>
      </c>
    </row>
    <row r="13" spans="1:30" ht="21" thickBot="1">
      <c r="A13" s="2941"/>
      <c r="B13" s="2945" t="s">
        <v>2762</v>
      </c>
      <c r="C13" s="533">
        <v>2.2999999999999998</v>
      </c>
      <c r="D13" s="254">
        <v>100</v>
      </c>
      <c r="E13" s="532">
        <v>2.5</v>
      </c>
      <c r="F13" s="254">
        <f>LOOKUP(E13,82:82,83:83)-LOOKUP(C13,82:82,83:83)+100</f>
        <v>100</v>
      </c>
      <c r="G13" s="533">
        <v>2.2999999999999998</v>
      </c>
      <c r="H13" s="254">
        <f>LOOKUP(G13,82:82,83:83)-LOOKUP(C13,82:82,83:83)+100</f>
        <v>100</v>
      </c>
      <c r="I13" s="532">
        <v>2.76</v>
      </c>
      <c r="J13" s="254">
        <f>LOOKUP(I13,82:82,83:83)-LOOKUP(C13,82:82,83:83)+100</f>
        <v>100</v>
      </c>
      <c r="K13" s="3499">
        <v>5</v>
      </c>
      <c r="L13" s="2140"/>
      <c r="M13" s="2132"/>
      <c r="N13" s="2132"/>
      <c r="O13" s="2141"/>
      <c r="P13" s="3681"/>
      <c r="Q13" s="1150" t="str">
        <f t="shared" si="6"/>
        <v>容积率</v>
      </c>
      <c r="R13" s="1568" t="s">
        <v>8</v>
      </c>
      <c r="S13" s="1569">
        <f t="shared" si="0"/>
        <v>100</v>
      </c>
      <c r="T13" s="1568" t="s">
        <v>8</v>
      </c>
      <c r="U13" s="1569">
        <f t="shared" si="1"/>
        <v>100</v>
      </c>
      <c r="V13" s="1568" t="s">
        <v>8</v>
      </c>
      <c r="W13" s="1569">
        <f t="shared" si="2"/>
        <v>100</v>
      </c>
      <c r="X13" s="1570"/>
      <c r="Y13" s="3627"/>
      <c r="Z13" s="1149" t="str">
        <f t="shared" si="7"/>
        <v>容积率</v>
      </c>
      <c r="AA13" s="1571">
        <f t="shared" si="3"/>
        <v>1</v>
      </c>
      <c r="AB13" s="1571">
        <f t="shared" si="4"/>
        <v>1</v>
      </c>
      <c r="AC13" s="1571">
        <f t="shared" si="5"/>
        <v>1</v>
      </c>
    </row>
    <row r="14" spans="1:30" s="1219" customFormat="1" ht="20.25" hidden="1">
      <c r="A14" s="2938"/>
      <c r="B14" s="2947" t="s">
        <v>2763</v>
      </c>
      <c r="C14" s="2934"/>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681"/>
      <c r="Q14" s="1150" t="str">
        <f t="shared" si="6"/>
        <v>配建</v>
      </c>
      <c r="R14" s="1568" t="s">
        <v>8</v>
      </c>
      <c r="S14" s="1569">
        <f t="shared" si="0"/>
        <v>100</v>
      </c>
      <c r="T14" s="1568" t="s">
        <v>8</v>
      </c>
      <c r="U14" s="1569">
        <f t="shared" si="1"/>
        <v>100</v>
      </c>
      <c r="V14" s="1568" t="s">
        <v>8</v>
      </c>
      <c r="W14" s="1569">
        <f t="shared" si="2"/>
        <v>100</v>
      </c>
      <c r="X14" s="1570"/>
      <c r="Y14" s="3627"/>
      <c r="Z14" s="1149" t="str">
        <f t="shared" si="7"/>
        <v>配建</v>
      </c>
      <c r="AA14" s="1571">
        <f>D14/F14</f>
        <v>1</v>
      </c>
      <c r="AB14" s="1571">
        <f>D14/H14</f>
        <v>1</v>
      </c>
      <c r="AC14" s="1571">
        <f>D14/J14</f>
        <v>1</v>
      </c>
    </row>
    <row r="15" spans="1:30" ht="20.25" hidden="1">
      <c r="A15" s="2942"/>
      <c r="B15" s="2948">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681"/>
      <c r="Q15" s="1150">
        <f t="shared" si="6"/>
        <v>111</v>
      </c>
      <c r="R15" s="1568" t="s">
        <v>8</v>
      </c>
      <c r="S15" s="1569">
        <f t="shared" si="0"/>
        <v>100</v>
      </c>
      <c r="T15" s="1568" t="s">
        <v>8</v>
      </c>
      <c r="U15" s="1569">
        <f t="shared" si="1"/>
        <v>100</v>
      </c>
      <c r="V15" s="1568" t="s">
        <v>8</v>
      </c>
      <c r="W15" s="1569">
        <f t="shared" si="2"/>
        <v>100</v>
      </c>
      <c r="X15" s="1570"/>
      <c r="Y15" s="3627"/>
      <c r="Z15" s="1149">
        <f t="shared" si="7"/>
        <v>111</v>
      </c>
      <c r="AA15" s="1571">
        <f>D15/F15</f>
        <v>1</v>
      </c>
      <c r="AB15" s="1571">
        <f>D15/H15</f>
        <v>1</v>
      </c>
      <c r="AC15" s="1571">
        <f>D15/J15</f>
        <v>1</v>
      </c>
    </row>
    <row r="16" spans="1:30" ht="21" hidden="1" thickBot="1">
      <c r="A16" s="2943"/>
      <c r="B16" s="2949">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681"/>
      <c r="Q16" s="1150">
        <f t="shared" si="6"/>
        <v>111</v>
      </c>
      <c r="R16" s="1568" t="s">
        <v>8</v>
      </c>
      <c r="S16" s="1569">
        <f t="shared" si="0"/>
        <v>100</v>
      </c>
      <c r="T16" s="1568" t="s">
        <v>8</v>
      </c>
      <c r="U16" s="1569">
        <f t="shared" si="1"/>
        <v>100</v>
      </c>
      <c r="V16" s="1568" t="s">
        <v>8</v>
      </c>
      <c r="W16" s="1569">
        <f t="shared" si="2"/>
        <v>100</v>
      </c>
      <c r="X16" s="1570"/>
      <c r="Y16" s="3627"/>
      <c r="Z16" s="1149">
        <f t="shared" si="7"/>
        <v>111</v>
      </c>
      <c r="AA16" s="1571">
        <f>D16/F16</f>
        <v>1</v>
      </c>
      <c r="AB16" s="1571">
        <f>D16/H16</f>
        <v>1</v>
      </c>
      <c r="AC16" s="1571">
        <f>D16/J16</f>
        <v>1</v>
      </c>
    </row>
    <row r="17" spans="1:29" ht="99.75">
      <c r="A17" s="2935" t="s">
        <v>2758</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100</v>
      </c>
      <c r="I17" s="551"/>
      <c r="J17" s="548">
        <f>SUMIF(90:90,I18,91:91)-SUMIF(90:90,C18,91:91)+100</f>
        <v>102</v>
      </c>
      <c r="K17" s="534">
        <v>2</v>
      </c>
      <c r="L17" s="2142"/>
      <c r="M17" s="2132"/>
      <c r="N17" s="2132"/>
      <c r="O17" s="2141"/>
      <c r="P17" s="3717" t="s">
        <v>541</v>
      </c>
      <c r="Q17" s="1572" t="str">
        <f t="shared" si="6"/>
        <v>居住社区成熟度</v>
      </c>
      <c r="R17" s="1573" t="s">
        <v>8</v>
      </c>
      <c r="S17" s="1574">
        <f t="shared" si="0"/>
        <v>102</v>
      </c>
      <c r="T17" s="1573" t="s">
        <v>8</v>
      </c>
      <c r="U17" s="1574">
        <f t="shared" si="1"/>
        <v>100</v>
      </c>
      <c r="V17" s="1573" t="s">
        <v>8</v>
      </c>
      <c r="W17" s="1574">
        <f t="shared" si="2"/>
        <v>102</v>
      </c>
      <c r="X17" s="1567"/>
      <c r="Y17" s="3717" t="s">
        <v>541</v>
      </c>
      <c r="Z17" s="1575" t="str">
        <f t="shared" si="7"/>
        <v>居住社区成熟度</v>
      </c>
      <c r="AA17" s="1576">
        <f t="shared" si="3"/>
        <v>0.98039215686274506</v>
      </c>
      <c r="AB17" s="1576">
        <f t="shared" si="4"/>
        <v>1</v>
      </c>
      <c r="AC17" s="1576">
        <f t="shared" si="5"/>
        <v>0.98039215686274506</v>
      </c>
    </row>
    <row r="18" spans="1:29" ht="20.25">
      <c r="A18" s="531"/>
      <c r="B18" s="552"/>
      <c r="C18" s="553" t="s">
        <v>3249</v>
      </c>
      <c r="D18" s="556"/>
      <c r="E18" s="557" t="s">
        <v>3247</v>
      </c>
      <c r="F18" s="554"/>
      <c r="G18" s="555" t="s">
        <v>3249</v>
      </c>
      <c r="H18" s="558"/>
      <c r="I18" s="557" t="s">
        <v>3247</v>
      </c>
      <c r="J18" s="554"/>
      <c r="K18" s="530"/>
      <c r="L18" s="2142"/>
      <c r="M18" s="2132"/>
      <c r="N18" s="2132"/>
      <c r="O18" s="2141"/>
      <c r="P18" s="3718"/>
      <c r="Q18" s="1572"/>
      <c r="R18" s="1573"/>
      <c r="S18" s="1574"/>
      <c r="T18" s="1573"/>
      <c r="U18" s="1574"/>
      <c r="V18" s="1573"/>
      <c r="W18" s="1574"/>
      <c r="X18" s="1567"/>
      <c r="Y18" s="3718"/>
      <c r="Z18" s="1575"/>
      <c r="AA18" s="1576">
        <v>1</v>
      </c>
      <c r="AB18" s="1576">
        <v>1</v>
      </c>
      <c r="AC18" s="1576">
        <v>1</v>
      </c>
    </row>
    <row r="19" spans="1:29" ht="71.25" hidden="1">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718"/>
      <c r="Q19" s="1572" t="str">
        <f>B19</f>
        <v>商业繁华度</v>
      </c>
      <c r="R19" s="1573" t="s">
        <v>8</v>
      </c>
      <c r="S19" s="1574">
        <f>F19</f>
        <v>100</v>
      </c>
      <c r="T19" s="1573" t="s">
        <v>8</v>
      </c>
      <c r="U19" s="1574">
        <f>H19</f>
        <v>100</v>
      </c>
      <c r="V19" s="1573" t="s">
        <v>8</v>
      </c>
      <c r="W19" s="1574">
        <f>J19</f>
        <v>100</v>
      </c>
      <c r="X19" s="1567"/>
      <c r="Y19" s="3718"/>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2"/>
      <c r="M20" s="2132"/>
      <c r="N20" s="2132"/>
      <c r="O20" s="2141"/>
      <c r="P20" s="3718"/>
      <c r="Q20" s="1572"/>
      <c r="R20" s="1573"/>
      <c r="S20" s="1574"/>
      <c r="T20" s="1573"/>
      <c r="U20" s="1574"/>
      <c r="V20" s="1573"/>
      <c r="W20" s="1574"/>
      <c r="X20" s="1567"/>
      <c r="Y20" s="3718"/>
      <c r="Z20" s="1575"/>
      <c r="AA20" s="1576">
        <v>1</v>
      </c>
      <c r="AB20" s="1576">
        <v>1</v>
      </c>
      <c r="AC20" s="1576">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718"/>
      <c r="Q21" s="1572" t="str">
        <f>B21</f>
        <v>办公集聚程度</v>
      </c>
      <c r="R21" s="1573" t="s">
        <v>8</v>
      </c>
      <c r="S21" s="1574">
        <f>F21</f>
        <v>100</v>
      </c>
      <c r="T21" s="1573" t="s">
        <v>8</v>
      </c>
      <c r="U21" s="1574">
        <f>H21</f>
        <v>100</v>
      </c>
      <c r="V21" s="1573" t="s">
        <v>8</v>
      </c>
      <c r="W21" s="1574">
        <f>J21</f>
        <v>100</v>
      </c>
      <c r="X21" s="1567"/>
      <c r="Y21" s="3718"/>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2"/>
      <c r="M22" s="2132"/>
      <c r="N22" s="2132"/>
      <c r="O22" s="2141"/>
      <c r="P22" s="3718"/>
      <c r="Q22" s="1572"/>
      <c r="R22" s="1573"/>
      <c r="S22" s="1574"/>
      <c r="T22" s="1573"/>
      <c r="U22" s="1574"/>
      <c r="V22" s="1573"/>
      <c r="W22" s="1574"/>
      <c r="X22" s="1567"/>
      <c r="Y22" s="3718"/>
      <c r="Z22" s="1575"/>
      <c r="AA22" s="1576">
        <v>1</v>
      </c>
      <c r="AB22" s="1576">
        <v>1</v>
      </c>
      <c r="AC22" s="1576">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3499">
        <v>2</v>
      </c>
      <c r="L23" s="2142"/>
      <c r="M23" s="2132"/>
      <c r="N23" s="2132"/>
      <c r="O23" s="2141"/>
      <c r="P23" s="3718"/>
      <c r="Q23" s="1572" t="str">
        <f>B23</f>
        <v>交通便捷度</v>
      </c>
      <c r="R23" s="1573" t="s">
        <v>8</v>
      </c>
      <c r="S23" s="1574">
        <f>F23</f>
        <v>100</v>
      </c>
      <c r="T23" s="1573" t="s">
        <v>8</v>
      </c>
      <c r="U23" s="1574">
        <f>H23</f>
        <v>100</v>
      </c>
      <c r="V23" s="1573" t="s">
        <v>8</v>
      </c>
      <c r="W23" s="1574">
        <f>J23</f>
        <v>100</v>
      </c>
      <c r="X23" s="1567"/>
      <c r="Y23" s="3718"/>
      <c r="Z23" s="1575" t="str">
        <f>Q23</f>
        <v>交通便捷度</v>
      </c>
      <c r="AA23" s="1576">
        <f t="shared" si="3"/>
        <v>1</v>
      </c>
      <c r="AB23" s="1576">
        <f t="shared" si="4"/>
        <v>1</v>
      </c>
      <c r="AC23" s="1576">
        <f t="shared" si="5"/>
        <v>1</v>
      </c>
    </row>
    <row r="24" spans="1:29" ht="20.25">
      <c r="A24" s="531"/>
      <c r="B24" s="577"/>
      <c r="C24" s="553" t="s">
        <v>3247</v>
      </c>
      <c r="D24" s="556"/>
      <c r="E24" s="557" t="s">
        <v>3247</v>
      </c>
      <c r="F24" s="554"/>
      <c r="G24" s="555" t="s">
        <v>3247</v>
      </c>
      <c r="H24" s="554"/>
      <c r="I24" s="557" t="s">
        <v>3247</v>
      </c>
      <c r="J24" s="554"/>
      <c r="K24" s="530"/>
      <c r="L24" s="2142"/>
      <c r="M24" s="2132"/>
      <c r="N24" s="2132"/>
      <c r="O24" s="2141"/>
      <c r="P24" s="3718"/>
      <c r="Q24" s="1572"/>
      <c r="R24" s="1573"/>
      <c r="S24" s="1574"/>
      <c r="T24" s="1573"/>
      <c r="U24" s="1574"/>
      <c r="V24" s="1573"/>
      <c r="W24" s="1574"/>
      <c r="X24" s="1567"/>
      <c r="Y24" s="3718"/>
      <c r="Z24" s="1575"/>
      <c r="AA24" s="1576">
        <v>1</v>
      </c>
      <c r="AB24" s="1576">
        <v>1</v>
      </c>
      <c r="AC24" s="1576">
        <v>1</v>
      </c>
    </row>
    <row r="25" spans="1:29" ht="27">
      <c r="A25" s="514"/>
      <c r="B25" s="258" t="s">
        <v>545</v>
      </c>
      <c r="C25" s="572">
        <f>估价对象房地状况!C19</f>
        <v>0</v>
      </c>
      <c r="D25" s="562">
        <v>100</v>
      </c>
      <c r="E25" s="563"/>
      <c r="F25" s="564">
        <f>SUMIF(98:98,E26,99:99)-SUMIF(98:98,C26,99:99)+100</f>
        <v>102</v>
      </c>
      <c r="G25" s="561"/>
      <c r="H25" s="558">
        <f>SUMIF(98:98,G26,99:99)-SUMIF(98:98,C26,99:99)+100</f>
        <v>100</v>
      </c>
      <c r="I25" s="563"/>
      <c r="J25" s="558">
        <f>SUMIF(98:98,I26,99:99)-SUMIF(98:98,C26,99:99)+100</f>
        <v>102</v>
      </c>
      <c r="K25" s="534">
        <v>2</v>
      </c>
      <c r="L25" s="2142"/>
      <c r="M25" s="2132"/>
      <c r="N25" s="2132"/>
      <c r="O25" s="2141"/>
      <c r="P25" s="3718"/>
      <c r="Q25" s="1572" t="str">
        <f t="shared" ref="Q25:Q39" si="8">B25</f>
        <v>区域土地利用方向</v>
      </c>
      <c r="R25" s="1573" t="s">
        <v>8</v>
      </c>
      <c r="S25" s="1574">
        <f>F25</f>
        <v>102</v>
      </c>
      <c r="T25" s="1573" t="s">
        <v>8</v>
      </c>
      <c r="U25" s="1574">
        <f>H25</f>
        <v>100</v>
      </c>
      <c r="V25" s="1573" t="s">
        <v>8</v>
      </c>
      <c r="W25" s="1574">
        <f>J25</f>
        <v>102</v>
      </c>
      <c r="X25" s="1567"/>
      <c r="Y25" s="3718"/>
      <c r="Z25" s="1575" t="str">
        <f>Q25</f>
        <v>区域土地利用方向</v>
      </c>
      <c r="AA25" s="1576">
        <f t="shared" si="3"/>
        <v>0.98039215686274506</v>
      </c>
      <c r="AB25" s="1576">
        <f t="shared" si="4"/>
        <v>1</v>
      </c>
      <c r="AC25" s="1576">
        <f t="shared" si="5"/>
        <v>0.98039215686274506</v>
      </c>
    </row>
    <row r="26" spans="1:29" ht="20.25">
      <c r="A26" s="514"/>
      <c r="B26" s="1006"/>
      <c r="C26" s="553" t="s">
        <v>3249</v>
      </c>
      <c r="D26" s="556"/>
      <c r="E26" s="557" t="s">
        <v>3247</v>
      </c>
      <c r="F26" s="554"/>
      <c r="G26" s="555" t="s">
        <v>3249</v>
      </c>
      <c r="H26" s="554"/>
      <c r="I26" s="557" t="s">
        <v>3247</v>
      </c>
      <c r="J26" s="554"/>
      <c r="K26" s="530"/>
      <c r="L26" s="2142"/>
      <c r="M26" s="2132"/>
      <c r="N26" s="2132"/>
      <c r="O26" s="2141"/>
      <c r="P26" s="3718"/>
      <c r="Q26" s="1572"/>
      <c r="R26" s="1573"/>
      <c r="S26" s="1574"/>
      <c r="T26" s="1573"/>
      <c r="U26" s="1574"/>
      <c r="V26" s="1573"/>
      <c r="W26" s="1574"/>
      <c r="X26" s="1567"/>
      <c r="Y26" s="3718"/>
      <c r="Z26" s="1575"/>
      <c r="AA26" s="1576"/>
      <c r="AB26" s="1576"/>
      <c r="AC26" s="1576"/>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3499">
        <v>2</v>
      </c>
      <c r="L27" s="2142"/>
      <c r="M27" s="2132"/>
      <c r="N27" s="2132"/>
      <c r="O27" s="2141"/>
      <c r="P27" s="3718"/>
      <c r="Q27" s="1572" t="str">
        <f t="shared" si="8"/>
        <v>自然及人文环境状况</v>
      </c>
      <c r="R27" s="1573" t="s">
        <v>8</v>
      </c>
      <c r="S27" s="1574">
        <f>F27</f>
        <v>100</v>
      </c>
      <c r="T27" s="1573" t="s">
        <v>8</v>
      </c>
      <c r="U27" s="1574">
        <f>H27</f>
        <v>100</v>
      </c>
      <c r="V27" s="1573" t="s">
        <v>8</v>
      </c>
      <c r="W27" s="1574">
        <f>J27</f>
        <v>100</v>
      </c>
      <c r="X27" s="1567"/>
      <c r="Y27" s="3718"/>
      <c r="Z27" s="1575" t="str">
        <f>Q27</f>
        <v>自然及人文环境状况</v>
      </c>
      <c r="AA27" s="1576">
        <f t="shared" si="3"/>
        <v>1</v>
      </c>
      <c r="AB27" s="1576">
        <f t="shared" si="4"/>
        <v>1</v>
      </c>
      <c r="AC27" s="1576">
        <f t="shared" si="5"/>
        <v>1</v>
      </c>
    </row>
    <row r="28" spans="1:29" ht="20.25">
      <c r="A28" s="514"/>
      <c r="B28" s="565"/>
      <c r="C28" s="553" t="s">
        <v>3247</v>
      </c>
      <c r="D28" s="556"/>
      <c r="E28" s="575" t="s">
        <v>3247</v>
      </c>
      <c r="F28" s="554"/>
      <c r="G28" s="553" t="s">
        <v>3247</v>
      </c>
      <c r="H28" s="554"/>
      <c r="I28" s="575" t="s">
        <v>3247</v>
      </c>
      <c r="J28" s="554"/>
      <c r="K28" s="530"/>
      <c r="L28" s="2142"/>
      <c r="M28" s="2132"/>
      <c r="N28" s="2132"/>
      <c r="O28" s="2141"/>
      <c r="P28" s="3718"/>
      <c r="Q28" s="1572"/>
      <c r="R28" s="1573"/>
      <c r="S28" s="1574"/>
      <c r="T28" s="1573"/>
      <c r="U28" s="1574"/>
      <c r="V28" s="1573"/>
      <c r="W28" s="1574"/>
      <c r="X28" s="1567"/>
      <c r="Y28" s="3718"/>
      <c r="Z28" s="1575"/>
      <c r="AA28" s="1576">
        <v>1</v>
      </c>
      <c r="AB28" s="1576">
        <v>1</v>
      </c>
      <c r="AC28" s="1576">
        <v>1</v>
      </c>
    </row>
    <row r="29" spans="1:29" s="1219" customFormat="1" ht="42.75">
      <c r="A29" s="576"/>
      <c r="B29" s="2615" t="s">
        <v>2552</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100</v>
      </c>
      <c r="I29" s="563"/>
      <c r="J29" s="558">
        <f>SUMIF(102:102,I30,103:103)-SUMIF(102:102,C30,103:103)+100</f>
        <v>102</v>
      </c>
      <c r="K29" s="534">
        <v>2</v>
      </c>
      <c r="L29" s="2135"/>
      <c r="M29" s="2132"/>
      <c r="N29" s="2132"/>
      <c r="O29" s="2137"/>
      <c r="P29" s="3718"/>
      <c r="Q29" s="1150" t="str">
        <f t="shared" si="8"/>
        <v>公共配套设施</v>
      </c>
      <c r="R29" s="1568" t="s">
        <v>8</v>
      </c>
      <c r="S29" s="1569">
        <f>F29</f>
        <v>102</v>
      </c>
      <c r="T29" s="1568" t="s">
        <v>8</v>
      </c>
      <c r="U29" s="1569">
        <f>H29</f>
        <v>100</v>
      </c>
      <c r="V29" s="1568" t="s">
        <v>8</v>
      </c>
      <c r="W29" s="1569">
        <f>J29</f>
        <v>102</v>
      </c>
      <c r="X29" s="1570"/>
      <c r="Y29" s="3718"/>
      <c r="Z29" s="1149" t="str">
        <f>Q29</f>
        <v>公共配套设施</v>
      </c>
      <c r="AA29" s="1576">
        <f>D29/F29</f>
        <v>0.98039215686274506</v>
      </c>
      <c r="AB29" s="1576">
        <f>D29/H29</f>
        <v>1</v>
      </c>
      <c r="AC29" s="1576">
        <f>D29/J29</f>
        <v>0.98039215686274506</v>
      </c>
    </row>
    <row r="30" spans="1:29" s="1219" customFormat="1" ht="20.25">
      <c r="A30" s="576"/>
      <c r="B30" s="565"/>
      <c r="C30" s="578" t="s">
        <v>3249</v>
      </c>
      <c r="D30" s="556"/>
      <c r="E30" s="575" t="s">
        <v>3247</v>
      </c>
      <c r="F30" s="554"/>
      <c r="G30" s="553" t="s">
        <v>3249</v>
      </c>
      <c r="H30" s="554"/>
      <c r="I30" s="575" t="s">
        <v>3247</v>
      </c>
      <c r="J30" s="554"/>
      <c r="K30" s="530"/>
      <c r="L30" s="2135"/>
      <c r="M30" s="2132"/>
      <c r="N30" s="2132"/>
      <c r="O30" s="2137"/>
      <c r="P30" s="3718"/>
      <c r="Q30" s="1150"/>
      <c r="R30" s="1568"/>
      <c r="S30" s="1569"/>
      <c r="T30" s="1568"/>
      <c r="U30" s="1569"/>
      <c r="V30" s="1568"/>
      <c r="W30" s="1569"/>
      <c r="X30" s="1570"/>
      <c r="Y30" s="3718"/>
      <c r="Z30" s="1149"/>
      <c r="AA30" s="1576">
        <v>1</v>
      </c>
      <c r="AB30" s="1576">
        <v>1</v>
      </c>
      <c r="AC30" s="1576">
        <v>1</v>
      </c>
    </row>
    <row r="31" spans="1:29" s="1219" customFormat="1" ht="28.5">
      <c r="A31" s="576"/>
      <c r="B31" s="2615" t="s">
        <v>2553</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5"/>
      <c r="M31" s="2132"/>
      <c r="N31" s="2132"/>
      <c r="O31" s="2137"/>
      <c r="P31" s="3718"/>
      <c r="Q31" s="2602" t="str">
        <f t="shared" ref="Q31" si="9">B31</f>
        <v>基础设施水平</v>
      </c>
      <c r="R31" s="1568" t="s">
        <v>8</v>
      </c>
      <c r="S31" s="1569">
        <f>F31</f>
        <v>100</v>
      </c>
      <c r="T31" s="1568" t="s">
        <v>8</v>
      </c>
      <c r="U31" s="1569">
        <f>H31</f>
        <v>100</v>
      </c>
      <c r="V31" s="1568" t="s">
        <v>8</v>
      </c>
      <c r="W31" s="1569">
        <f>J31</f>
        <v>100</v>
      </c>
      <c r="X31" s="1570"/>
      <c r="Y31" s="3718"/>
      <c r="Z31" s="2599" t="str">
        <f>Q31</f>
        <v>基础设施水平</v>
      </c>
      <c r="AA31" s="1576">
        <f>D31/F31</f>
        <v>1</v>
      </c>
      <c r="AB31" s="1576">
        <f>D31/H31</f>
        <v>1</v>
      </c>
      <c r="AC31" s="1576">
        <f>D31/J31</f>
        <v>1</v>
      </c>
    </row>
    <row r="32" spans="1:29" s="1219" customFormat="1" ht="20.25">
      <c r="A32" s="576"/>
      <c r="B32" s="565"/>
      <c r="C32" s="578" t="s">
        <v>3254</v>
      </c>
      <c r="D32" s="556"/>
      <c r="E32" s="2616" t="s">
        <v>3254</v>
      </c>
      <c r="F32" s="554"/>
      <c r="G32" s="578" t="s">
        <v>3254</v>
      </c>
      <c r="H32" s="554"/>
      <c r="I32" s="578" t="s">
        <v>3254</v>
      </c>
      <c r="J32" s="554"/>
      <c r="K32" s="530"/>
      <c r="L32" s="2135"/>
      <c r="M32" s="2132"/>
      <c r="N32" s="2132"/>
      <c r="O32" s="2137"/>
      <c r="P32" s="3718"/>
      <c r="Q32" s="2602"/>
      <c r="R32" s="1568"/>
      <c r="S32" s="1569"/>
      <c r="T32" s="1568"/>
      <c r="U32" s="1569"/>
      <c r="V32" s="1568"/>
      <c r="W32" s="1569"/>
      <c r="X32" s="1570"/>
      <c r="Y32" s="3718"/>
      <c r="Z32" s="2599"/>
      <c r="AA32" s="1576">
        <v>1</v>
      </c>
      <c r="AB32" s="1576">
        <v>1</v>
      </c>
      <c r="AC32" s="1576">
        <v>1</v>
      </c>
    </row>
    <row r="33" spans="1:29" ht="20.25">
      <c r="A33" s="531"/>
      <c r="B33" s="565" t="s">
        <v>548</v>
      </c>
      <c r="C33" s="579" t="s">
        <v>3261</v>
      </c>
      <c r="D33" s="574">
        <v>100</v>
      </c>
      <c r="E33" s="582" t="s">
        <v>3262</v>
      </c>
      <c r="F33" s="539">
        <f>SUMIF(106:106,E33,107:107)-SUMIF(106:106,C33,107:107)+100</f>
        <v>98</v>
      </c>
      <c r="G33" s="579" t="s">
        <v>3261</v>
      </c>
      <c r="H33" s="539">
        <f>SUMIF(106:106,G33,107:107)-SUMIF(106:106,C33,107:107)+100</f>
        <v>100</v>
      </c>
      <c r="I33" s="579" t="s">
        <v>3262</v>
      </c>
      <c r="J33" s="539">
        <f>SUMIF(106:106,I33,107:107)-SUMIF(106:106,C33,107:107)+100</f>
        <v>98</v>
      </c>
      <c r="K33" s="534">
        <v>2</v>
      </c>
      <c r="L33" s="2142"/>
      <c r="M33" s="2132"/>
      <c r="N33" s="2132"/>
      <c r="O33" s="2141"/>
      <c r="P33" s="3718"/>
      <c r="Q33" s="1572" t="str">
        <f t="shared" si="8"/>
        <v>临街状况</v>
      </c>
      <c r="R33" s="1573" t="s">
        <v>8</v>
      </c>
      <c r="S33" s="1574">
        <f t="shared" ref="S33:S47" si="10">F33</f>
        <v>98</v>
      </c>
      <c r="T33" s="1573" t="s">
        <v>8</v>
      </c>
      <c r="U33" s="1574">
        <f t="shared" ref="U33:U47" si="11">H33</f>
        <v>100</v>
      </c>
      <c r="V33" s="1573" t="s">
        <v>8</v>
      </c>
      <c r="W33" s="1574">
        <f t="shared" ref="W33:W47" si="12">J33</f>
        <v>98</v>
      </c>
      <c r="X33" s="1567"/>
      <c r="Y33" s="3718"/>
      <c r="Z33" s="1575" t="str">
        <f t="shared" ref="Z33:Z47" si="13">Q33</f>
        <v>临街状况</v>
      </c>
      <c r="AA33" s="1576">
        <f t="shared" si="3"/>
        <v>1.0204081632653061</v>
      </c>
      <c r="AB33" s="1576">
        <f t="shared" si="4"/>
        <v>1</v>
      </c>
      <c r="AC33" s="1576">
        <f t="shared" si="5"/>
        <v>1.0204081632653061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102</v>
      </c>
      <c r="K34" s="534">
        <v>2</v>
      </c>
      <c r="L34" s="2142"/>
      <c r="M34" s="2132"/>
      <c r="N34" s="2132"/>
      <c r="O34" s="2141"/>
      <c r="P34" s="3718"/>
      <c r="Q34" s="1572" t="str">
        <f t="shared" si="8"/>
        <v>毗邻道路的类型与等级</v>
      </c>
      <c r="R34" s="1573" t="s">
        <v>8</v>
      </c>
      <c r="S34" s="1574">
        <f t="shared" si="10"/>
        <v>100</v>
      </c>
      <c r="T34" s="1573" t="s">
        <v>8</v>
      </c>
      <c r="U34" s="1574">
        <f t="shared" si="11"/>
        <v>100</v>
      </c>
      <c r="V34" s="1573" t="s">
        <v>8</v>
      </c>
      <c r="W34" s="1574">
        <f t="shared" si="12"/>
        <v>102</v>
      </c>
      <c r="X34" s="1567"/>
      <c r="Y34" s="3718"/>
      <c r="Z34" s="1575" t="str">
        <f t="shared" si="13"/>
        <v>毗邻道路的类型与等级</v>
      </c>
      <c r="AA34" s="1576">
        <f t="shared" si="3"/>
        <v>1</v>
      </c>
      <c r="AB34" s="1576">
        <f t="shared" si="4"/>
        <v>1</v>
      </c>
      <c r="AC34" s="1576">
        <f t="shared" si="5"/>
        <v>0.98039215686274506</v>
      </c>
    </row>
    <row r="35" spans="1:29" ht="21" thickBot="1">
      <c r="A35" s="531"/>
      <c r="B35" s="565"/>
      <c r="C35" s="553" t="s">
        <v>3237</v>
      </c>
      <c r="D35" s="556"/>
      <c r="E35" s="575" t="s">
        <v>3237</v>
      </c>
      <c r="F35" s="554"/>
      <c r="G35" s="553" t="s">
        <v>3237</v>
      </c>
      <c r="H35" s="554"/>
      <c r="I35" s="575" t="s">
        <v>3235</v>
      </c>
      <c r="J35" s="554"/>
      <c r="K35" s="580"/>
      <c r="L35" s="2142"/>
      <c r="M35" s="2132"/>
      <c r="N35" s="2132"/>
      <c r="O35" s="2141"/>
      <c r="P35" s="3718"/>
      <c r="Q35" s="1572"/>
      <c r="R35" s="1573"/>
      <c r="S35" s="1574"/>
      <c r="T35" s="1573"/>
      <c r="U35" s="1574"/>
      <c r="V35" s="1573"/>
      <c r="W35" s="1574"/>
      <c r="X35" s="1567"/>
      <c r="Y35" s="3718"/>
      <c r="Z35" s="1575"/>
      <c r="AA35" s="1576">
        <v>1</v>
      </c>
      <c r="AB35" s="1576">
        <v>1</v>
      </c>
      <c r="AC35" s="1576">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718"/>
      <c r="Q36" s="1572" t="str">
        <f t="shared" si="8"/>
        <v>土地级别</v>
      </c>
      <c r="R36" s="1573" t="s">
        <v>8</v>
      </c>
      <c r="S36" s="1574">
        <f t="shared" si="10"/>
        <v>100</v>
      </c>
      <c r="T36" s="1573" t="s">
        <v>8</v>
      </c>
      <c r="U36" s="1574">
        <f t="shared" si="11"/>
        <v>100</v>
      </c>
      <c r="V36" s="1573" t="s">
        <v>8</v>
      </c>
      <c r="W36" s="1574">
        <f t="shared" si="12"/>
        <v>100</v>
      </c>
      <c r="X36" s="1567"/>
      <c r="Y36" s="3718"/>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718"/>
      <c r="Q37" s="1572">
        <f t="shared" si="8"/>
        <v>111</v>
      </c>
      <c r="R37" s="1573" t="s">
        <v>8</v>
      </c>
      <c r="S37" s="1574">
        <f t="shared" si="10"/>
        <v>100</v>
      </c>
      <c r="T37" s="1573" t="s">
        <v>8</v>
      </c>
      <c r="U37" s="1574">
        <f t="shared" si="11"/>
        <v>100</v>
      </c>
      <c r="V37" s="1573" t="s">
        <v>8</v>
      </c>
      <c r="W37" s="1574">
        <f t="shared" si="12"/>
        <v>100</v>
      </c>
      <c r="X37" s="1567"/>
      <c r="Y37" s="3718"/>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719" t="s">
        <v>551</v>
      </c>
      <c r="Q38" s="1572">
        <f t="shared" si="8"/>
        <v>111</v>
      </c>
      <c r="R38" s="1573" t="s">
        <v>8</v>
      </c>
      <c r="S38" s="1574">
        <f t="shared" si="10"/>
        <v>100</v>
      </c>
      <c r="T38" s="1573" t="s">
        <v>8</v>
      </c>
      <c r="U38" s="1574">
        <f t="shared" si="11"/>
        <v>100</v>
      </c>
      <c r="V38" s="1573" t="s">
        <v>8</v>
      </c>
      <c r="W38" s="1574">
        <f t="shared" si="12"/>
        <v>100</v>
      </c>
      <c r="X38" s="1567"/>
      <c r="Y38" s="3720" t="s">
        <v>551</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720"/>
      <c r="Q39" s="1572">
        <f t="shared" si="8"/>
        <v>111</v>
      </c>
      <c r="R39" s="1577" t="s">
        <v>8</v>
      </c>
      <c r="S39" s="1578">
        <f t="shared" si="10"/>
        <v>100</v>
      </c>
      <c r="T39" s="1577" t="s">
        <v>8</v>
      </c>
      <c r="U39" s="1578">
        <f t="shared" si="11"/>
        <v>100</v>
      </c>
      <c r="V39" s="1577" t="s">
        <v>8</v>
      </c>
      <c r="W39" s="1578">
        <f t="shared" si="12"/>
        <v>100</v>
      </c>
      <c r="X39" s="1579"/>
      <c r="Y39" s="3720"/>
      <c r="Z39" s="1580">
        <f t="shared" si="13"/>
        <v>111</v>
      </c>
      <c r="AA39" s="1576">
        <f t="shared" si="3"/>
        <v>1</v>
      </c>
      <c r="AB39" s="1576">
        <f t="shared" si="4"/>
        <v>1</v>
      </c>
      <c r="AC39" s="1576">
        <f t="shared" si="5"/>
        <v>1</v>
      </c>
    </row>
    <row r="40" spans="1:29" ht="20.25">
      <c r="A40" s="2932" t="s">
        <v>2759</v>
      </c>
      <c r="B40" s="594" t="s">
        <v>553</v>
      </c>
      <c r="C40" s="595">
        <f>'数据-基础表'!A3</f>
        <v>63612.12</v>
      </c>
      <c r="D40" s="596">
        <v>100</v>
      </c>
      <c r="E40" s="595">
        <v>35376.17</v>
      </c>
      <c r="F40" s="596">
        <f>LOOKUP(E40,119:119,120:120)-LOOKUP(C40,119:119,120:120)+100</f>
        <v>99</v>
      </c>
      <c r="G40" s="595">
        <v>15966.79</v>
      </c>
      <c r="H40" s="596">
        <f>LOOKUP(G40,119:119,120:120)-LOOKUP(C40,119:119,120:120)+100</f>
        <v>99</v>
      </c>
      <c r="I40" s="597">
        <v>185156</v>
      </c>
      <c r="J40" s="596">
        <f>LOOKUP(I40,119:119,120:120)-LOOKUP(C40,119:119,120:120)+100</f>
        <v>102</v>
      </c>
      <c r="K40" s="580"/>
      <c r="L40" s="2142"/>
      <c r="M40" s="2132"/>
      <c r="N40" s="2132"/>
      <c r="O40" s="2141"/>
      <c r="P40" s="3720"/>
      <c r="Q40" s="1572" t="str">
        <f>B40</f>
        <v>宗地面积</v>
      </c>
      <c r="R40" s="1573" t="s">
        <v>8</v>
      </c>
      <c r="S40" s="1574">
        <f t="shared" si="10"/>
        <v>99</v>
      </c>
      <c r="T40" s="1573" t="s">
        <v>8</v>
      </c>
      <c r="U40" s="1574">
        <f t="shared" si="11"/>
        <v>99</v>
      </c>
      <c r="V40" s="1573" t="s">
        <v>8</v>
      </c>
      <c r="W40" s="1574">
        <f t="shared" si="12"/>
        <v>102</v>
      </c>
      <c r="X40" s="1567"/>
      <c r="Y40" s="3720"/>
      <c r="Z40" s="1575" t="str">
        <f t="shared" si="13"/>
        <v>宗地面积</v>
      </c>
      <c r="AA40" s="1576">
        <f t="shared" si="3"/>
        <v>1.0101010101010102</v>
      </c>
      <c r="AB40" s="1576">
        <f t="shared" si="4"/>
        <v>1.0101010101010102</v>
      </c>
      <c r="AC40" s="1576">
        <f t="shared" si="5"/>
        <v>0.98039215686274506</v>
      </c>
    </row>
    <row r="41" spans="1:29" ht="20.25">
      <c r="A41" s="593"/>
      <c r="B41" s="526" t="s">
        <v>554</v>
      </c>
      <c r="C41" s="598" t="s">
        <v>3243</v>
      </c>
      <c r="D41" s="539">
        <v>100</v>
      </c>
      <c r="E41" s="598" t="s">
        <v>3243</v>
      </c>
      <c r="F41" s="539">
        <f>SUMIF(121:121,E41,122:122)-SUMIF(121:121,C41,122:122)+100</f>
        <v>100</v>
      </c>
      <c r="G41" s="598" t="s">
        <v>3241</v>
      </c>
      <c r="H41" s="539">
        <f>SUMIF(121:121,G41,122:122)-SUMIF(121:121,C41,122:122)+100</f>
        <v>102</v>
      </c>
      <c r="I41" s="598" t="s">
        <v>3243</v>
      </c>
      <c r="J41" s="539">
        <f>SUMIF(121:121,I41,122:122)-SUMIF(121:121,C41,122:122)+100</f>
        <v>100</v>
      </c>
      <c r="K41" s="583">
        <v>2</v>
      </c>
      <c r="L41" s="2142"/>
      <c r="M41" s="2132"/>
      <c r="N41" s="2132"/>
      <c r="O41" s="2141"/>
      <c r="P41" s="3720"/>
      <c r="Q41" s="1572" t="str">
        <f t="shared" ref="Q41:Q47" si="14">B41</f>
        <v>宗地形状</v>
      </c>
      <c r="R41" s="1573" t="s">
        <v>8</v>
      </c>
      <c r="S41" s="1574">
        <f t="shared" si="10"/>
        <v>100</v>
      </c>
      <c r="T41" s="1573" t="s">
        <v>8</v>
      </c>
      <c r="U41" s="1574">
        <f t="shared" si="11"/>
        <v>102</v>
      </c>
      <c r="V41" s="1573" t="s">
        <v>8</v>
      </c>
      <c r="W41" s="1574">
        <f t="shared" si="12"/>
        <v>100</v>
      </c>
      <c r="X41" s="1567"/>
      <c r="Y41" s="3720"/>
      <c r="Z41" s="1575" t="str">
        <f t="shared" si="13"/>
        <v>宗地形状</v>
      </c>
      <c r="AA41" s="1576">
        <f t="shared" si="3"/>
        <v>1</v>
      </c>
      <c r="AB41" s="1576">
        <f t="shared" si="4"/>
        <v>0.98039215686274506</v>
      </c>
      <c r="AC41" s="1576">
        <f t="shared" si="5"/>
        <v>1</v>
      </c>
    </row>
    <row r="42" spans="1:29" ht="20.25">
      <c r="A42" s="593"/>
      <c r="B42" s="526" t="s">
        <v>555</v>
      </c>
      <c r="C42" s="598" t="s">
        <v>3247</v>
      </c>
      <c r="D42" s="539">
        <v>100</v>
      </c>
      <c r="E42" s="598" t="s">
        <v>3247</v>
      </c>
      <c r="F42" s="539">
        <f>SUMIF(123:123,E42,124:124)-SUMIF(123:123,C42,124:124)+100</f>
        <v>100</v>
      </c>
      <c r="G42" s="598" t="s">
        <v>3249</v>
      </c>
      <c r="H42" s="539">
        <f>SUMIF(123:123,G42,124:124)-SUMIF(123:123,C42,124:124)+100</f>
        <v>98</v>
      </c>
      <c r="I42" s="598" t="s">
        <v>3247</v>
      </c>
      <c r="J42" s="539">
        <f>SUMIF(123:123,I42,124:124)-SUMIF(123:123,C42,124:124)+100</f>
        <v>100</v>
      </c>
      <c r="K42" s="583">
        <v>2</v>
      </c>
      <c r="L42" s="2142"/>
      <c r="M42" s="2132"/>
      <c r="N42" s="2132"/>
      <c r="O42" s="2141"/>
      <c r="P42" s="3720"/>
      <c r="Q42" s="1572" t="str">
        <f t="shared" si="14"/>
        <v>临街宽度及深度</v>
      </c>
      <c r="R42" s="1573" t="s">
        <v>8</v>
      </c>
      <c r="S42" s="1574">
        <f t="shared" si="10"/>
        <v>100</v>
      </c>
      <c r="T42" s="1573" t="s">
        <v>8</v>
      </c>
      <c r="U42" s="1574">
        <f t="shared" si="11"/>
        <v>98</v>
      </c>
      <c r="V42" s="1573" t="s">
        <v>8</v>
      </c>
      <c r="W42" s="1574">
        <f t="shared" si="12"/>
        <v>100</v>
      </c>
      <c r="X42" s="1567"/>
      <c r="Y42" s="3720"/>
      <c r="Z42" s="1575" t="str">
        <f t="shared" si="13"/>
        <v>临街宽度及深度</v>
      </c>
      <c r="AA42" s="1576">
        <f t="shared" si="3"/>
        <v>1</v>
      </c>
      <c r="AB42" s="1576">
        <f t="shared" si="4"/>
        <v>1.0204081632653061</v>
      </c>
      <c r="AC42" s="1576">
        <f t="shared" si="5"/>
        <v>1</v>
      </c>
    </row>
    <row r="43" spans="1:29" s="1219" customFormat="1" ht="20.25">
      <c r="A43" s="599"/>
      <c r="B43" s="1895" t="s">
        <v>2426</v>
      </c>
      <c r="C43" s="600" t="s">
        <v>3254</v>
      </c>
      <c r="D43" s="254">
        <v>100</v>
      </c>
      <c r="E43" s="600" t="s">
        <v>3254</v>
      </c>
      <c r="F43" s="539">
        <f>SUMIF(125:125,E43,126:126)-SUMIF(125:125,C43,126:126)+100</f>
        <v>100</v>
      </c>
      <c r="G43" s="600" t="s">
        <v>3254</v>
      </c>
      <c r="H43" s="539">
        <f>SUMIF(125:125,G43,126:126)-SUMIF(125:125,C43,126:126)+100</f>
        <v>100</v>
      </c>
      <c r="I43" s="600" t="s">
        <v>3254</v>
      </c>
      <c r="J43" s="539">
        <f>SUMIF(125:125,I43,126:126)-SUMIF(125:125,C43,126:126)+100</f>
        <v>100</v>
      </c>
      <c r="K43" s="583"/>
      <c r="L43" s="2135"/>
      <c r="M43" s="2132"/>
      <c r="N43" s="2132"/>
      <c r="O43" s="2137"/>
      <c r="P43" s="3720"/>
      <c r="Q43" s="1572" t="str">
        <f t="shared" si="14"/>
        <v>宗地开发程度</v>
      </c>
      <c r="R43" s="1568" t="s">
        <v>8</v>
      </c>
      <c r="S43" s="1569">
        <f t="shared" si="10"/>
        <v>100</v>
      </c>
      <c r="T43" s="1568" t="s">
        <v>8</v>
      </c>
      <c r="U43" s="1569">
        <f t="shared" si="11"/>
        <v>100</v>
      </c>
      <c r="V43" s="1568" t="s">
        <v>8</v>
      </c>
      <c r="W43" s="1569">
        <f t="shared" si="12"/>
        <v>100</v>
      </c>
      <c r="X43" s="1570"/>
      <c r="Y43" s="3720"/>
      <c r="Z43" s="1149" t="str">
        <f t="shared" si="13"/>
        <v>宗地开发程度</v>
      </c>
      <c r="AA43" s="1571">
        <f t="shared" si="3"/>
        <v>1</v>
      </c>
      <c r="AB43" s="1571">
        <f t="shared" si="4"/>
        <v>1</v>
      </c>
      <c r="AC43" s="1571">
        <f t="shared" si="5"/>
        <v>1</v>
      </c>
    </row>
    <row r="44" spans="1:29" ht="21" thickBot="1">
      <c r="A44" s="593"/>
      <c r="B44" s="526" t="s">
        <v>556</v>
      </c>
      <c r="C44" s="598" t="s">
        <v>3247</v>
      </c>
      <c r="D44" s="539">
        <v>100</v>
      </c>
      <c r="E44" s="598" t="s">
        <v>3247</v>
      </c>
      <c r="F44" s="539">
        <f>SUMIF(127:127,E44,128:128)-SUMIF(127:127,C44,128:128)+100</f>
        <v>100</v>
      </c>
      <c r="G44" s="598" t="s">
        <v>3247</v>
      </c>
      <c r="H44" s="539">
        <f>SUMIF(127:127,G44,128:128)-SUMIF(127:127,C44,128:128)+100</f>
        <v>100</v>
      </c>
      <c r="I44" s="598" t="s">
        <v>3247</v>
      </c>
      <c r="J44" s="539">
        <f>SUMIF(127:127,I44,128:128)-SUMIF(127:127,C44,128:128)+100</f>
        <v>100</v>
      </c>
      <c r="K44" s="583"/>
      <c r="L44" s="2142"/>
      <c r="M44" s="2132"/>
      <c r="N44" s="2132"/>
      <c r="O44" s="2141"/>
      <c r="P44" s="3720" t="s">
        <v>551</v>
      </c>
      <c r="Q44" s="1572" t="str">
        <f t="shared" si="14"/>
        <v>工程地质条件</v>
      </c>
      <c r="R44" s="1573" t="s">
        <v>8</v>
      </c>
      <c r="S44" s="1574">
        <f t="shared" si="10"/>
        <v>100</v>
      </c>
      <c r="T44" s="1573" t="s">
        <v>8</v>
      </c>
      <c r="U44" s="1574">
        <f t="shared" si="11"/>
        <v>100</v>
      </c>
      <c r="V44" s="1573" t="s">
        <v>8</v>
      </c>
      <c r="W44" s="1574">
        <f t="shared" si="12"/>
        <v>100</v>
      </c>
      <c r="X44" s="1567"/>
      <c r="Y44" s="3720" t="s">
        <v>551</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720"/>
      <c r="Q45" s="1572">
        <f t="shared" si="14"/>
        <v>111</v>
      </c>
      <c r="R45" s="1573" t="s">
        <v>8</v>
      </c>
      <c r="S45" s="1574">
        <f t="shared" si="10"/>
        <v>100</v>
      </c>
      <c r="T45" s="1573" t="s">
        <v>8</v>
      </c>
      <c r="U45" s="1574">
        <f t="shared" si="11"/>
        <v>100</v>
      </c>
      <c r="V45" s="1573" t="s">
        <v>8</v>
      </c>
      <c r="W45" s="1574">
        <f t="shared" si="12"/>
        <v>100</v>
      </c>
      <c r="X45" s="1567"/>
      <c r="Y45" s="3720"/>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720"/>
      <c r="Q46" s="1572">
        <f t="shared" si="14"/>
        <v>111</v>
      </c>
      <c r="R46" s="1573" t="s">
        <v>8</v>
      </c>
      <c r="S46" s="1574">
        <f t="shared" si="10"/>
        <v>100</v>
      </c>
      <c r="T46" s="1573" t="s">
        <v>8</v>
      </c>
      <c r="U46" s="1574">
        <f t="shared" si="11"/>
        <v>100</v>
      </c>
      <c r="V46" s="1573" t="s">
        <v>8</v>
      </c>
      <c r="W46" s="1574">
        <f t="shared" si="12"/>
        <v>100</v>
      </c>
      <c r="X46" s="1567"/>
      <c r="Y46" s="3720"/>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720"/>
      <c r="Q47" s="1572">
        <f t="shared" si="14"/>
        <v>111</v>
      </c>
      <c r="R47" s="1577" t="s">
        <v>8</v>
      </c>
      <c r="S47" s="1578">
        <f t="shared" si="10"/>
        <v>100</v>
      </c>
      <c r="T47" s="1577" t="s">
        <v>8</v>
      </c>
      <c r="U47" s="1578">
        <f t="shared" si="11"/>
        <v>100</v>
      </c>
      <c r="V47" s="1577" t="s">
        <v>8</v>
      </c>
      <c r="W47" s="1578">
        <f t="shared" si="12"/>
        <v>100</v>
      </c>
      <c r="X47" s="1579"/>
      <c r="Y47" s="3720"/>
      <c r="Z47" s="1580">
        <f t="shared" si="13"/>
        <v>111</v>
      </c>
      <c r="AA47" s="1576">
        <f t="shared" si="3"/>
        <v>1</v>
      </c>
      <c r="AB47" s="1576">
        <f t="shared" si="4"/>
        <v>1</v>
      </c>
      <c r="AC47" s="1576">
        <f t="shared" si="5"/>
        <v>1</v>
      </c>
    </row>
    <row r="48" spans="1:29" ht="20.25">
      <c r="A48" s="606" t="s">
        <v>557</v>
      </c>
      <c r="B48" s="607" t="s">
        <v>3263</v>
      </c>
      <c r="C48" s="608" t="s">
        <v>1</v>
      </c>
      <c r="D48" s="609"/>
      <c r="E48" s="610">
        <v>7294</v>
      </c>
      <c r="F48" s="611"/>
      <c r="G48" s="612">
        <v>6238</v>
      </c>
      <c r="H48" s="613"/>
      <c r="I48" s="610">
        <v>6580</v>
      </c>
      <c r="J48" s="613"/>
      <c r="K48" s="1339"/>
      <c r="L48" s="2144"/>
      <c r="M48" s="2132"/>
      <c r="N48" s="2132"/>
      <c r="O48" s="2145"/>
      <c r="P48" s="3681" t="str">
        <f>A48</f>
        <v>成交单价</v>
      </c>
      <c r="Q48" s="3681"/>
      <c r="R48" s="3682">
        <f>E48</f>
        <v>7294</v>
      </c>
      <c r="S48" s="3682"/>
      <c r="T48" s="3682">
        <f>G48</f>
        <v>6238</v>
      </c>
      <c r="U48" s="3682"/>
      <c r="V48" s="3682">
        <f>I48</f>
        <v>6580</v>
      </c>
      <c r="W48" s="3682"/>
      <c r="X48" s="1559"/>
      <c r="Y48" s="1581"/>
      <c r="Z48" s="1559"/>
      <c r="AA48" s="1559"/>
      <c r="AB48" s="1559"/>
      <c r="AC48" s="1559"/>
    </row>
    <row r="49" spans="1:29" ht="21" thickBot="1">
      <c r="A49" s="614" t="s">
        <v>2697</v>
      </c>
      <c r="B49" s="615"/>
      <c r="C49" s="616">
        <f>R50</f>
        <v>6760</v>
      </c>
      <c r="D49" s="617"/>
      <c r="E49" s="616">
        <f>R49</f>
        <v>7380</v>
      </c>
      <c r="F49" s="618"/>
      <c r="G49" s="619">
        <f>T49</f>
        <v>6566</v>
      </c>
      <c r="H49" s="617"/>
      <c r="I49" s="616">
        <f>V49</f>
        <v>6335</v>
      </c>
      <c r="J49" s="617"/>
      <c r="K49" s="1340"/>
      <c r="L49" s="2144"/>
      <c r="M49" s="2132"/>
      <c r="N49" s="2132"/>
      <c r="O49" s="2145"/>
      <c r="P49" s="3681" t="str">
        <f>A49</f>
        <v>比较价格（元/平方米）</v>
      </c>
      <c r="Q49" s="3681"/>
      <c r="R49" s="3683">
        <f>ROUND(PRODUCT(R48,AA9:AA47),0)</f>
        <v>7380</v>
      </c>
      <c r="S49" s="3683"/>
      <c r="T49" s="3683">
        <f>ROUND(PRODUCT(T48,AB9:AB47),0)</f>
        <v>6566</v>
      </c>
      <c r="U49" s="3683"/>
      <c r="V49" s="3683">
        <f>ROUND(PRODUCT(V48,AC9:AC47),0)</f>
        <v>6335</v>
      </c>
      <c r="W49" s="3683"/>
      <c r="X49" s="1559"/>
      <c r="Y49" s="1559"/>
      <c r="Z49" s="1559"/>
      <c r="AA49" s="1559"/>
      <c r="AB49" s="1559"/>
      <c r="AC49" s="1559"/>
    </row>
    <row r="50" spans="1:29" ht="21" thickBot="1">
      <c r="A50" s="620" t="s">
        <v>2937</v>
      </c>
      <c r="B50" s="621"/>
      <c r="C50" s="622">
        <f>R50</f>
        <v>6760</v>
      </c>
      <c r="D50" s="622"/>
      <c r="E50" s="622"/>
      <c r="F50" s="622"/>
      <c r="G50" s="622"/>
      <c r="H50" s="622"/>
      <c r="I50" s="622"/>
      <c r="J50" s="622"/>
      <c r="K50" s="1341"/>
      <c r="L50" s="2144"/>
      <c r="M50" s="2132"/>
      <c r="N50" s="2132"/>
      <c r="O50" s="2145"/>
      <c r="P50" s="3678" t="str">
        <f>A50</f>
        <v>估价对象XX用房的比较价格（楼面单价，元/平方米）</v>
      </c>
      <c r="Q50" s="3679"/>
      <c r="R50" s="3680">
        <f>ROUND(AVERAGE(R49:V49),0)</f>
        <v>6760</v>
      </c>
      <c r="S50" s="3680"/>
      <c r="T50" s="3680"/>
      <c r="U50" s="3680"/>
      <c r="V50" s="3680"/>
      <c r="W50" s="3680"/>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f>IF(E48&lt;E49,E49/E48-1,E48/E49-1)</f>
        <v>1.1790512750205595E-2</v>
      </c>
      <c r="F53" s="626" t="str">
        <f>IF(OR(E53&gt;=0.3,E53&lt;=-0.3),"超过30%","")</f>
        <v/>
      </c>
      <c r="G53" s="625">
        <f>IF(G48&lt;G49,G49/G48-1,G48/G49-1)</f>
        <v>5.2580955434434085E-2</v>
      </c>
      <c r="H53" s="626" t="str">
        <f>IF(OR(G53&gt;=0.3,G53&lt;=-0.3),"超过30%","")</f>
        <v/>
      </c>
      <c r="I53" s="625">
        <f>IF(I48&lt;I49,I49/I48-1,I48/I49-1)</f>
        <v>3.8674033149171283E-2</v>
      </c>
      <c r="J53" s="626"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f>IF(E49&lt;G49,G49/E49-1,E49/G49-1)</f>
        <v>0.1239719768504417</v>
      </c>
      <c r="F54" s="626" t="str">
        <f>IF(OR(E54&gt;=0.2,E54&lt;=-0.2),"超过20%","")</f>
        <v/>
      </c>
      <c r="G54" s="625">
        <f>IF(G49&lt;I49,I49/G49-1,G49/I49-1)</f>
        <v>3.6464088397790029E-2</v>
      </c>
      <c r="H54" s="626" t="str">
        <f>IF(OR(G54&gt;=0.2,G54&lt;=-0.2),"超过20%","")</f>
        <v/>
      </c>
      <c r="I54" s="625">
        <f>IF(I49&lt;E49,E49/I49-1,I49/E49-1)</f>
        <v>0.16495659037095511</v>
      </c>
      <c r="J54" s="626"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0.16928502725232453</v>
      </c>
      <c r="F55" s="626" t="str">
        <f>IF(OR(E55&gt;=0.3,E55&lt;=-0.3),"超过30%","")</f>
        <v/>
      </c>
      <c r="G55" s="625">
        <f>IF(G48&lt;I48,I48/G48-1,G48/I48-1)</f>
        <v>5.4825264507855076E-2</v>
      </c>
      <c r="H55" s="626" t="str">
        <f>IF(OR(G55&gt;=0.3,G55&lt;=-0.3),"超过30%","")</f>
        <v/>
      </c>
      <c r="I55" s="625">
        <f>IF(I48&lt;E48,E48/I48-1,I48/E48-1)</f>
        <v>0.10851063829787244</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561</v>
      </c>
      <c r="B57" s="629" t="s">
        <v>562</v>
      </c>
      <c r="C57" s="1560" t="s">
        <v>1726</v>
      </c>
      <c r="D57" s="2227" t="s">
        <v>2295</v>
      </c>
      <c r="E57" s="630" t="s">
        <v>563</v>
      </c>
      <c r="F57" s="631" t="s">
        <v>564</v>
      </c>
      <c r="G57" s="3709" t="s">
        <v>2283</v>
      </c>
      <c r="H57" s="3710"/>
      <c r="I57" s="1555" t="s">
        <v>1724</v>
      </c>
      <c r="J57" s="1555" t="str">
        <f>项目基本情况!F41</f>
        <v>湖北省武汉市</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f>C50</f>
        <v>6760</v>
      </c>
      <c r="C58" s="634">
        <v>1</v>
      </c>
      <c r="D58" s="2228">
        <v>1</v>
      </c>
      <c r="E58" s="634">
        <f>'数据-汇总表'!E8+'数据-汇总表'!E9</f>
        <v>146307.88</v>
      </c>
      <c r="F58" s="635">
        <f t="shared" ref="F58:F67" si="15">ROUND(B58*E58/10000,0)</f>
        <v>98904</v>
      </c>
      <c r="G58" s="3711"/>
      <c r="H58" s="3712"/>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f>ROUND($C$50*C59*D59,0)</f>
        <v>0</v>
      </c>
      <c r="C59" s="377">
        <f t="shared" ref="C59:C67" si="16">IF($C$57="北京市系数",I59,J59)</f>
        <v>0</v>
      </c>
      <c r="D59" s="2229">
        <v>0.25</v>
      </c>
      <c r="E59" s="638">
        <v>0</v>
      </c>
      <c r="F59" s="635">
        <f t="shared" si="15"/>
        <v>0</v>
      </c>
      <c r="G59" s="3713" t="s">
        <v>2284</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f t="shared" ref="B60:B67" si="17">ROUND($C$50*C60*D60,0)</f>
        <v>0</v>
      </c>
      <c r="C60" s="377">
        <f t="shared" si="16"/>
        <v>0</v>
      </c>
      <c r="D60" s="2229">
        <v>0.25</v>
      </c>
      <c r="E60" s="638">
        <v>0</v>
      </c>
      <c r="F60" s="635">
        <f t="shared" si="15"/>
        <v>0</v>
      </c>
      <c r="G60" s="3713"/>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f t="shared" si="17"/>
        <v>0</v>
      </c>
      <c r="C61" s="377">
        <f t="shared" si="16"/>
        <v>0</v>
      </c>
      <c r="D61" s="2229">
        <v>0.25</v>
      </c>
      <c r="E61" s="638">
        <v>0</v>
      </c>
      <c r="F61" s="635">
        <f t="shared" si="15"/>
        <v>0</v>
      </c>
      <c r="G61" s="3713"/>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f t="shared" si="17"/>
        <v>0</v>
      </c>
      <c r="C62" s="377">
        <f t="shared" si="16"/>
        <v>0</v>
      </c>
      <c r="D62" s="2229">
        <v>0.25</v>
      </c>
      <c r="E62" s="638">
        <v>0</v>
      </c>
      <c r="F62" s="635">
        <f t="shared" si="15"/>
        <v>0</v>
      </c>
      <c r="G62" s="3713"/>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2285</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f t="shared" si="17"/>
        <v>0</v>
      </c>
      <c r="C64" s="377">
        <f t="shared" si="16"/>
        <v>0</v>
      </c>
      <c r="D64" s="2229">
        <v>0.25</v>
      </c>
      <c r="E64" s="640">
        <f>'数据-汇总表'!E12</f>
        <v>0</v>
      </c>
      <c r="F64" s="635">
        <f t="shared" si="15"/>
        <v>0</v>
      </c>
      <c r="G64" s="1946" t="s">
        <v>1679</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f t="shared" si="17"/>
        <v>0</v>
      </c>
      <c r="C65" s="377">
        <f t="shared" si="16"/>
        <v>0</v>
      </c>
      <c r="D65" s="2229">
        <v>0.25</v>
      </c>
      <c r="E65" s="640">
        <f>'数据-汇总表'!E13</f>
        <v>0</v>
      </c>
      <c r="F65" s="635">
        <f t="shared" si="15"/>
        <v>0</v>
      </c>
      <c r="G65" s="1946" t="s">
        <v>924</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f t="shared" si="17"/>
        <v>0</v>
      </c>
      <c r="C66" s="377">
        <f t="shared" si="16"/>
        <v>0</v>
      </c>
      <c r="D66" s="2229">
        <v>0.25</v>
      </c>
      <c r="E66" s="640">
        <f>'数据-汇总表'!E14</f>
        <v>0</v>
      </c>
      <c r="F66" s="635">
        <f t="shared" si="15"/>
        <v>0</v>
      </c>
      <c r="G66" s="1945" t="s">
        <v>2284</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f t="shared" si="17"/>
        <v>0</v>
      </c>
      <c r="C67" s="377">
        <f t="shared" si="16"/>
        <v>0</v>
      </c>
      <c r="D67" s="2229">
        <v>0.25</v>
      </c>
      <c r="E67" s="640">
        <f>'数据-汇总表'!E15</f>
        <v>0</v>
      </c>
      <c r="F67" s="635">
        <f t="shared" si="15"/>
        <v>0</v>
      </c>
      <c r="G67" s="1947" t="s">
        <v>2285</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17</v>
      </c>
      <c r="C68" s="642" t="s">
        <v>18</v>
      </c>
      <c r="D68" s="642" t="s">
        <v>2296</v>
      </c>
      <c r="E68" s="642">
        <f>IF(B48="楼面地价",SUM(E58:E67),'数据-汇总表'!D3)</f>
        <v>146307.88</v>
      </c>
      <c r="F68" s="643">
        <f>IF(B48="楼面地价",SUM(F58:F67),ROUND(C50*E68/10000,0))</f>
        <v>98904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2018-1-1</v>
      </c>
      <c r="D70" s="2824">
        <f>EDATE(C70,-3)</f>
        <v>43009</v>
      </c>
      <c r="E70" s="2824">
        <f t="shared" ref="E70:N70" si="18">EDATE(D70,-3)</f>
        <v>42917</v>
      </c>
      <c r="F70" s="2824">
        <f t="shared" si="18"/>
        <v>42826</v>
      </c>
      <c r="G70" s="2824">
        <f t="shared" si="18"/>
        <v>42736</v>
      </c>
      <c r="H70" s="2824">
        <f t="shared" si="18"/>
        <v>42644</v>
      </c>
      <c r="I70" s="2824">
        <f t="shared" si="18"/>
        <v>42552</v>
      </c>
      <c r="J70" s="2824">
        <f t="shared" si="18"/>
        <v>42461</v>
      </c>
      <c r="K70" s="2824">
        <f t="shared" si="18"/>
        <v>42370</v>
      </c>
      <c r="L70" s="2824">
        <f t="shared" si="18"/>
        <v>42278</v>
      </c>
      <c r="M70" s="2824">
        <f t="shared" si="18"/>
        <v>42186</v>
      </c>
      <c r="N70" s="2824">
        <f t="shared" si="18"/>
        <v>42095</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2536</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2651</v>
      </c>
      <c r="B73" s="478" t="str">
        <f>"北京市平均增长率"&amp;TEXT(SUMIF(基准地价!N21:N25,A73,基准地价!P21:P25),"0.00%")</f>
        <v>北京市平均增长率2.30%</v>
      </c>
      <c r="C73" s="893">
        <v>100</v>
      </c>
      <c r="D73" s="729">
        <v>98</v>
      </c>
      <c r="E73" s="729">
        <v>96</v>
      </c>
      <c r="F73" s="729">
        <v>94</v>
      </c>
      <c r="G73" s="729">
        <v>92</v>
      </c>
      <c r="H73" s="729"/>
      <c r="I73" s="729"/>
      <c r="J73" s="729"/>
      <c r="K73" s="729"/>
      <c r="L73" s="729"/>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2650</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27">
      <c r="A77" s="663" t="s">
        <v>578</v>
      </c>
      <c r="B77" s="664" t="s">
        <v>535</v>
      </c>
      <c r="C77" s="3479" t="s">
        <v>3232</v>
      </c>
      <c r="D77" s="3479" t="s">
        <v>3233</v>
      </c>
      <c r="E77" s="3479" t="s">
        <v>3274</v>
      </c>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100</v>
      </c>
      <c r="E78" s="670">
        <v>100</v>
      </c>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0（含）-2</v>
      </c>
      <c r="D81" s="681" t="str">
        <f t="shared" ref="D81:L81" si="20">D82&amp;"（含）"&amp;"-"&amp;E82</f>
        <v>2（含）-4</v>
      </c>
      <c r="E81" s="681" t="str">
        <f t="shared" si="20"/>
        <v>4（含）-6</v>
      </c>
      <c r="F81" s="681" t="str">
        <f t="shared" si="20"/>
        <v>6（含）-8</v>
      </c>
      <c r="G81" s="681" t="str">
        <f t="shared" si="20"/>
        <v>8（含）-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2</v>
      </c>
      <c r="E82" s="540">
        <v>4</v>
      </c>
      <c r="F82" s="540">
        <v>6</v>
      </c>
      <c r="G82" s="540">
        <v>8</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hidden="1"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hidden="1"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hidden="1"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2552</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2554</v>
      </c>
      <c r="C104" s="2622" t="s">
        <v>2555</v>
      </c>
      <c r="D104" s="2622" t="s">
        <v>2556</v>
      </c>
      <c r="E104" s="2622" t="s">
        <v>2557</v>
      </c>
      <c r="F104" s="2622" t="s">
        <v>2558</v>
      </c>
      <c r="G104" s="2622" t="s">
        <v>2559</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3480" t="s">
        <v>3234</v>
      </c>
      <c r="D108" s="3480" t="s">
        <v>3236</v>
      </c>
      <c r="E108" s="3480" t="s">
        <v>3238</v>
      </c>
      <c r="F108" s="3480" t="s">
        <v>3239</v>
      </c>
      <c r="G108" s="3480" t="s">
        <v>3240</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hidden="1"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9.25" thickTop="1">
      <c r="A118" s="663" t="s">
        <v>552</v>
      </c>
      <c r="B118" s="664" t="s">
        <v>594</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118" t="str">
        <f t="shared" si="25"/>
        <v>(含)-</v>
      </c>
      <c r="K118" s="3118" t="str">
        <f t="shared" si="25"/>
        <v>(含)-</v>
      </c>
      <c r="L118" s="3119" t="str">
        <f t="shared" si="25"/>
        <v>(含)-</v>
      </c>
      <c r="M118" s="312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v>200000</v>
      </c>
      <c r="H119" s="729">
        <v>250000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3481" t="s">
        <v>3242</v>
      </c>
      <c r="D121" s="3481" t="s">
        <v>3244</v>
      </c>
      <c r="E121" s="3481" t="s">
        <v>3245</v>
      </c>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3480" t="s">
        <v>3246</v>
      </c>
      <c r="D123" s="3480" t="s">
        <v>3248</v>
      </c>
      <c r="E123" s="3480" t="s">
        <v>3250</v>
      </c>
      <c r="F123" s="3481" t="s">
        <v>3251</v>
      </c>
      <c r="G123" s="3481" t="s">
        <v>3252</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5" t="s">
        <v>3253</v>
      </c>
      <c r="D125" s="1375" t="s">
        <v>3255</v>
      </c>
      <c r="E125" s="1375" t="s">
        <v>3256</v>
      </c>
      <c r="F125" s="1375" t="s">
        <v>3257</v>
      </c>
      <c r="G125" s="1375" t="s">
        <v>3258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3480" t="s">
        <v>3246</v>
      </c>
      <c r="D127" s="3480" t="s">
        <v>3248</v>
      </c>
      <c r="E127" s="3480" t="s">
        <v>3250</v>
      </c>
      <c r="F127" s="3481" t="s">
        <v>3251</v>
      </c>
      <c r="G127" s="3481" t="s">
        <v>3252</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hidden="1"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G19" sqref="G19"/>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2660</v>
      </c>
      <c r="B1" s="2916" t="s">
        <v>2757</v>
      </c>
    </row>
    <row r="2" spans="1:55" s="2920" customFormat="1" ht="15" thickTop="1">
      <c r="A2" s="2918" t="s">
        <v>2664</v>
      </c>
      <c r="B2" s="2919" t="str">
        <f>'预评函-封皮'!B37</f>
        <v>湖北省武汉市经济技术开发区55R2地块1宗住宅、商业用途出让国有建设用地使用权抵押价格预评估</v>
      </c>
      <c r="AX2" s="2921"/>
      <c r="AZ2" s="2921"/>
      <c r="BA2" s="2922"/>
      <c r="BC2" s="2922"/>
    </row>
    <row r="3" spans="1:55" s="2923" customFormat="1">
      <c r="A3" s="2902" t="s">
        <v>2665</v>
      </c>
      <c r="B3" s="2905" t="str">
        <f>'预评函-封皮'!B40</f>
        <v>武汉统建城市开发有限责任公司</v>
      </c>
    </row>
    <row r="4" spans="1:55" s="2904" customFormat="1">
      <c r="A4" s="2902" t="s">
        <v>2666</v>
      </c>
      <c r="B4" s="2903" t="str">
        <f>'预评函-封皮'!B46</f>
        <v>王鹏、郑燚</v>
      </c>
      <c r="N4" s="2904" t="str">
        <f>'预评函-1'!A28</f>
        <v/>
      </c>
    </row>
    <row r="5" spans="1:55" s="2917" customFormat="1" ht="15" thickBot="1">
      <c r="A5" s="2924" t="s">
        <v>2667</v>
      </c>
      <c r="B5" s="2925" t="str">
        <f>'预评函-封皮'!B49</f>
        <v>康正预评字号</v>
      </c>
    </row>
    <row r="6" spans="1:55" s="2926" customFormat="1" ht="15" thickTop="1">
      <c r="A6" s="2918" t="s">
        <v>2709</v>
      </c>
      <c r="B6" s="2919" t="str">
        <f>'预评函-1'!A4</f>
        <v>受贵公司委托，我公司对湖北省武汉市经济技术开发区55R2地块1宗住宅、商业用途出让国有建设用地使用权抵押价格进行了预评估。</v>
      </c>
      <c r="AM6" s="2927"/>
    </row>
    <row r="7" spans="1:55" s="2901" customFormat="1">
      <c r="A7" s="2902" t="s">
        <v>2661</v>
      </c>
      <c r="B7" s="2903" t="str">
        <f>'预评函-1'!A6</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8" spans="1:55" s="2901" customFormat="1">
      <c r="A8" s="2902" t="s">
        <v>2662</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2712</v>
      </c>
      <c r="B9" s="2903"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2663</v>
      </c>
      <c r="B10" s="2903" t="str">
        <f>'预评函-1'!A11</f>
        <v>2018年1月31日（评估专业人员勘察现场之日）</v>
      </c>
    </row>
    <row r="11" spans="1:55" s="2901" customFormat="1">
      <c r="A11" s="2902" t="s">
        <v>2669</v>
      </c>
      <c r="B11" s="2903" t="str">
        <f>'预评函-1'!A14</f>
        <v>根据《不动产权证书》[鄂（2017）武汉市经开不动产权第0005412号]，本次评估估价对象证载（地类）用途为城镇住宅用地。</v>
      </c>
    </row>
    <row r="12" spans="1:55" s="2901" customFormat="1">
      <c r="A12" s="2902" t="s">
        <v>2670</v>
      </c>
      <c r="B12" s="2903" t="str">
        <f>'预评函-1'!A15</f>
        <v>本次评估设定用途即为证载用途住宅。</v>
      </c>
    </row>
    <row r="13" spans="1:55" s="2901" customFormat="1">
      <c r="A13" s="2902" t="s">
        <v>2671</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2672</v>
      </c>
      <c r="B14" s="2903" t="str">
        <f>'预评函-1'!A18</f>
        <v>。本次评估设定土地开发程度为红线外市政基础设施达“七通”、宗地红线内场地平整。</v>
      </c>
    </row>
    <row r="15" spans="1:55" s="2901" customFormat="1">
      <c r="A15" s="2902" t="s">
        <v>2668</v>
      </c>
      <c r="B15" s="2903" t="str">
        <f>'预评函-1'!A20</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16" spans="1:55" s="2901" customFormat="1">
      <c r="A16" s="2902" t="s">
        <v>2673</v>
      </c>
      <c r="B16" s="2903" t="str">
        <f>'预评函-1'!A22</f>
        <v>本次估价对象为出让国有建设用地使用权，《不动产权证书》[鄂（2017）武汉市经开不动产权第0005412号]证载土地终止日期为住宅2087年1月22日。截至估价期日，出让国有建设用地使用权剩余土地使用年限为住宅剩余69.02年。</v>
      </c>
    </row>
    <row r="17" spans="1:48" s="2901" customFormat="1">
      <c r="A17" s="2902" t="s">
        <v>2674</v>
      </c>
      <c r="B17" s="2903" t="str">
        <f>'预评函-1'!A23</f>
        <v>本次评估设定估价对象剩余土地使用年限为住宅剩余69.02年。</v>
      </c>
    </row>
    <row r="18" spans="1:48" s="2901" customFormat="1">
      <c r="A18" s="2902" t="s">
        <v>2675</v>
      </c>
      <c r="B18" s="2903" t="str">
        <f>'预评函-1'!A25</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19" spans="1:48" s="2901" customFormat="1">
      <c r="A19" s="2902" t="s">
        <v>2676</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2677</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2678</v>
      </c>
      <c r="B21" s="2925" t="str">
        <f>'预评函-1'!A28</f>
        <v/>
      </c>
    </row>
    <row r="22" spans="1:48" ht="15" thickTop="1">
      <c r="A22" s="2913" t="s">
        <v>2679</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2680</v>
      </c>
      <c r="B23" s="2903" t="str">
        <f>'预评函-2'!K2</f>
        <v>估价期日：2018年1月31日</v>
      </c>
    </row>
    <row r="24" spans="1:48">
      <c r="A24" s="2902" t="s">
        <v>2681</v>
      </c>
      <c r="B24" s="2903" t="str">
        <f>'预评函-2'!R2</f>
        <v>估价期日的国有建设用地使用权性质：出让</v>
      </c>
    </row>
    <row r="25" spans="1:48">
      <c r="A25" s="2902" t="s">
        <v>2737</v>
      </c>
      <c r="B25" s="2903" t="str">
        <f>'预评函-2'!A3</f>
        <v>估价期日土地使用者</v>
      </c>
    </row>
    <row r="26" spans="1:48">
      <c r="A26" s="2902" t="s">
        <v>2713</v>
      </c>
      <c r="B26" s="2903" t="str">
        <f>'预评函-2'!A5</f>
        <v>中信开发</v>
      </c>
    </row>
    <row r="27" spans="1:48">
      <c r="A27" s="2902" t="s">
        <v>2738</v>
      </c>
      <c r="B27" s="2903" t="str">
        <f>'预评函-2'!B3</f>
        <v>宗地编号/不动产单元号</v>
      </c>
    </row>
    <row r="28" spans="1:48">
      <c r="A28" s="2902" t="s">
        <v>2714</v>
      </c>
      <c r="B28" s="2903" t="str">
        <f>'预评函-2'!B5</f>
        <v>11111111111</v>
      </c>
    </row>
    <row r="29" spans="1:48">
      <c r="A29" s="2902" t="s">
        <v>2740</v>
      </c>
      <c r="B29" s="2903">
        <f>'预评函-2'!C5</f>
        <v>22</v>
      </c>
    </row>
    <row r="30" spans="1:48">
      <c r="A30" s="2902" t="s">
        <v>2741</v>
      </c>
      <c r="B30" s="2903" t="str">
        <f>'预评函-2'!D3</f>
        <v>土地使用证编号/不动产权证书编号</v>
      </c>
    </row>
    <row r="31" spans="1:48">
      <c r="A31" s="2902" t="s">
        <v>2715</v>
      </c>
      <c r="B31" s="2903" t="str">
        <f>'预评函-2'!D5</f>
        <v>京国土字第111号</v>
      </c>
    </row>
    <row r="32" spans="1:48">
      <c r="A32" s="2902" t="s">
        <v>2716</v>
      </c>
      <c r="B32" s="2903" t="str">
        <f>'预评函-2'!E5</f>
        <v>城镇住宅用地</v>
      </c>
      <c r="AV32" s="2907"/>
    </row>
    <row r="33" spans="1:2">
      <c r="A33" s="2902" t="s">
        <v>2717</v>
      </c>
      <c r="B33" s="2903">
        <f>'预评函-2'!F5</f>
        <v>258</v>
      </c>
    </row>
    <row r="34" spans="1:2">
      <c r="A34" s="2902" t="s">
        <v>2718</v>
      </c>
      <c r="B34" s="2903" t="str">
        <f>'预评函-2'!G5</f>
        <v>住宅</v>
      </c>
    </row>
    <row r="35" spans="1:2">
      <c r="A35" s="2902" t="s">
        <v>2719</v>
      </c>
      <c r="B35" s="2903">
        <f>'预评函-2'!H5</f>
        <v>1.5</v>
      </c>
    </row>
    <row r="36" spans="1:2">
      <c r="A36" s="2902" t="s">
        <v>2720</v>
      </c>
      <c r="B36" s="2903">
        <f>'预评函-2'!I5</f>
        <v>1.5</v>
      </c>
    </row>
    <row r="37" spans="1:2">
      <c r="A37" s="2902" t="s">
        <v>2721</v>
      </c>
      <c r="B37" s="2903">
        <f>'预评函-2'!J5</f>
        <v>1.5</v>
      </c>
    </row>
    <row r="38" spans="1:2">
      <c r="A38" s="2902" t="s">
        <v>2722</v>
      </c>
      <c r="B38" s="2903" t="str">
        <f>'预评函-2'!K5</f>
        <v>红线外七通、宗地红线内</v>
      </c>
    </row>
    <row r="39" spans="1:2">
      <c r="A39" s="2902" t="s">
        <v>2723</v>
      </c>
      <c r="B39" s="2903" t="str">
        <f>'预评函-2'!L5</f>
        <v>红线外七通、宗地红线内场地平整</v>
      </c>
    </row>
    <row r="40" spans="1:2">
      <c r="A40" s="2902" t="s">
        <v>2742</v>
      </c>
      <c r="B40" s="2903" t="str">
        <f>'预评函-2'!M3</f>
        <v>（剩余）土地使用年限/年</v>
      </c>
    </row>
    <row r="41" spans="1:2">
      <c r="A41" s="2902" t="s">
        <v>2724</v>
      </c>
      <c r="B41" s="2903" t="str">
        <f>'预评函-2'!M5</f>
        <v>住宅剩余69.02年</v>
      </c>
    </row>
    <row r="42" spans="1:2">
      <c r="A42" s="2902" t="s">
        <v>2743</v>
      </c>
      <c r="B42" s="2903" t="str">
        <f>'预评函-2'!N3</f>
        <v>（分摊）出让国有建设用地使用权面积/㎡</v>
      </c>
    </row>
    <row r="43" spans="1:2">
      <c r="A43" s="2902" t="s">
        <v>2725</v>
      </c>
      <c r="B43" s="2903">
        <f>'预评函-2'!N5</f>
        <v>63612.12</v>
      </c>
    </row>
    <row r="44" spans="1:2">
      <c r="A44" s="2902" t="s">
        <v>2744</v>
      </c>
      <c r="B44" s="2903" t="str">
        <f>'预评函-2'!O3</f>
        <v>规划建筑面积/㎡</v>
      </c>
    </row>
    <row r="45" spans="1:2">
      <c r="A45" s="2902" t="s">
        <v>2726</v>
      </c>
      <c r="B45" s="2903">
        <f>'预评函-2'!O5</f>
        <v>146307.88</v>
      </c>
    </row>
    <row r="46" spans="1:2">
      <c r="A46" s="2902" t="s">
        <v>2727</v>
      </c>
      <c r="B46" s="2903">
        <f ca="1">'预评函-2'!P5</f>
        <v>18008</v>
      </c>
    </row>
    <row r="47" spans="1:2">
      <c r="A47" s="2902" t="s">
        <v>2728</v>
      </c>
      <c r="B47" s="2903">
        <f ca="1">'预评函-2'!Q5</f>
        <v>7830</v>
      </c>
    </row>
    <row r="48" spans="1:2">
      <c r="A48" s="2902" t="s">
        <v>2729</v>
      </c>
      <c r="B48" s="2903">
        <f ca="1">'预评函-2'!R5</f>
        <v>114555</v>
      </c>
    </row>
    <row r="49" spans="1:2">
      <c r="A49" s="2902" t="s">
        <v>2745</v>
      </c>
      <c r="B49" s="2903" t="str">
        <f>'预评函-2'!A6</f>
        <v>抵押价格</v>
      </c>
    </row>
    <row r="50" spans="1:2">
      <c r="A50" s="2902" t="s">
        <v>2730</v>
      </c>
      <c r="B50" s="2903">
        <f ca="1">'预评函-2'!R6</f>
        <v>114555</v>
      </c>
    </row>
    <row r="51" spans="1:2">
      <c r="A51" s="2902" t="s">
        <v>2746</v>
      </c>
      <c r="B51" s="2903" t="str">
        <f>'预评函-2'!A7</f>
        <v>——</v>
      </c>
    </row>
    <row r="52" spans="1:2">
      <c r="A52" s="2902" t="s">
        <v>2731</v>
      </c>
      <c r="B52" s="2903" t="str">
        <f>'预评函-2'!R7</f>
        <v>——</v>
      </c>
    </row>
    <row r="53" spans="1:2">
      <c r="A53" s="2902" t="s">
        <v>2747</v>
      </c>
      <c r="B53" s="2903" t="str">
        <f>'预评函-2'!A8</f>
        <v>——</v>
      </c>
    </row>
    <row r="54" spans="1:2" s="2917" customFormat="1" ht="15" thickBot="1">
      <c r="A54" s="2924" t="s">
        <v>2732</v>
      </c>
      <c r="B54" s="2925" t="str">
        <f>'预评函-2'!R8</f>
        <v>——</v>
      </c>
    </row>
    <row r="55" spans="1:2" ht="15" thickTop="1">
      <c r="A55" s="2913" t="s">
        <v>2682</v>
      </c>
      <c r="B55" s="2914" t="str">
        <f>'预评函-3'!A2</f>
        <v>1.权利限制：根据估价对象《不动产权证书》原件，截至估价期日，估价对象抵押权未见登记。未设定租赁等其他他项权利。</v>
      </c>
    </row>
    <row r="56" spans="1:2">
      <c r="A56" s="2902" t="s">
        <v>2683</v>
      </c>
      <c r="B56" s="2903" t="str">
        <f>'预评函-3'!A3</f>
        <v>2.基础设施条件：估价对象实际开发程度为红线外七通、宗地红线内；本次评估设定开发程度为红线外七通、宗地红线内场地平整。</v>
      </c>
    </row>
    <row r="57" spans="1:2">
      <c r="A57" s="2902" t="s">
        <v>2684</v>
      </c>
      <c r="B57" s="2903" t="str">
        <f>'预评函-3'!A4</f>
        <v>3.估价规划限制条件：详见《国有建设用地使用权出让合同》[合同编号：WH(WJK)-2017-00001]及附件。</v>
      </c>
    </row>
    <row r="58" spans="1:2" s="2917" customFormat="1" ht="15" thickBot="1">
      <c r="A58" s="2924" t="s">
        <v>2733</v>
      </c>
      <c r="B58" s="2925" t="str">
        <f>'预评函-3'!A5</f>
        <v>4.影响价格的其他限定条件：无。</v>
      </c>
    </row>
    <row r="59" spans="1:2" ht="15" thickTop="1">
      <c r="A59" s="2913" t="s">
        <v>2685</v>
      </c>
      <c r="B59" s="2914" t="str">
        <f>'预评函-3'!A8</f>
        <v>2.本《评估意见函》仅供金融机构进行内部审核使用，不做其他目的之用。</v>
      </c>
    </row>
    <row r="60" spans="1:2">
      <c r="A60" s="2902" t="s">
        <v>2686</v>
      </c>
      <c r="B60" s="2903" t="str">
        <f>'预评函-3'!A9</f>
        <v>3.抵押双方在办理抵押登记手续时，应使用本公司出具的正式《土地估价报告》，特提请报告使用者注意。</v>
      </c>
    </row>
    <row r="61" spans="1:2">
      <c r="A61" s="2902" t="s">
        <v>2688</v>
      </c>
      <c r="B61" s="2903" t="str">
        <f>'预评函-3'!A10</f>
        <v>4.估价师所知悉的法定优先受偿款情况为：</v>
      </c>
    </row>
    <row r="62" spans="1:2">
      <c r="A62" s="2902" t="s">
        <v>2687</v>
      </c>
      <c r="B62" s="2903" t="str">
        <f>'预评函-3'!A11</f>
        <v>（1）根据估价对象《不动产权证书》原件，截至估价期日，估价对象抵押权未见登记。</v>
      </c>
    </row>
    <row r="63" spans="1:2">
      <c r="A63" s="2902" t="s">
        <v>2689</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2690</v>
      </c>
      <c r="B64" s="2908" t="str">
        <f>'预评函-3'!A13</f>
        <v>（3）。</v>
      </c>
    </row>
    <row r="65" spans="1:2">
      <c r="A65" s="2902" t="s">
        <v>2691</v>
      </c>
      <c r="B65" s="2909" t="str">
        <f>'预评函-3'!A14</f>
        <v>综上，本次评估不存在估价师知悉的法定优先受偿款</v>
      </c>
    </row>
    <row r="66" spans="1:2">
      <c r="A66" s="2902" t="s">
        <v>2692</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2693</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2696</v>
      </c>
      <c r="B68" s="2928">
        <f>'预评函-3'!D30</f>
        <v>42558</v>
      </c>
    </row>
    <row r="69" spans="1:2" ht="15" thickTop="1">
      <c r="A69" s="2913" t="s">
        <v>2694</v>
      </c>
      <c r="B69" s="2914" t="str">
        <f>'预评函-3'!A20</f>
        <v>王鹏</v>
      </c>
    </row>
    <row r="70" spans="1:2">
      <c r="A70" s="2902" t="s">
        <v>2694</v>
      </c>
      <c r="B70" s="2909">
        <f ca="1">'预评函-3'!B20</f>
        <v>2002110030</v>
      </c>
    </row>
    <row r="71" spans="1:2">
      <c r="A71" s="2902" t="s">
        <v>2695</v>
      </c>
      <c r="B71" s="2903" t="str">
        <f>'预评函-3'!A21</f>
        <v>郑燚</v>
      </c>
    </row>
    <row r="72" spans="1:2" s="2917" customFormat="1" ht="15" thickBot="1">
      <c r="A72" s="2924" t="s">
        <v>2695</v>
      </c>
      <c r="B72" s="2930">
        <f>'预评函-3'!B21</f>
        <v>2014110011</v>
      </c>
    </row>
    <row r="73" spans="1:2" ht="15" thickTop="1">
      <c r="A73" s="2913" t="s">
        <v>2754</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2755</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2756</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2791</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00B0F0"/>
    <pageSetUpPr fitToPage="1"/>
  </sheetPr>
  <dimension ref="A1:AE38"/>
  <sheetViews>
    <sheetView topLeftCell="A28" workbookViewId="0">
      <selection activeCell="M21" sqref="M2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1">
        <f>MATCH(B1,'数据-取费表'!A6:A16,0)+5</f>
        <v>7</v>
      </c>
    </row>
    <row r="2" spans="1:31" s="2041" customFormat="1" ht="18" customHeight="1">
      <c r="A2" s="2101" t="s">
        <v>467</v>
      </c>
      <c r="B2" s="2105">
        <f ca="1">C36</f>
        <v>130206</v>
      </c>
      <c r="C2" s="2104"/>
      <c r="D2" s="2104"/>
      <c r="E2" s="2104"/>
      <c r="F2" s="2104"/>
      <c r="G2" s="2104"/>
      <c r="H2" s="2104"/>
      <c r="I2" s="2104"/>
      <c r="J2" s="2104"/>
      <c r="K2" s="2104"/>
    </row>
    <row r="3" spans="1:31" s="2041" customFormat="1" ht="18" customHeight="1">
      <c r="A3" s="2106" t="s">
        <v>1686</v>
      </c>
      <c r="B3" s="2107">
        <f ca="1">ROUND(B2*10000/IF(B1="",'数据-汇总表'!E3,INDIRECT("'数据-取费表'!K"&amp;$K$1)),0)</f>
        <v>8899</v>
      </c>
      <c r="C3" s="2104"/>
      <c r="D3" s="2104"/>
      <c r="E3" s="2104"/>
      <c r="F3" s="2104"/>
      <c r="G3" s="2104"/>
      <c r="H3" s="2104"/>
      <c r="I3" s="2104"/>
      <c r="J3" s="2104"/>
      <c r="K3" s="2104"/>
    </row>
    <row r="4" spans="1:31" s="2041" customFormat="1" ht="18" customHeight="1">
      <c r="A4" s="425" t="s">
        <v>468</v>
      </c>
      <c r="B4" s="426">
        <f ca="1">ROUND(B2*10000/IF(B1="",'数据-汇总表'!D3,INDIRECT("'数据-取费表'!R"&amp;$K$1)),0)</f>
        <v>20469</v>
      </c>
      <c r="C4" s="427"/>
      <c r="D4" s="421"/>
      <c r="E4" s="421"/>
      <c r="F4" s="421"/>
      <c r="G4" s="421"/>
      <c r="H4" s="421"/>
      <c r="I4" s="421"/>
      <c r="J4" s="421"/>
      <c r="K4" s="421"/>
    </row>
    <row r="5" spans="1:31" s="2041" customFormat="1" ht="18" customHeight="1" thickBot="1">
      <c r="A5" s="428"/>
      <c r="B5" s="429">
        <f ca="1">ROUND(B2/(IF(B1="",'数据-汇总表'!D3,INDIRECT("'数据-取费表'!R"&amp;$K$1))/666.67),0)</f>
        <v>1365</v>
      </c>
      <c r="C5" s="430" t="s">
        <v>469</v>
      </c>
      <c r="D5" s="421"/>
      <c r="E5" s="421"/>
      <c r="F5" s="421"/>
      <c r="G5" s="421"/>
      <c r="H5" s="421"/>
      <c r="I5" s="421"/>
      <c r="J5" s="421"/>
      <c r="K5" s="421"/>
    </row>
    <row r="6" spans="1:31" s="2111" customFormat="1" ht="16.5" customHeight="1">
      <c r="A6" s="2853" t="s">
        <v>1844</v>
      </c>
      <c r="B6" s="2854"/>
      <c r="C6" s="2855">
        <f>SUM(C10:K10)</f>
        <v>235161</v>
      </c>
      <c r="D6" s="2854"/>
      <c r="E6" s="2854"/>
      <c r="F6" s="2854"/>
      <c r="G6" s="2854"/>
      <c r="H6" s="2854"/>
      <c r="I6" s="2854"/>
      <c r="J6" s="2854"/>
      <c r="K6" s="2856"/>
    </row>
    <row r="7" spans="1:31" s="2113" customFormat="1" ht="15">
      <c r="A7" s="2857" t="s">
        <v>470</v>
      </c>
      <c r="B7" s="2858" t="s">
        <v>471</v>
      </c>
      <c r="C7" s="435" t="s">
        <v>924</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0" t="s">
        <v>472</v>
      </c>
      <c r="C8" s="2859">
        <f>'不动产比较法-住宅'!B3</f>
        <v>16073</v>
      </c>
      <c r="D8" s="2859"/>
      <c r="E8" s="2859"/>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0" t="s">
        <v>473</v>
      </c>
      <c r="C9" s="440">
        <f>SUMIF('数据-汇总表'!$C19:$C33,'剩余法-待开发'!C7,'数据-汇总表'!$E19:$E33)</f>
        <v>146307.88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3054">
        <f>'不动产比较法-住宅'!B2</f>
        <v>235161</v>
      </c>
      <c r="D10" s="3054"/>
      <c r="E10" s="3054"/>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49">
        <f ca="1">IF(B1="",'数据-取费表'!P16,INDIRECT("'数据-取费表'!p"&amp;$K$1)+INDIRECT("'数据-取费表'!t"&amp;$K$1))</f>
        <v>35114</v>
      </c>
      <c r="D13" s="2869"/>
      <c r="E13" s="2870"/>
      <c r="F13" s="2871"/>
      <c r="G13" s="2837"/>
      <c r="H13" s="2838"/>
      <c r="I13" s="2838"/>
      <c r="J13" s="2838"/>
      <c r="K13" s="2839"/>
    </row>
    <row r="14" spans="1:31" s="2116" customFormat="1" ht="13.5" customHeight="1">
      <c r="A14" s="2867" t="s">
        <v>1851</v>
      </c>
      <c r="B14" s="2868" t="s">
        <v>480</v>
      </c>
      <c r="C14" s="53">
        <f ca="1">ROUND(C13*F14,0)</f>
        <v>1053</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1756</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2195</v>
      </c>
      <c r="D16" s="2869">
        <f ca="1">IF(B1="",'数据-汇总表'!E3,INDIRECT("'数据-取费表'!K"&amp;$K$1)+INDIRECT("'数据-取费表'!S"&amp;$K$1))</f>
        <v>146307.88</v>
      </c>
      <c r="E16" s="53">
        <f>'数据-取费表'!B35</f>
        <v>150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527</v>
      </c>
      <c r="D17" s="474"/>
      <c r="E17" s="2873"/>
      <c r="F17" s="2874">
        <f>'数据-取费表'!B36</f>
        <v>1.4999999999999999E-2</v>
      </c>
      <c r="G17" s="260" t="s">
        <v>486</v>
      </c>
      <c r="H17" s="2840"/>
      <c r="I17" s="2840"/>
      <c r="J17" s="2840"/>
      <c r="K17" s="278"/>
    </row>
    <row r="18" spans="1:14" s="2116" customFormat="1" ht="13.5" customHeight="1">
      <c r="A18" s="2875" t="s">
        <v>1855</v>
      </c>
      <c r="B18" s="2876" t="s">
        <v>487</v>
      </c>
      <c r="C18" s="2877">
        <f ca="1">SUM(C13:C17)</f>
        <v>40645</v>
      </c>
      <c r="D18" s="2878"/>
      <c r="E18" s="467"/>
      <c r="F18" s="467"/>
      <c r="G18" s="2841" t="s">
        <v>2432</v>
      </c>
      <c r="H18" s="2842"/>
      <c r="I18" s="2842"/>
      <c r="J18" s="2842"/>
      <c r="K18" s="2843"/>
    </row>
    <row r="19" spans="1:14" s="2116" customFormat="1" ht="13.5" customHeight="1">
      <c r="A19" s="2875" t="s">
        <v>1856</v>
      </c>
      <c r="B19" s="2876" t="s">
        <v>488</v>
      </c>
      <c r="C19" s="2833">
        <f ca="1">ROUND(D19*E19/10000,0)</f>
        <v>0</v>
      </c>
      <c r="D19" s="2879">
        <f ca="1">D16</f>
        <v>146307.88</v>
      </c>
      <c r="E19" s="2833">
        <f>'数据-取费表'!B32</f>
        <v>0</v>
      </c>
      <c r="F19" s="467"/>
      <c r="G19" s="2837" t="s">
        <v>489</v>
      </c>
      <c r="H19" s="2838"/>
      <c r="I19" s="2842"/>
      <c r="J19" s="2842"/>
      <c r="K19" s="2843"/>
    </row>
    <row r="20" spans="1:14" s="2116" customFormat="1" ht="13.5" customHeight="1">
      <c r="A20" s="2875" t="s">
        <v>1857</v>
      </c>
      <c r="B20" s="2876" t="s">
        <v>490</v>
      </c>
      <c r="C20" s="2833">
        <f ca="1">C21+C22-IF(B1="",'数据-取费表'!B29,IF(G20="已全部缴纳",C21+C22,H20))</f>
        <v>1756</v>
      </c>
      <c r="D20" s="2879"/>
      <c r="E20" s="2833"/>
      <c r="F20" s="2880"/>
      <c r="G20" s="3114"/>
      <c r="H20" s="2835"/>
      <c r="I20" s="2836" t="s">
        <v>2655</v>
      </c>
      <c r="J20" s="2842"/>
      <c r="K20" s="2843"/>
    </row>
    <row r="21" spans="1:14" s="2116" customFormat="1" ht="13.5" customHeight="1">
      <c r="A21" s="2867" t="s">
        <v>1858</v>
      </c>
      <c r="B21" s="2868" t="s">
        <v>491</v>
      </c>
      <c r="C21" s="53">
        <f ca="1">ROUND(D21*E21/10000,0)</f>
        <v>1756</v>
      </c>
      <c r="D21" s="2869">
        <f ca="1">IF(B1="",'数据-汇总表'!E5,IF(INDIRECT("'数据-取费表'!c"&amp;$K$1)="住宅",INDIRECT("'数据-取费表'!k"&amp;$K$1),0))</f>
        <v>146307.88</v>
      </c>
      <c r="E21" s="53">
        <f>'数据-取费表'!B27</f>
        <v>120</v>
      </c>
      <c r="F21" s="2872"/>
      <c r="G21" s="26"/>
      <c r="H21" s="51"/>
      <c r="I21" s="51"/>
      <c r="J21" s="51"/>
      <c r="K21" s="2844"/>
    </row>
    <row r="22" spans="1:14" s="2116" customFormat="1" ht="13.5" customHeight="1">
      <c r="A22" s="2867" t="s">
        <v>1859</v>
      </c>
      <c r="B22" s="2868" t="s">
        <v>492</v>
      </c>
      <c r="C22" s="53">
        <f ca="1">ROUND(D22*E22/10000,0)</f>
        <v>0</v>
      </c>
      <c r="D22" s="2869">
        <f ca="1">IF(B1="",'数据-汇总表'!E6,IF(INDIRECT("'数据-取费表'!c"&amp;$K$1)="住宅",INDIRECT("'数据-取费表'!s"&amp;$K$1),INDIRECT("'数据-取费表'!k"&amp;$K$1)+INDIRECT("'数据-取费表'!s"&amp;$K$1)))</f>
        <v>0</v>
      </c>
      <c r="E22" s="53">
        <f>'数据-取费表'!B28</f>
        <v>120</v>
      </c>
      <c r="F22" s="2872"/>
      <c r="G22" s="26"/>
      <c r="H22" s="51"/>
      <c r="I22" s="51"/>
      <c r="J22" s="51"/>
      <c r="K22" s="2844"/>
    </row>
    <row r="23" spans="1:14" s="2116" customFormat="1" ht="13.5" customHeight="1">
      <c r="A23" s="2875" t="s">
        <v>1860</v>
      </c>
      <c r="B23" s="3060" t="s">
        <v>2838</v>
      </c>
      <c r="C23" s="2877">
        <f ca="1">ROUND((C18+C19+C20)*F23,0)</f>
        <v>424</v>
      </c>
      <c r="D23" s="467"/>
      <c r="E23" s="467"/>
      <c r="F23" s="2881">
        <f>'数据-取费表'!B37</f>
        <v>0.01</v>
      </c>
      <c r="G23" s="2837" t="s">
        <v>2433</v>
      </c>
      <c r="H23" s="2838"/>
      <c r="I23" s="2838"/>
      <c r="J23" s="2838"/>
      <c r="K23" s="2839"/>
      <c r="L23" s="2118"/>
      <c r="M23" s="2118"/>
      <c r="N23" s="2118"/>
    </row>
    <row r="24" spans="1:14" s="2116" customFormat="1" ht="13.5" customHeight="1">
      <c r="A24" s="2875" t="s">
        <v>1861</v>
      </c>
      <c r="B24" s="3060" t="s">
        <v>2841</v>
      </c>
      <c r="C24" s="2877">
        <f>ROUND(C6*F24,0)</f>
        <v>2352</v>
      </c>
      <c r="D24" s="474"/>
      <c r="E24" s="472"/>
      <c r="F24" s="2881">
        <f>'数据-取费表'!B38</f>
        <v>0.01</v>
      </c>
      <c r="G24" s="2846" t="s">
        <v>499</v>
      </c>
      <c r="H24" s="2840"/>
      <c r="I24" s="2840"/>
      <c r="J24" s="2840"/>
      <c r="K24" s="278"/>
      <c r="L24" s="2118"/>
      <c r="M24" s="2118"/>
      <c r="N24" s="2118"/>
    </row>
    <row r="25" spans="1:14" s="2119" customFormat="1" ht="13.5" customHeight="1">
      <c r="A25" s="2875" t="s">
        <v>1862</v>
      </c>
      <c r="B25" s="3060" t="s">
        <v>2839</v>
      </c>
      <c r="C25" s="466">
        <f>ROUND(F25/(1+'数据-取费表'!C42),4)</f>
        <v>2.8899999999999999E-2</v>
      </c>
      <c r="D25" s="461" t="s">
        <v>2833</v>
      </c>
      <c r="E25" s="468"/>
      <c r="F25" s="2881">
        <f>'数据-取费表'!B48+'数据-取费表'!B49</f>
        <v>3.0499999999999999E-2</v>
      </c>
      <c r="G25" s="2845" t="s">
        <v>2291</v>
      </c>
      <c r="H25" s="2838"/>
      <c r="I25" s="2838"/>
      <c r="J25" s="2838"/>
      <c r="K25" s="2839"/>
    </row>
    <row r="26" spans="1:14" s="2118" customFormat="1" ht="13.5" customHeight="1">
      <c r="A26" s="2875" t="s">
        <v>1863</v>
      </c>
      <c r="B26" s="3061" t="s">
        <v>2840</v>
      </c>
      <c r="C26" s="2882">
        <f ca="1">C28</f>
        <v>2146</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2" t="s">
        <v>1858</v>
      </c>
      <c r="B27" s="2883" t="s">
        <v>496</v>
      </c>
      <c r="C27" s="2884">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40"/>
      <c r="I27" s="2840"/>
      <c r="J27" s="2840"/>
      <c r="K27" s="278"/>
    </row>
    <row r="28" spans="1:14" s="2120" customFormat="1" ht="13.5" customHeight="1">
      <c r="A28" s="802" t="s">
        <v>1859</v>
      </c>
      <c r="B28" s="2883" t="s">
        <v>2842</v>
      </c>
      <c r="C28" s="2885">
        <f ca="1">ROUND(IF('数据-取费表'!B22&lt;=1,(C18+C19+C20+C23+C24)*F26*'数据-取费表'!B24/2,(C18+C19+C20+C23+C24)*(POWER((1+F26),'数据-取费表'!B24/2)-1)),0)</f>
        <v>2146</v>
      </c>
      <c r="D28" s="471"/>
      <c r="E28" s="472"/>
      <c r="F28" s="473"/>
      <c r="G28" s="2596" t="str">
        <f>IF('数据-取费表'!B22&lt;=1,"（1）-（4）项×年利率×建设期÷2","（1）-（4）项×((1+年利率)^(建设期÷2)-1)")</f>
        <v>（1）-（4）项×((1+年利率)^(建设期÷2)-1)</v>
      </c>
      <c r="H28" s="2840"/>
      <c r="I28" s="2840"/>
      <c r="J28" s="2840"/>
      <c r="K28" s="278"/>
    </row>
    <row r="29" spans="1:14" s="2120" customFormat="1" ht="13.5" customHeight="1">
      <c r="A29" s="2886" t="s">
        <v>1864</v>
      </c>
      <c r="B29" s="2876" t="s">
        <v>497</v>
      </c>
      <c r="C29" s="2877">
        <f>ROUND(C6*F29/(1+'数据-取费表'!C42),0)</f>
        <v>13967</v>
      </c>
      <c r="D29" s="467"/>
      <c r="E29" s="467"/>
      <c r="F29" s="3062">
        <f>'数据-取费表'!B41</f>
        <v>6.2719999999999998E-2</v>
      </c>
      <c r="G29" s="2846" t="s">
        <v>498</v>
      </c>
      <c r="H29" s="2838"/>
      <c r="I29" s="2838"/>
      <c r="J29" s="2838"/>
      <c r="K29" s="2839"/>
    </row>
    <row r="30" spans="1:14" s="2121" customFormat="1" ht="13.5" customHeight="1">
      <c r="A30" s="1635" t="s">
        <v>1865</v>
      </c>
      <c r="B30" s="2887" t="s">
        <v>500</v>
      </c>
      <c r="C30" s="2882">
        <f ca="1">C31</f>
        <v>61290</v>
      </c>
      <c r="D30" s="476">
        <f ca="1">C32</f>
        <v>0.129</v>
      </c>
      <c r="E30" s="468" t="s">
        <v>495</v>
      </c>
      <c r="F30" s="470"/>
      <c r="G30" s="2837" t="s">
        <v>501</v>
      </c>
      <c r="H30" s="2838"/>
      <c r="I30" s="2838"/>
      <c r="J30" s="2838"/>
      <c r="K30" s="2839"/>
    </row>
    <row r="31" spans="1:14" s="2120" customFormat="1" ht="13.5" customHeight="1">
      <c r="A31" s="802" t="s">
        <v>1858</v>
      </c>
      <c r="B31" s="2883"/>
      <c r="C31" s="449">
        <f ca="1">C18+C19+C20+C23+C24+C26+C29</f>
        <v>61290</v>
      </c>
      <c r="D31" s="471"/>
      <c r="E31" s="472"/>
      <c r="F31" s="473"/>
      <c r="G31" s="260"/>
      <c r="H31" s="2840"/>
      <c r="I31" s="2840"/>
      <c r="J31" s="2840"/>
      <c r="K31" s="278"/>
    </row>
    <row r="32" spans="1:14" s="2120" customFormat="1" ht="13.5" customHeight="1">
      <c r="A32" s="802" t="s">
        <v>1859</v>
      </c>
      <c r="B32" s="2883"/>
      <c r="C32" s="53">
        <f ca="1">ROUND(C25+D26,4)</f>
        <v>0.129</v>
      </c>
      <c r="D32" s="471"/>
      <c r="E32" s="472"/>
      <c r="F32" s="473"/>
      <c r="G32" s="260"/>
      <c r="H32" s="2840"/>
      <c r="I32" s="2840"/>
      <c r="J32" s="2840"/>
      <c r="K32" s="278"/>
    </row>
    <row r="33" spans="1:11" s="2122" customFormat="1" ht="13.5" customHeight="1">
      <c r="A33" s="3059" t="s">
        <v>2837</v>
      </c>
      <c r="B33" s="3057" t="s">
        <v>2835</v>
      </c>
      <c r="C33" s="477">
        <f ca="1">C35</f>
        <v>6777</v>
      </c>
      <c r="D33" s="466">
        <f ca="1">C34</f>
        <v>0.15429999999999999</v>
      </c>
      <c r="E33" s="468" t="s">
        <v>495</v>
      </c>
      <c r="F33" s="478">
        <f ca="1">IF(B1="",'数据-取费表'!Q16,INDIRECT("'数据-取费表'!q"&amp;$K$1))</f>
        <v>0.15</v>
      </c>
      <c r="G33" s="2841"/>
      <c r="H33" s="2842"/>
      <c r="I33" s="2842"/>
      <c r="J33" s="2842"/>
      <c r="K33" s="2843"/>
    </row>
    <row r="34" spans="1:11" s="2123" customFormat="1" ht="13.5" customHeight="1">
      <c r="A34" s="374" t="s">
        <v>1858</v>
      </c>
      <c r="B34" s="2888" t="s">
        <v>502</v>
      </c>
      <c r="C34" s="471">
        <f ca="1">ROUND((1+C25)*F33,4)</f>
        <v>0.15429999999999999</v>
      </c>
      <c r="D34" s="471"/>
      <c r="E34" s="472"/>
      <c r="F34" s="479"/>
      <c r="G34" s="260" t="s">
        <v>2292</v>
      </c>
      <c r="H34" s="2840"/>
      <c r="I34" s="2840"/>
      <c r="J34" s="2840"/>
      <c r="K34" s="278"/>
    </row>
    <row r="35" spans="1:11" s="2123" customFormat="1" ht="13.5" customHeight="1" thickBot="1">
      <c r="A35" s="1636" t="s">
        <v>1859</v>
      </c>
      <c r="B35" s="3058" t="s">
        <v>2843</v>
      </c>
      <c r="C35" s="1628">
        <f ca="1">ROUND((C18+C19+C20+C23+C24)*F33,0)</f>
        <v>6777</v>
      </c>
      <c r="D35" s="1629"/>
      <c r="E35" s="2889"/>
      <c r="F35" s="1630"/>
      <c r="G35" s="2847"/>
      <c r="H35" s="2848"/>
      <c r="I35" s="2848"/>
      <c r="J35" s="2848"/>
      <c r="K35" s="2849"/>
    </row>
    <row r="36" spans="1:11" s="2085" customFormat="1" ht="13.5" customHeight="1" thickBot="1">
      <c r="A36" s="283" t="s">
        <v>1846</v>
      </c>
      <c r="B36" s="2851"/>
      <c r="C36" s="2890">
        <f ca="1">ROUND((C6-C30-C33)/(1+D30+D33),0)</f>
        <v>130206</v>
      </c>
      <c r="D36" s="2851"/>
      <c r="E36" s="2851"/>
      <c r="F36" s="2851"/>
      <c r="G36" s="2850" t="s">
        <v>2844</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4"/>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2656</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1850</v>
      </c>
      <c r="B13" s="448" t="s">
        <v>479</v>
      </c>
      <c r="C13" s="449">
        <f ca="1">IF(B1="",'数据-取费表'!M16,INDIRECT("'数据-取费表'!M"&amp;$K$1)+INDIRECT("'数据-取费表'!t"&amp;$K$1))</f>
        <v>35114</v>
      </c>
      <c r="D13" s="450"/>
      <c r="E13" s="364"/>
      <c r="F13" s="451"/>
      <c r="G13" s="443"/>
      <c r="H13" s="446"/>
      <c r="I13" s="446"/>
      <c r="J13" s="446"/>
      <c r="K13" s="447"/>
    </row>
    <row r="14" spans="1:41" s="2116" customFormat="1" ht="13.5" customHeight="1">
      <c r="A14" s="1633" t="s">
        <v>1851</v>
      </c>
      <c r="B14" s="448" t="s">
        <v>480</v>
      </c>
      <c r="C14" s="53">
        <f ca="1">ROUND(C13*F14,0)</f>
        <v>1053</v>
      </c>
      <c r="D14" s="450"/>
      <c r="E14" s="364"/>
      <c r="F14" s="452">
        <f>'数据-取费表'!B33</f>
        <v>0.03</v>
      </c>
      <c r="G14" s="443" t="s">
        <v>503</v>
      </c>
      <c r="H14" s="446"/>
      <c r="I14" s="446"/>
      <c r="J14" s="446"/>
      <c r="K14" s="447"/>
    </row>
    <row r="15" spans="1:41" s="2116" customFormat="1" ht="13.5" customHeight="1">
      <c r="A15" s="1633" t="s">
        <v>1852</v>
      </c>
      <c r="B15" s="448" t="s">
        <v>482</v>
      </c>
      <c r="C15" s="53">
        <f ca="1">ROUND(IF(B1="",SUMIF('数据-取费表'!C:C,"住宅",'数据-取费表'!M:M)*F15,IF(INDIRECT("'数据-取费表'!c"&amp;$K$1)="住宅",INDIRECT("'数据-取费表'!M"&amp;$K$1)*F15,0)),0)</f>
        <v>1756</v>
      </c>
      <c r="D15" s="450"/>
      <c r="E15" s="364"/>
      <c r="F15" s="452">
        <f>'数据-取费表'!B34</f>
        <v>0.05</v>
      </c>
      <c r="G15" s="443" t="s">
        <v>503</v>
      </c>
      <c r="H15" s="446"/>
      <c r="I15" s="446"/>
      <c r="J15" s="446"/>
      <c r="K15" s="447"/>
    </row>
    <row r="16" spans="1:41" s="2117" customFormat="1" ht="13.5" customHeight="1">
      <c r="A16" s="1633" t="s">
        <v>1853</v>
      </c>
      <c r="B16" s="448" t="s">
        <v>484</v>
      </c>
      <c r="C16" s="53">
        <f ca="1">ROUND(D16*E16/10000,0)</f>
        <v>2195</v>
      </c>
      <c r="D16" s="450">
        <f ca="1">IF(B1="",'数据-汇总表'!E3,INDIRECT("'数据-取费表'!K"&amp;$K$1)+INDIRECT("'数据-取费表'!S"&amp;$K$1))</f>
        <v>146307.88</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8" t="s">
        <v>485</v>
      </c>
      <c r="C17" s="453">
        <f ca="1">ROUND(C13*F17,0)</f>
        <v>527</v>
      </c>
      <c r="D17" s="454"/>
      <c r="E17" s="453"/>
      <c r="F17" s="455">
        <f>'数据-取费表'!B36</f>
        <v>1.4999999999999999E-2</v>
      </c>
      <c r="G17" s="443" t="s">
        <v>503</v>
      </c>
      <c r="H17" s="456"/>
      <c r="I17" s="456"/>
      <c r="J17" s="456"/>
      <c r="K17" s="457"/>
    </row>
    <row r="18" spans="1:14" s="2119" customFormat="1" ht="13.5" customHeight="1">
      <c r="A18" s="1634" t="s">
        <v>1855</v>
      </c>
      <c r="B18" s="458" t="s">
        <v>487</v>
      </c>
      <c r="C18" s="459">
        <f ca="1">SUM(C13:C17)</f>
        <v>40645</v>
      </c>
      <c r="D18" s="460"/>
      <c r="E18" s="461"/>
      <c r="F18" s="461"/>
      <c r="G18" s="1326" t="s">
        <v>2434</v>
      </c>
      <c r="H18" s="446"/>
      <c r="I18" s="446"/>
      <c r="J18" s="446"/>
      <c r="K18" s="447"/>
    </row>
    <row r="19" spans="1:14" s="2119" customFormat="1" ht="13.5" customHeight="1">
      <c r="A19" s="1634" t="s">
        <v>1856</v>
      </c>
      <c r="B19" s="458" t="s">
        <v>493</v>
      </c>
      <c r="C19" s="459">
        <f ca="1">ROUND(C18*F19,0)</f>
        <v>406</v>
      </c>
      <c r="D19" s="461"/>
      <c r="E19" s="461"/>
      <c r="F19" s="465">
        <f>'数据-取费表'!B37</f>
        <v>0.01</v>
      </c>
      <c r="G19" s="443" t="s">
        <v>504</v>
      </c>
      <c r="H19" s="446"/>
      <c r="I19" s="446"/>
      <c r="J19" s="446"/>
      <c r="K19" s="447"/>
      <c r="L19" s="2121"/>
      <c r="M19" s="2121"/>
      <c r="N19" s="2121"/>
    </row>
    <row r="20" spans="1:14" s="2119" customFormat="1" ht="13.5" customHeight="1">
      <c r="A20" s="1634" t="s">
        <v>1857</v>
      </c>
      <c r="B20" s="458" t="s">
        <v>505</v>
      </c>
      <c r="C20" s="3055">
        <f>F20</f>
        <v>0.01</v>
      </c>
      <c r="D20" s="468" t="s">
        <v>506</v>
      </c>
      <c r="E20" s="468"/>
      <c r="F20" s="485">
        <f>'数据-取费表'!B38</f>
        <v>0.01</v>
      </c>
      <c r="G20" s="1326" t="s">
        <v>507</v>
      </c>
      <c r="H20" s="446"/>
      <c r="I20" s="446"/>
      <c r="J20" s="446"/>
      <c r="K20" s="447"/>
      <c r="L20" s="2121"/>
      <c r="M20" s="2121"/>
      <c r="N20" s="2121"/>
    </row>
    <row r="21" spans="1:14" s="2121" customFormat="1" ht="13.5" customHeight="1">
      <c r="A21" s="1634" t="s">
        <v>1860</v>
      </c>
      <c r="B21" s="460" t="s">
        <v>494</v>
      </c>
      <c r="C21" s="469">
        <f ca="1">C22</f>
        <v>1950</v>
      </c>
      <c r="D21" s="466">
        <f ca="1">C23</f>
        <v>5.0000000000000001E-4</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3" t="s">
        <v>1850</v>
      </c>
      <c r="B22" s="1327" t="s">
        <v>2437</v>
      </c>
      <c r="C22" s="486">
        <f ca="1">ROUND(IF('数据-取费表'!B22&lt;=1,(C18+C19)*F21*'数据-取费表'!B20/2,(C18+C19)*(POWER((1+F21),'数据-取费表'!B20/2)-1)),0)</f>
        <v>1950</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1851</v>
      </c>
      <c r="B23" s="1327" t="s">
        <v>509</v>
      </c>
      <c r="C23" s="487">
        <f ca="1">ROUND(IF('数据-取费表'!B22&lt;=1,F20*F21*'数据-取费表'!B20/2,F20*(POWER((1+F21),'数据-取费表'!B20/2)-1)),4)</f>
        <v>5.0000000000000001E-4</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1861</v>
      </c>
      <c r="B24" s="3057" t="s">
        <v>2836</v>
      </c>
      <c r="C24" s="477">
        <f ca="1">C25</f>
        <v>6158</v>
      </c>
      <c r="D24" s="488">
        <f ca="1">C26</f>
        <v>1.5E-3</v>
      </c>
      <c r="E24" s="468" t="s">
        <v>508</v>
      </c>
      <c r="F24" s="478">
        <f ca="1">IF(B1="",'数据-取费表'!Q16,INDIRECT("'数据-取费表'!q"&amp;$K$1))</f>
        <v>0.15</v>
      </c>
      <c r="G24" s="443"/>
      <c r="H24" s="446"/>
      <c r="I24" s="446"/>
      <c r="J24" s="446"/>
      <c r="K24" s="447"/>
    </row>
    <row r="25" spans="1:14" s="2120" customFormat="1" ht="13.5" customHeight="1">
      <c r="A25" s="1633" t="s">
        <v>1850</v>
      </c>
      <c r="B25" s="1327" t="s">
        <v>2438</v>
      </c>
      <c r="C25" s="489">
        <f ca="1">ROUND((C18+C19)*F24,0)</f>
        <v>6158</v>
      </c>
      <c r="D25" s="471"/>
      <c r="E25" s="472"/>
      <c r="F25" s="479"/>
      <c r="G25" s="1325" t="s">
        <v>2435</v>
      </c>
      <c r="H25" s="456"/>
      <c r="I25" s="456"/>
      <c r="J25" s="456"/>
      <c r="K25" s="457"/>
    </row>
    <row r="26" spans="1:14" s="2120" customFormat="1" ht="13.5" customHeight="1">
      <c r="A26" s="1633" t="s">
        <v>1851</v>
      </c>
      <c r="B26" s="1327" t="s">
        <v>510</v>
      </c>
      <c r="C26" s="490">
        <f ca="1">ROUND(F20*F24,4)</f>
        <v>1.5E-3</v>
      </c>
      <c r="D26" s="471"/>
      <c r="E26" s="480"/>
      <c r="F26" s="479"/>
      <c r="G26" s="1325" t="s">
        <v>511</v>
      </c>
      <c r="H26" s="456"/>
      <c r="I26" s="456"/>
      <c r="J26" s="456"/>
      <c r="K26" s="457"/>
    </row>
    <row r="27" spans="1:14" s="2120" customFormat="1" ht="13.5" customHeight="1">
      <c r="A27" s="1637" t="s">
        <v>1869</v>
      </c>
      <c r="B27" s="458" t="s">
        <v>512</v>
      </c>
      <c r="C27" s="3056">
        <f>ROUND(F27/(1+'数据-取费表'!C42),4)</f>
        <v>5.9400000000000001E-2</v>
      </c>
      <c r="D27" s="461" t="s">
        <v>2834</v>
      </c>
      <c r="E27" s="461"/>
      <c r="F27" s="465">
        <f>'数据-取费表'!B41</f>
        <v>6.2719999999999998E-2</v>
      </c>
      <c r="G27" s="1960" t="s">
        <v>2293</v>
      </c>
      <c r="H27" s="446"/>
      <c r="I27" s="446"/>
      <c r="J27" s="446"/>
      <c r="K27" s="447"/>
    </row>
    <row r="28" spans="1:14" s="2121" customFormat="1" ht="13.5" customHeight="1">
      <c r="A28" s="1637" t="s">
        <v>1870</v>
      </c>
      <c r="B28" s="475" t="s">
        <v>513</v>
      </c>
      <c r="C28" s="469">
        <f ca="1">ROUND((C18+C19+C21+C24)/(1-C20-D21-D24-C27),0)</f>
        <v>52939</v>
      </c>
      <c r="D28" s="476"/>
      <c r="E28" s="468"/>
      <c r="F28" s="470"/>
      <c r="G28" s="1326" t="s">
        <v>2436</v>
      </c>
      <c r="H28" s="446"/>
      <c r="I28" s="446"/>
      <c r="J28" s="446"/>
      <c r="K28" s="447"/>
    </row>
    <row r="29" spans="1:14" s="2121"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6.2719999999999998E-2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2457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522</v>
      </c>
      <c r="B6" s="512"/>
      <c r="C6" s="3687" t="s">
        <v>523</v>
      </c>
      <c r="D6" s="3688"/>
      <c r="E6" s="3724" t="s">
        <v>524</v>
      </c>
      <c r="F6" s="3725"/>
      <c r="G6" s="3687" t="s">
        <v>525</v>
      </c>
      <c r="H6" s="3688"/>
      <c r="I6" s="3687" t="s">
        <v>526</v>
      </c>
      <c r="J6" s="3688"/>
      <c r="K6" s="513" t="s">
        <v>527</v>
      </c>
      <c r="L6" s="2133"/>
      <c r="M6" s="2134"/>
      <c r="N6" s="2134"/>
      <c r="O6" s="2134"/>
      <c r="P6" s="3689" t="s">
        <v>528</v>
      </c>
      <c r="Q6" s="3690"/>
      <c r="R6" s="3695" t="s">
        <v>524</v>
      </c>
      <c r="S6" s="3696"/>
      <c r="T6" s="3695" t="s">
        <v>525</v>
      </c>
      <c r="U6" s="3696"/>
      <c r="V6" s="3682" t="s">
        <v>526</v>
      </c>
      <c r="W6" s="3682"/>
      <c r="X6" s="1567"/>
      <c r="Y6" s="3695" t="s">
        <v>528</v>
      </c>
      <c r="Z6" s="3696"/>
      <c r="AA6" s="3684" t="s">
        <v>524</v>
      </c>
      <c r="AB6" s="3685" t="s">
        <v>525</v>
      </c>
      <c r="AC6" s="3684" t="s">
        <v>526</v>
      </c>
    </row>
    <row r="7" spans="1:29" ht="15">
      <c r="A7" s="514"/>
      <c r="B7" s="515"/>
      <c r="C7" s="3705" t="s">
        <v>2931</v>
      </c>
      <c r="D7" s="3704"/>
      <c r="E7" s="3726" t="s">
        <v>2932</v>
      </c>
      <c r="F7" s="3727"/>
      <c r="G7" s="3705" t="s">
        <v>2933</v>
      </c>
      <c r="H7" s="3704"/>
      <c r="I7" s="3705" t="s">
        <v>2934</v>
      </c>
      <c r="J7" s="3704"/>
      <c r="K7" s="513"/>
      <c r="L7" s="2133"/>
      <c r="M7" s="2134"/>
      <c r="N7" s="2134"/>
      <c r="O7" s="2134"/>
      <c r="P7" s="3691"/>
      <c r="Q7" s="3692"/>
      <c r="R7" s="3697"/>
      <c r="S7" s="3698"/>
      <c r="T7" s="3697"/>
      <c r="U7" s="3698"/>
      <c r="V7" s="3682"/>
      <c r="W7" s="3682"/>
      <c r="X7" s="1567"/>
      <c r="Y7" s="3697"/>
      <c r="Z7" s="3698"/>
      <c r="AA7" s="3685"/>
      <c r="AB7" s="3685"/>
      <c r="AC7" s="3685"/>
    </row>
    <row r="8" spans="1:29" ht="15.75" thickBot="1">
      <c r="A8" s="516"/>
      <c r="B8" s="517"/>
      <c r="C8" s="3721" t="s">
        <v>2935</v>
      </c>
      <c r="D8" s="3702"/>
      <c r="E8" s="3722" t="s">
        <v>2935</v>
      </c>
      <c r="F8" s="3723"/>
      <c r="G8" s="3721" t="s">
        <v>2935</v>
      </c>
      <c r="H8" s="3702"/>
      <c r="I8" s="3721" t="s">
        <v>2935</v>
      </c>
      <c r="J8" s="3702"/>
      <c r="K8" s="513" t="s">
        <v>529</v>
      </c>
      <c r="L8" s="2133"/>
      <c r="M8" s="2134"/>
      <c r="N8" s="2134"/>
      <c r="O8" s="2134"/>
      <c r="P8" s="3693"/>
      <c r="Q8" s="3694"/>
      <c r="R8" s="3697"/>
      <c r="S8" s="3698"/>
      <c r="T8" s="3699"/>
      <c r="U8" s="3700"/>
      <c r="V8" s="3682"/>
      <c r="W8" s="3682"/>
      <c r="X8" s="1567"/>
      <c r="Y8" s="3699"/>
      <c r="Z8" s="3700"/>
      <c r="AA8" s="3686"/>
      <c r="AB8" s="3686"/>
      <c r="AC8" s="3686"/>
    </row>
    <row r="9" spans="1:29" s="1219" customFormat="1" ht="15.75" thickBot="1">
      <c r="A9" s="2937"/>
      <c r="B9" s="2944" t="s">
        <v>530</v>
      </c>
      <c r="C9" s="518">
        <f>'数据-取费表'!B2</f>
        <v>43131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714" t="s">
        <v>531</v>
      </c>
      <c r="Q9" s="3716"/>
      <c r="R9" s="1568" t="s">
        <v>8</v>
      </c>
      <c r="S9" s="1569">
        <f t="shared" ref="S9:S17" si="0">F9</f>
        <v>0</v>
      </c>
      <c r="T9" s="1568" t="s">
        <v>8</v>
      </c>
      <c r="U9" s="1569">
        <f t="shared" ref="U9:U17" si="1">H9</f>
        <v>0</v>
      </c>
      <c r="V9" s="1568" t="s">
        <v>8</v>
      </c>
      <c r="W9" s="1569">
        <f t="shared" ref="W9:W17" si="2">J9</f>
        <v>0</v>
      </c>
      <c r="X9" s="1570"/>
      <c r="Y9" s="3714" t="s">
        <v>531</v>
      </c>
      <c r="Z9" s="3715"/>
      <c r="AA9" s="1571" t="e">
        <f>D9/F9</f>
        <v>#DIV/0!</v>
      </c>
      <c r="AB9" s="1571" t="e">
        <f>D9/H9</f>
        <v>#DIV/0!</v>
      </c>
      <c r="AC9" s="1571" t="e">
        <f>D9/J9</f>
        <v>#DIV/0!</v>
      </c>
    </row>
    <row r="10" spans="1:29" s="1219" customFormat="1" ht="15.75" thickBot="1">
      <c r="A10" s="2938"/>
      <c r="B10" s="2945"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714" t="s">
        <v>534</v>
      </c>
      <c r="Q10" s="3715"/>
      <c r="R10" s="1568" t="s">
        <v>8</v>
      </c>
      <c r="S10" s="1569">
        <f t="shared" si="0"/>
        <v>0</v>
      </c>
      <c r="T10" s="1568" t="s">
        <v>8</v>
      </c>
      <c r="U10" s="1569">
        <f t="shared" si="1"/>
        <v>0</v>
      </c>
      <c r="V10" s="1568" t="s">
        <v>8</v>
      </c>
      <c r="W10" s="1569">
        <f t="shared" si="2"/>
        <v>0</v>
      </c>
      <c r="X10" s="1570"/>
      <c r="Y10" s="3714" t="s">
        <v>534</v>
      </c>
      <c r="Z10" s="3715"/>
      <c r="AA10" s="1571" t="e">
        <f t="shared" ref="AA10:AA42" si="3">D10/F10</f>
        <v>#DIV/0!</v>
      </c>
      <c r="AB10" s="1571" t="e">
        <f t="shared" ref="AB10:AB42" si="4">D10/H10</f>
        <v>#DIV/0!</v>
      </c>
      <c r="AC10" s="1571" t="e">
        <f t="shared" ref="AC10:AC42" si="5">D10/J10</f>
        <v>#DIV/0!</v>
      </c>
    </row>
    <row r="11" spans="1:29" s="1219" customFormat="1" ht="15">
      <c r="A11" s="2939"/>
      <c r="B11" s="2946" t="s">
        <v>2760</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681" t="s">
        <v>536</v>
      </c>
      <c r="Q11" s="1150" t="str">
        <f t="shared" ref="Q11:Q17" si="6">B11</f>
        <v>用途</v>
      </c>
      <c r="R11" s="1568" t="s">
        <v>8</v>
      </c>
      <c r="S11" s="1569">
        <f t="shared" si="0"/>
        <v>100</v>
      </c>
      <c r="T11" s="1568" t="s">
        <v>8</v>
      </c>
      <c r="U11" s="1569">
        <f t="shared" si="1"/>
        <v>100</v>
      </c>
      <c r="V11" s="1568" t="s">
        <v>8</v>
      </c>
      <c r="W11" s="1569">
        <f t="shared" si="2"/>
        <v>100</v>
      </c>
      <c r="X11" s="1570"/>
      <c r="Y11" s="3627" t="s">
        <v>537</v>
      </c>
      <c r="Z11" s="1149" t="str">
        <f t="shared" ref="Z11:Z17" si="7">Q11</f>
        <v>用途</v>
      </c>
      <c r="AA11" s="1571">
        <f t="shared" si="3"/>
        <v>1</v>
      </c>
      <c r="AB11" s="1571">
        <f t="shared" si="4"/>
        <v>1</v>
      </c>
      <c r="AC11" s="1571">
        <f t="shared" si="5"/>
        <v>1</v>
      </c>
    </row>
    <row r="12" spans="1:29" s="1337" customFormat="1" ht="27">
      <c r="A12" s="2940"/>
      <c r="B12" s="2945" t="s">
        <v>2761</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681"/>
      <c r="Q12" s="1150" t="str">
        <f t="shared" si="6"/>
        <v>土地使用年限（年）</v>
      </c>
      <c r="R12" s="1568" t="s">
        <v>8</v>
      </c>
      <c r="S12" s="1569">
        <f t="shared" si="0"/>
        <v>100</v>
      </c>
      <c r="T12" s="1568" t="s">
        <v>8</v>
      </c>
      <c r="U12" s="1569">
        <f t="shared" si="1"/>
        <v>100</v>
      </c>
      <c r="V12" s="1568" t="s">
        <v>8</v>
      </c>
      <c r="W12" s="1569">
        <f t="shared" si="2"/>
        <v>100</v>
      </c>
      <c r="X12" s="1570"/>
      <c r="Y12" s="3627"/>
      <c r="Z12" s="1149" t="str">
        <f t="shared" si="7"/>
        <v>土地使用年限（年）</v>
      </c>
      <c r="AA12" s="1571">
        <f t="shared" si="3"/>
        <v>1</v>
      </c>
      <c r="AB12" s="1571">
        <f t="shared" si="4"/>
        <v>1</v>
      </c>
      <c r="AC12" s="1571">
        <f t="shared" si="5"/>
        <v>1</v>
      </c>
    </row>
    <row r="13" spans="1:29" ht="15">
      <c r="A13" s="2941"/>
      <c r="B13" s="2945"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681"/>
      <c r="Q13" s="1150" t="str">
        <f t="shared" si="6"/>
        <v>容积率</v>
      </c>
      <c r="R13" s="1568" t="s">
        <v>8</v>
      </c>
      <c r="S13" s="1569" t="e">
        <f t="shared" si="0"/>
        <v>#N/A</v>
      </c>
      <c r="T13" s="1568" t="s">
        <v>8</v>
      </c>
      <c r="U13" s="1569" t="e">
        <f t="shared" si="1"/>
        <v>#N/A</v>
      </c>
      <c r="V13" s="1568" t="s">
        <v>8</v>
      </c>
      <c r="W13" s="1569" t="e">
        <f t="shared" si="2"/>
        <v>#N/A</v>
      </c>
      <c r="X13" s="1570"/>
      <c r="Y13" s="3627"/>
      <c r="Z13" s="1149" t="str">
        <f t="shared" si="7"/>
        <v>容积率</v>
      </c>
      <c r="AA13" s="1571" t="e">
        <f t="shared" si="3"/>
        <v>#N/A</v>
      </c>
      <c r="AB13" s="1571" t="e">
        <f t="shared" si="4"/>
        <v>#N/A</v>
      </c>
      <c r="AC13" s="1571"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681"/>
      <c r="Q14" s="1150">
        <f t="shared" si="6"/>
        <v>111</v>
      </c>
      <c r="R14" s="1568" t="s">
        <v>8</v>
      </c>
      <c r="S14" s="1569">
        <f t="shared" si="0"/>
        <v>100</v>
      </c>
      <c r="T14" s="1568" t="s">
        <v>8</v>
      </c>
      <c r="U14" s="1569">
        <f t="shared" si="1"/>
        <v>100</v>
      </c>
      <c r="V14" s="1568" t="s">
        <v>8</v>
      </c>
      <c r="W14" s="1569">
        <f t="shared" si="2"/>
        <v>100</v>
      </c>
      <c r="X14" s="1570"/>
      <c r="Y14" s="3627"/>
      <c r="Z14" s="1149">
        <f t="shared" si="7"/>
        <v>111</v>
      </c>
      <c r="AA14" s="1571">
        <f>D14/F14</f>
        <v>1</v>
      </c>
      <c r="AB14" s="1571">
        <f>D14/H14</f>
        <v>1</v>
      </c>
      <c r="AC14" s="1571">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681"/>
      <c r="Q15" s="1150">
        <f t="shared" si="6"/>
        <v>111</v>
      </c>
      <c r="R15" s="1568" t="s">
        <v>8</v>
      </c>
      <c r="S15" s="1569">
        <f t="shared" si="0"/>
        <v>100</v>
      </c>
      <c r="T15" s="1568" t="s">
        <v>8</v>
      </c>
      <c r="U15" s="1569">
        <f t="shared" si="1"/>
        <v>100</v>
      </c>
      <c r="V15" s="1568" t="s">
        <v>8</v>
      </c>
      <c r="W15" s="1569">
        <f t="shared" si="2"/>
        <v>100</v>
      </c>
      <c r="X15" s="1570"/>
      <c r="Y15" s="3627"/>
      <c r="Z15" s="1149">
        <f t="shared" si="7"/>
        <v>111</v>
      </c>
      <c r="AA15" s="1571">
        <f t="shared" si="3"/>
        <v>1</v>
      </c>
      <c r="AB15" s="1571">
        <f t="shared" si="4"/>
        <v>1</v>
      </c>
      <c r="AC15" s="1571">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681"/>
      <c r="Q16" s="1150">
        <f t="shared" si="6"/>
        <v>111</v>
      </c>
      <c r="R16" s="1568" t="s">
        <v>8</v>
      </c>
      <c r="S16" s="1569">
        <f t="shared" si="0"/>
        <v>100</v>
      </c>
      <c r="T16" s="1568" t="s">
        <v>8</v>
      </c>
      <c r="U16" s="1569">
        <f t="shared" si="1"/>
        <v>100</v>
      </c>
      <c r="V16" s="1568" t="s">
        <v>8</v>
      </c>
      <c r="W16" s="1569">
        <f t="shared" si="2"/>
        <v>100</v>
      </c>
      <c r="X16" s="1570"/>
      <c r="Y16" s="3627"/>
      <c r="Z16" s="1149">
        <f t="shared" si="7"/>
        <v>111</v>
      </c>
      <c r="AA16" s="1571">
        <f t="shared" si="3"/>
        <v>1</v>
      </c>
      <c r="AB16" s="1571">
        <f t="shared" si="4"/>
        <v>1</v>
      </c>
      <c r="AC16" s="1571">
        <f t="shared" si="5"/>
        <v>1</v>
      </c>
    </row>
    <row r="17" spans="1:29" ht="57">
      <c r="A17" s="2935" t="s">
        <v>2758</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717" t="s">
        <v>541</v>
      </c>
      <c r="Q17" s="1572" t="str">
        <f t="shared" si="6"/>
        <v>产业集聚程度</v>
      </c>
      <c r="R17" s="1573" t="s">
        <v>8</v>
      </c>
      <c r="S17" s="1574">
        <f t="shared" si="0"/>
        <v>100</v>
      </c>
      <c r="T17" s="1573" t="s">
        <v>8</v>
      </c>
      <c r="U17" s="1574">
        <f t="shared" si="1"/>
        <v>100</v>
      </c>
      <c r="V17" s="1573" t="s">
        <v>8</v>
      </c>
      <c r="W17" s="1574">
        <f t="shared" si="2"/>
        <v>100</v>
      </c>
      <c r="X17" s="1567"/>
      <c r="Y17" s="3717"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3718"/>
      <c r="Q18" s="1572"/>
      <c r="R18" s="1573"/>
      <c r="S18" s="1574"/>
      <c r="T18" s="1573"/>
      <c r="U18" s="1574"/>
      <c r="V18" s="1573"/>
      <c r="W18" s="1574"/>
      <c r="X18" s="1567"/>
      <c r="Y18" s="3718"/>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718"/>
      <c r="Q19" s="1572" t="str">
        <f>B19</f>
        <v>交通便捷度</v>
      </c>
      <c r="R19" s="1573" t="s">
        <v>8</v>
      </c>
      <c r="S19" s="1574">
        <f>F19</f>
        <v>100</v>
      </c>
      <c r="T19" s="1573" t="s">
        <v>8</v>
      </c>
      <c r="U19" s="1574">
        <f>H19</f>
        <v>100</v>
      </c>
      <c r="V19" s="1573" t="s">
        <v>8</v>
      </c>
      <c r="W19" s="1574">
        <f>J19</f>
        <v>100</v>
      </c>
      <c r="X19" s="1567"/>
      <c r="Y19" s="3718"/>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3718"/>
      <c r="Q20" s="1572"/>
      <c r="R20" s="1573"/>
      <c r="S20" s="1574"/>
      <c r="T20" s="1573"/>
      <c r="U20" s="1574"/>
      <c r="V20" s="1573"/>
      <c r="W20" s="1574"/>
      <c r="X20" s="1567"/>
      <c r="Y20" s="3718"/>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718"/>
      <c r="Q21" s="1572" t="str">
        <f t="shared" ref="Q21:Q35" si="8">B21</f>
        <v>区域土地利用方向</v>
      </c>
      <c r="R21" s="1573" t="s">
        <v>8</v>
      </c>
      <c r="S21" s="1574">
        <f>F21</f>
        <v>100</v>
      </c>
      <c r="T21" s="1573" t="s">
        <v>8</v>
      </c>
      <c r="U21" s="1574">
        <f>H21</f>
        <v>100</v>
      </c>
      <c r="V21" s="1573" t="s">
        <v>8</v>
      </c>
      <c r="W21" s="1574">
        <f>J21</f>
        <v>100</v>
      </c>
      <c r="X21" s="1567"/>
      <c r="Y21" s="3718"/>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3718"/>
      <c r="Q22" s="1572"/>
      <c r="R22" s="1573"/>
      <c r="S22" s="1574"/>
      <c r="T22" s="1573"/>
      <c r="U22" s="1574"/>
      <c r="V22" s="1573"/>
      <c r="W22" s="1574"/>
      <c r="X22" s="1567"/>
      <c r="Y22" s="3718"/>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718"/>
      <c r="Q23" s="1572" t="str">
        <f t="shared" si="8"/>
        <v>环境状况</v>
      </c>
      <c r="R23" s="1573" t="s">
        <v>8</v>
      </c>
      <c r="S23" s="1574">
        <f>F23</f>
        <v>100</v>
      </c>
      <c r="T23" s="1573" t="s">
        <v>8</v>
      </c>
      <c r="U23" s="1574">
        <f>H23</f>
        <v>100</v>
      </c>
      <c r="V23" s="1573" t="s">
        <v>8</v>
      </c>
      <c r="W23" s="1574">
        <f>J23</f>
        <v>100</v>
      </c>
      <c r="X23" s="1567"/>
      <c r="Y23" s="3718"/>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3718"/>
      <c r="Q24" s="1572"/>
      <c r="R24" s="1573"/>
      <c r="S24" s="1574"/>
      <c r="T24" s="1573"/>
      <c r="U24" s="1574"/>
      <c r="V24" s="1573"/>
      <c r="W24" s="1574"/>
      <c r="X24" s="1567"/>
      <c r="Y24" s="3718"/>
      <c r="Z24" s="1575"/>
      <c r="AA24" s="1576">
        <v>1</v>
      </c>
      <c r="AB24" s="1576">
        <v>1</v>
      </c>
      <c r="AC24" s="1576">
        <v>1</v>
      </c>
    </row>
    <row r="25" spans="1:29" s="1219" customFormat="1" ht="42.75">
      <c r="A25" s="576"/>
      <c r="B25" s="2617" t="s">
        <v>2552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718"/>
      <c r="Q25" s="1150" t="str">
        <f t="shared" si="8"/>
        <v>公共配套设施</v>
      </c>
      <c r="R25" s="1568" t="s">
        <v>8</v>
      </c>
      <c r="S25" s="1569">
        <f>F25</f>
        <v>100</v>
      </c>
      <c r="T25" s="1568" t="s">
        <v>8</v>
      </c>
      <c r="U25" s="1569">
        <f>H25</f>
        <v>100</v>
      </c>
      <c r="V25" s="1568" t="s">
        <v>8</v>
      </c>
      <c r="W25" s="1569">
        <f>J25</f>
        <v>100</v>
      </c>
      <c r="X25" s="1570"/>
      <c r="Y25" s="3718"/>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3718"/>
      <c r="Q26" s="1150"/>
      <c r="R26" s="1568"/>
      <c r="S26" s="1569"/>
      <c r="T26" s="1568"/>
      <c r="U26" s="1569"/>
      <c r="V26" s="1568"/>
      <c r="W26" s="1569"/>
      <c r="X26" s="1570"/>
      <c r="Y26" s="3718"/>
      <c r="Z26" s="1149"/>
      <c r="AA26" s="1571">
        <v>1</v>
      </c>
      <c r="AB26" s="1571">
        <v>1</v>
      </c>
      <c r="AC26" s="1571">
        <v>1</v>
      </c>
    </row>
    <row r="27" spans="1:29" s="1219" customFormat="1" ht="28.5">
      <c r="A27" s="576"/>
      <c r="B27" s="2617" t="s">
        <v>2553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718"/>
      <c r="Q27" s="2602" t="str">
        <f t="shared" ref="Q27" si="9">B27</f>
        <v>基础设施水平</v>
      </c>
      <c r="R27" s="1568" t="s">
        <v>8</v>
      </c>
      <c r="S27" s="1569">
        <f>F27</f>
        <v>100</v>
      </c>
      <c r="T27" s="1568" t="s">
        <v>8</v>
      </c>
      <c r="U27" s="1569">
        <f>H27</f>
        <v>100</v>
      </c>
      <c r="V27" s="1568" t="s">
        <v>8</v>
      </c>
      <c r="W27" s="1569">
        <f>J27</f>
        <v>100</v>
      </c>
      <c r="X27" s="1570"/>
      <c r="Y27" s="3718"/>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3718"/>
      <c r="Q28" s="2602"/>
      <c r="R28" s="1568"/>
      <c r="S28" s="1569"/>
      <c r="T28" s="1568"/>
      <c r="U28" s="1569"/>
      <c r="V28" s="1568"/>
      <c r="W28" s="1569"/>
      <c r="X28" s="1570"/>
      <c r="Y28" s="3718"/>
      <c r="Z28" s="2599"/>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71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18"/>
      <c r="Z29" s="1575" t="str">
        <f t="shared" ref="Z29:Z42" si="13">Q29</f>
        <v>临街状况</v>
      </c>
      <c r="AA29" s="1576">
        <f t="shared" si="3"/>
        <v>1</v>
      </c>
      <c r="AB29" s="1576">
        <f t="shared" si="4"/>
        <v>1</v>
      </c>
      <c r="AC29" s="1576">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718"/>
      <c r="Q30" s="1572" t="str">
        <f t="shared" si="8"/>
        <v>毗邻道路的类型与等级</v>
      </c>
      <c r="R30" s="1573" t="s">
        <v>8</v>
      </c>
      <c r="S30" s="1574">
        <f t="shared" si="10"/>
        <v>100</v>
      </c>
      <c r="T30" s="1573" t="s">
        <v>8</v>
      </c>
      <c r="U30" s="1574">
        <f t="shared" si="11"/>
        <v>100</v>
      </c>
      <c r="V30" s="1573" t="s">
        <v>8</v>
      </c>
      <c r="W30" s="1574">
        <f t="shared" si="12"/>
        <v>100</v>
      </c>
      <c r="X30" s="1567"/>
      <c r="Y30" s="3718"/>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2"/>
      <c r="M31" s="2134"/>
      <c r="N31" s="2134"/>
      <c r="O31" s="2141"/>
      <c r="P31" s="3718"/>
      <c r="Q31" s="1572"/>
      <c r="R31" s="1573"/>
      <c r="S31" s="1574"/>
      <c r="T31" s="1573"/>
      <c r="U31" s="1574"/>
      <c r="V31" s="1573"/>
      <c r="W31" s="1574"/>
      <c r="X31" s="1567"/>
      <c r="Y31" s="3718"/>
      <c r="Z31" s="1575"/>
      <c r="AA31" s="1576">
        <v>1</v>
      </c>
      <c r="AB31" s="1576">
        <v>1</v>
      </c>
      <c r="AC31" s="1576">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718"/>
      <c r="Q32" s="1572" t="str">
        <f t="shared" si="8"/>
        <v>土地级别</v>
      </c>
      <c r="R32" s="1573" t="s">
        <v>8</v>
      </c>
      <c r="S32" s="1574">
        <f t="shared" si="10"/>
        <v>100</v>
      </c>
      <c r="T32" s="1573" t="s">
        <v>8</v>
      </c>
      <c r="U32" s="1574">
        <f t="shared" si="11"/>
        <v>100</v>
      </c>
      <c r="V32" s="1573" t="s">
        <v>8</v>
      </c>
      <c r="W32" s="1574">
        <f t="shared" si="12"/>
        <v>100</v>
      </c>
      <c r="X32" s="1567"/>
      <c r="Y32" s="3718"/>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718"/>
      <c r="Q33" s="1572">
        <f t="shared" si="8"/>
        <v>111</v>
      </c>
      <c r="R33" s="1573" t="s">
        <v>8</v>
      </c>
      <c r="S33" s="1574">
        <f t="shared" si="10"/>
        <v>100</v>
      </c>
      <c r="T33" s="1573" t="s">
        <v>8</v>
      </c>
      <c r="U33" s="1574">
        <f t="shared" si="11"/>
        <v>100</v>
      </c>
      <c r="V33" s="1573" t="s">
        <v>8</v>
      </c>
      <c r="W33" s="1574">
        <f t="shared" si="12"/>
        <v>100</v>
      </c>
      <c r="X33" s="1567"/>
      <c r="Y33" s="3718"/>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719" t="s">
        <v>551</v>
      </c>
      <c r="Q34" s="1572">
        <f t="shared" si="8"/>
        <v>111</v>
      </c>
      <c r="R34" s="1573" t="s">
        <v>8</v>
      </c>
      <c r="S34" s="1574">
        <f t="shared" si="10"/>
        <v>100</v>
      </c>
      <c r="T34" s="1573" t="s">
        <v>8</v>
      </c>
      <c r="U34" s="1574">
        <f t="shared" si="11"/>
        <v>100</v>
      </c>
      <c r="V34" s="1573" t="s">
        <v>8</v>
      </c>
      <c r="W34" s="1574">
        <f t="shared" si="12"/>
        <v>100</v>
      </c>
      <c r="X34" s="1567"/>
      <c r="Y34" s="3720" t="s">
        <v>551</v>
      </c>
      <c r="Z34" s="1575">
        <f t="shared" si="13"/>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720"/>
      <c r="Q35" s="1572">
        <f t="shared" si="8"/>
        <v>111</v>
      </c>
      <c r="R35" s="1577" t="s">
        <v>8</v>
      </c>
      <c r="S35" s="1578">
        <f t="shared" si="10"/>
        <v>100</v>
      </c>
      <c r="T35" s="1577" t="s">
        <v>8</v>
      </c>
      <c r="U35" s="1578">
        <f t="shared" si="11"/>
        <v>100</v>
      </c>
      <c r="V35" s="1577" t="s">
        <v>8</v>
      </c>
      <c r="W35" s="1578">
        <f t="shared" si="12"/>
        <v>100</v>
      </c>
      <c r="X35" s="1579"/>
      <c r="Y35" s="3720"/>
      <c r="Z35" s="1580">
        <f t="shared" si="13"/>
        <v>111</v>
      </c>
      <c r="AA35" s="1576">
        <f t="shared" si="3"/>
        <v>1</v>
      </c>
      <c r="AB35" s="1576">
        <f t="shared" si="4"/>
        <v>1</v>
      </c>
      <c r="AC35" s="1576">
        <f t="shared" si="5"/>
        <v>1</v>
      </c>
    </row>
    <row r="36" spans="1:29" ht="15">
      <c r="A36" s="2932" t="s">
        <v>2759</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720"/>
      <c r="Q36" s="1572" t="str">
        <f>B36</f>
        <v>宗地面积</v>
      </c>
      <c r="R36" s="1573" t="s">
        <v>8</v>
      </c>
      <c r="S36" s="1574" t="e">
        <f t="shared" si="10"/>
        <v>#N/A</v>
      </c>
      <c r="T36" s="1573" t="s">
        <v>8</v>
      </c>
      <c r="U36" s="1574" t="e">
        <f t="shared" si="11"/>
        <v>#N/A</v>
      </c>
      <c r="V36" s="1573" t="s">
        <v>8</v>
      </c>
      <c r="W36" s="1574" t="e">
        <f t="shared" si="12"/>
        <v>#N/A</v>
      </c>
      <c r="X36" s="1567"/>
      <c r="Y36" s="3720"/>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720"/>
      <c r="Q37" s="1572" t="str">
        <f t="shared" ref="Q37:Q42" si="14">B37</f>
        <v>宗地形状</v>
      </c>
      <c r="R37" s="1573" t="s">
        <v>8</v>
      </c>
      <c r="S37" s="1574">
        <f t="shared" si="10"/>
        <v>100</v>
      </c>
      <c r="T37" s="1573" t="s">
        <v>8</v>
      </c>
      <c r="U37" s="1574">
        <f t="shared" si="11"/>
        <v>100</v>
      </c>
      <c r="V37" s="1573" t="s">
        <v>8</v>
      </c>
      <c r="W37" s="1574">
        <f t="shared" si="12"/>
        <v>100</v>
      </c>
      <c r="X37" s="1567"/>
      <c r="Y37" s="3720"/>
      <c r="Z37" s="1575" t="str">
        <f t="shared" si="13"/>
        <v>宗地形状</v>
      </c>
      <c r="AA37" s="1576">
        <f t="shared" si="3"/>
        <v>1</v>
      </c>
      <c r="AB37" s="1576">
        <f t="shared" si="4"/>
        <v>1</v>
      </c>
      <c r="AC37" s="1576">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720"/>
      <c r="Q38" s="1572" t="str">
        <f t="shared" si="14"/>
        <v>宗地开发程度</v>
      </c>
      <c r="R38" s="1568" t="s">
        <v>8</v>
      </c>
      <c r="S38" s="1569">
        <f t="shared" si="10"/>
        <v>100</v>
      </c>
      <c r="T38" s="1568" t="s">
        <v>8</v>
      </c>
      <c r="U38" s="1569">
        <f t="shared" si="11"/>
        <v>100</v>
      </c>
      <c r="V38" s="1568" t="s">
        <v>8</v>
      </c>
      <c r="W38" s="1569">
        <f t="shared" si="12"/>
        <v>100</v>
      </c>
      <c r="X38" s="1570"/>
      <c r="Y38" s="3720"/>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720" t="s">
        <v>602</v>
      </c>
      <c r="Q39" s="1572" t="str">
        <f t="shared" si="14"/>
        <v>工程地质条件</v>
      </c>
      <c r="R39" s="1573" t="s">
        <v>8</v>
      </c>
      <c r="S39" s="1574">
        <f t="shared" si="10"/>
        <v>100</v>
      </c>
      <c r="T39" s="1573" t="s">
        <v>8</v>
      </c>
      <c r="U39" s="1574">
        <f t="shared" si="11"/>
        <v>100</v>
      </c>
      <c r="V39" s="1573" t="s">
        <v>8</v>
      </c>
      <c r="W39" s="1574">
        <f t="shared" si="12"/>
        <v>100</v>
      </c>
      <c r="X39" s="1567"/>
      <c r="Y39" s="3720"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720"/>
      <c r="Q40" s="1572">
        <f t="shared" si="14"/>
        <v>111</v>
      </c>
      <c r="R40" s="1573" t="s">
        <v>8</v>
      </c>
      <c r="S40" s="1574">
        <f t="shared" si="10"/>
        <v>100</v>
      </c>
      <c r="T40" s="1573" t="s">
        <v>8</v>
      </c>
      <c r="U40" s="1574">
        <f t="shared" si="11"/>
        <v>100</v>
      </c>
      <c r="V40" s="1573" t="s">
        <v>8</v>
      </c>
      <c r="W40" s="1574">
        <f t="shared" si="12"/>
        <v>100</v>
      </c>
      <c r="X40" s="1567"/>
      <c r="Y40" s="3720"/>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720"/>
      <c r="Q41" s="1572">
        <f t="shared" si="14"/>
        <v>111</v>
      </c>
      <c r="R41" s="1573" t="s">
        <v>8</v>
      </c>
      <c r="S41" s="1574">
        <f t="shared" si="10"/>
        <v>100</v>
      </c>
      <c r="T41" s="1573" t="s">
        <v>8</v>
      </c>
      <c r="U41" s="1574">
        <f t="shared" si="11"/>
        <v>100</v>
      </c>
      <c r="V41" s="1573" t="s">
        <v>8</v>
      </c>
      <c r="W41" s="1574">
        <f t="shared" si="12"/>
        <v>100</v>
      </c>
      <c r="X41" s="1567"/>
      <c r="Y41" s="3720"/>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720"/>
      <c r="Q42" s="1572">
        <f t="shared" si="14"/>
        <v>111</v>
      </c>
      <c r="R42" s="1577" t="s">
        <v>8</v>
      </c>
      <c r="S42" s="1578">
        <f t="shared" si="10"/>
        <v>100</v>
      </c>
      <c r="T42" s="1577" t="s">
        <v>8</v>
      </c>
      <c r="U42" s="1578">
        <f t="shared" si="11"/>
        <v>100</v>
      </c>
      <c r="V42" s="1577" t="s">
        <v>8</v>
      </c>
      <c r="W42" s="1578">
        <f t="shared" si="12"/>
        <v>100</v>
      </c>
      <c r="X42" s="1579"/>
      <c r="Y42" s="3720"/>
      <c r="Z42" s="1580">
        <f t="shared" si="13"/>
        <v>111</v>
      </c>
      <c r="AA42" s="1576">
        <f t="shared" si="3"/>
        <v>1</v>
      </c>
      <c r="AB42" s="1576">
        <f t="shared" si="4"/>
        <v>1</v>
      </c>
      <c r="AC42" s="1576">
        <f t="shared" si="5"/>
        <v>1</v>
      </c>
    </row>
    <row r="43" spans="1:29" ht="15">
      <c r="A43" s="606" t="s">
        <v>557</v>
      </c>
      <c r="B43" s="607" t="s">
        <v>2936</v>
      </c>
      <c r="C43" s="608" t="s">
        <v>1</v>
      </c>
      <c r="D43" s="609"/>
      <c r="E43" s="610"/>
      <c r="F43" s="611"/>
      <c r="G43" s="612"/>
      <c r="H43" s="613"/>
      <c r="I43" s="610"/>
      <c r="J43" s="613"/>
      <c r="K43" s="1339"/>
      <c r="L43" s="2144"/>
      <c r="M43" s="2134"/>
      <c r="N43" s="2134"/>
      <c r="O43" s="2145"/>
      <c r="P43" s="3681" t="str">
        <f>A43</f>
        <v>成交单价</v>
      </c>
      <c r="Q43" s="3681"/>
      <c r="R43" s="3682">
        <f>E43</f>
        <v>0</v>
      </c>
      <c r="S43" s="3682"/>
      <c r="T43" s="3682">
        <f>G43</f>
        <v>0</v>
      </c>
      <c r="U43" s="3682"/>
      <c r="V43" s="3682">
        <f>I43</f>
        <v>0</v>
      </c>
      <c r="W43" s="3682"/>
      <c r="X43" s="1559"/>
      <c r="Y43" s="1581"/>
      <c r="Z43" s="1559"/>
      <c r="AA43" s="1559"/>
      <c r="AB43" s="1559"/>
      <c r="AC43" s="1559"/>
    </row>
    <row r="44" spans="1:29" ht="15.75" thickBot="1">
      <c r="A44" s="614" t="s">
        <v>2697</v>
      </c>
      <c r="B44" s="615"/>
      <c r="C44" s="616" t="e">
        <f>R45</f>
        <v>#DIV/0!</v>
      </c>
      <c r="D44" s="617"/>
      <c r="E44" s="616" t="e">
        <f>R44</f>
        <v>#DIV/0!</v>
      </c>
      <c r="F44" s="618"/>
      <c r="G44" s="619" t="e">
        <f>T44</f>
        <v>#DIV/0!</v>
      </c>
      <c r="H44" s="617"/>
      <c r="I44" s="616" t="e">
        <f>V44</f>
        <v>#DIV/0!</v>
      </c>
      <c r="J44" s="617"/>
      <c r="K44" s="1340"/>
      <c r="L44" s="2144"/>
      <c r="M44" s="2134"/>
      <c r="N44" s="2134"/>
      <c r="O44" s="2145"/>
      <c r="P44" s="3681" t="str">
        <f>A44</f>
        <v>比较价格（元/平方米）</v>
      </c>
      <c r="Q44" s="3681"/>
      <c r="R44" s="3683" t="e">
        <f>ROUND(PRODUCT(R43,AA9:AA42),0)</f>
        <v>#DIV/0!</v>
      </c>
      <c r="S44" s="3683"/>
      <c r="T44" s="3683" t="e">
        <f>ROUND(PRODUCT(T43,AB9:AB42),0)</f>
        <v>#DIV/0!</v>
      </c>
      <c r="U44" s="3683"/>
      <c r="V44" s="3683" t="e">
        <f>ROUND(PRODUCT(V43,AC9:AC42),0)</f>
        <v>#DIV/0!</v>
      </c>
      <c r="W44" s="3683"/>
      <c r="X44" s="1559"/>
      <c r="Y44" s="1559"/>
      <c r="Z44" s="1559"/>
      <c r="AA44" s="1559"/>
      <c r="AB44" s="1559"/>
      <c r="AC44" s="1559"/>
    </row>
    <row r="45" spans="1:29" ht="15.75" thickBot="1">
      <c r="A45" s="620" t="s">
        <v>2937</v>
      </c>
      <c r="B45" s="621"/>
      <c r="C45" s="622" t="e">
        <f>R45</f>
        <v>#DIV/0!</v>
      </c>
      <c r="D45" s="622"/>
      <c r="E45" s="622"/>
      <c r="F45" s="622"/>
      <c r="G45" s="622"/>
      <c r="H45" s="622"/>
      <c r="I45" s="622"/>
      <c r="J45" s="622"/>
      <c r="K45" s="1341"/>
      <c r="L45" s="2144"/>
      <c r="M45" s="2134"/>
      <c r="N45" s="2134"/>
      <c r="O45" s="2145"/>
      <c r="P45" s="3678" t="str">
        <f>A45</f>
        <v>估价对象XX用房的比较价格（楼面单价，元/平方米）</v>
      </c>
      <c r="Q45" s="3679"/>
      <c r="R45" s="3680" t="e">
        <f>ROUND(AVERAGE(R44:V44),0)</f>
        <v>#DIV/0!</v>
      </c>
      <c r="S45" s="3680"/>
      <c r="T45" s="3680"/>
      <c r="U45" s="3680"/>
      <c r="V45" s="3680"/>
      <c r="W45" s="3680"/>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60" t="s">
        <v>1726</v>
      </c>
      <c r="D52" s="2227" t="s">
        <v>2295</v>
      </c>
      <c r="E52" s="630" t="s">
        <v>563</v>
      </c>
      <c r="F52" s="1951" t="s">
        <v>564</v>
      </c>
      <c r="G52" s="3728" t="s">
        <v>2286</v>
      </c>
      <c r="H52" s="3729"/>
      <c r="I52" s="1952" t="s">
        <v>1949</v>
      </c>
      <c r="J52" s="1555" t="str">
        <f>项目基本情况!F41</f>
        <v>湖北省武汉市</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146307.88</v>
      </c>
      <c r="F53" s="1950" t="e">
        <f t="shared" ref="F53:F62" si="15">ROUND(B53*E53/10000,0)</f>
        <v>#DIV/0!</v>
      </c>
      <c r="G53" s="3730"/>
      <c r="H53" s="3731"/>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3732" t="s">
        <v>2287</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3732"/>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3732"/>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3732"/>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2296</v>
      </c>
      <c r="E63" s="642">
        <f>IF(B43="楼面地价",SUM(E53:E62),'数据-汇总表'!D3)</f>
        <v>63612.12</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2018-1-1</v>
      </c>
      <c r="D65" s="2824">
        <f>EDATE(C65,-3)</f>
        <v>43009</v>
      </c>
      <c r="E65" s="2824">
        <f t="shared" ref="E65:N65" si="18">EDATE(D65,-3)</f>
        <v>42917</v>
      </c>
      <c r="F65" s="2824">
        <f t="shared" si="18"/>
        <v>42826</v>
      </c>
      <c r="G65" s="2824">
        <f t="shared" si="18"/>
        <v>42736</v>
      </c>
      <c r="H65" s="2824">
        <f t="shared" si="18"/>
        <v>42644</v>
      </c>
      <c r="I65" s="2824">
        <f t="shared" si="18"/>
        <v>42552</v>
      </c>
      <c r="J65" s="2824">
        <f t="shared" si="18"/>
        <v>42461</v>
      </c>
      <c r="K65" s="2824">
        <f t="shared" si="18"/>
        <v>42370</v>
      </c>
      <c r="L65" s="2824">
        <f t="shared" si="18"/>
        <v>42278</v>
      </c>
      <c r="M65" s="2824">
        <f t="shared" si="18"/>
        <v>42186</v>
      </c>
      <c r="N65" s="2824">
        <f t="shared" si="18"/>
        <v>42095</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2537</v>
      </c>
      <c r="B67" s="645"/>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2653</v>
      </c>
      <c r="B68" s="478" t="str">
        <f>"北京市平均增长率"&amp;TEXT(基准地价!P24,"0.00%")</f>
        <v>北京市平均增长率1.31%</v>
      </c>
      <c r="C68" s="893">
        <v>100</v>
      </c>
      <c r="D68" s="729"/>
      <c r="E68" s="729"/>
      <c r="F68" s="729"/>
      <c r="G68" s="729"/>
      <c r="H68" s="729"/>
      <c r="I68" s="729"/>
      <c r="J68" s="729"/>
      <c r="K68" s="729"/>
      <c r="L68" s="729"/>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2552</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2554</v>
      </c>
      <c r="C95" s="2622" t="s">
        <v>2555</v>
      </c>
      <c r="D95" s="2622" t="s">
        <v>2556</v>
      </c>
      <c r="E95" s="2622" t="s">
        <v>2557</v>
      </c>
      <c r="F95" s="2622" t="s">
        <v>2558</v>
      </c>
      <c r="G95" s="2622" t="s">
        <v>2559</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8" t="str">
        <f t="shared" si="25"/>
        <v>(含)-</v>
      </c>
      <c r="L109" s="3119" t="str">
        <f t="shared" si="25"/>
        <v>(含)-</v>
      </c>
      <c r="M109" s="312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2428</v>
      </c>
      <c r="D1" s="1521">
        <f>SUM(D29:D30,D33:D39)</f>
        <v>0</v>
      </c>
      <c r="E1" s="1406" t="s">
        <v>2429</v>
      </c>
      <c r="F1" s="2476"/>
      <c r="G1" s="1401"/>
      <c r="H1" s="1401"/>
      <c r="I1" s="1401"/>
      <c r="J1" s="1401"/>
      <c r="K1" s="1401"/>
      <c r="L1" s="1882" t="s">
        <v>2240</v>
      </c>
      <c r="M1" s="1883">
        <f>SUMPRODUCT((区片价!B5:B9=I2)*(区片价!C3:F3=E2)*(区片价!C5:F9))</f>
        <v>0</v>
      </c>
      <c r="N1" s="1884">
        <f>SUMPRODUCT((因素修正幅度!B5:B9=I2)*(因素修正幅度!C3:F3=E2)*(因素修正幅度!C5:F9))</f>
        <v>0</v>
      </c>
      <c r="O1" s="2189"/>
      <c r="P1" s="2189"/>
      <c r="Q1" s="2189"/>
      <c r="R1" s="2961" t="s">
        <v>2766</v>
      </c>
      <c r="S1" s="2961" t="s">
        <v>2767</v>
      </c>
      <c r="T1" s="2961" t="s">
        <v>2788</v>
      </c>
      <c r="U1" s="2961" t="s">
        <v>2789</v>
      </c>
      <c r="V1" s="2961" t="s">
        <v>2790</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5" t="s">
        <v>2241</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2938</v>
      </c>
      <c r="G3" s="1038">
        <f>IF(F3="宗地容积率",'数据-汇总表'!I4,IF(F3="估价对象容积率",'数据-汇总表'!I6,'数据-汇总表'!I7))</f>
        <v>2.2999999999999998</v>
      </c>
      <c r="H3" s="1414" t="s">
        <v>930</v>
      </c>
      <c r="I3" s="1039">
        <v>8</v>
      </c>
      <c r="J3" s="1410" t="s">
        <v>931</v>
      </c>
      <c r="K3" s="1401"/>
      <c r="L3" s="1885" t="s">
        <v>2242</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1"/>
      <c r="L4" s="1885" t="s">
        <v>2243</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5" t="s">
        <v>2244</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5" t="s">
        <v>2245</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9"/>
      <c r="AE6" s="1419"/>
      <c r="AF6" s="1419"/>
      <c r="AG6" s="1419"/>
      <c r="AH6" s="1419"/>
      <c r="AI6" s="1419"/>
      <c r="AJ6" s="1420"/>
    </row>
    <row r="7" spans="1:39" ht="24">
      <c r="A7" s="3742" t="str">
        <f>IF(E2="商业",IF(C8="不临58条商业街","",2),"")</f>
        <v/>
      </c>
      <c r="B7" s="1427" t="s">
        <v>933</v>
      </c>
      <c r="C7" s="1042" t="e">
        <f>IF(C8="不临58条商业街",1,ROUND(1+(1.6*E8+1.2*E9+0.8*E10+0.4*E11)*C9,4))</f>
        <v>#DIV/0!</v>
      </c>
      <c r="D7" s="1428" t="s">
        <v>934</v>
      </c>
      <c r="E7" s="1043"/>
      <c r="F7" s="1429"/>
      <c r="G7" s="1430"/>
      <c r="H7" s="1430"/>
      <c r="I7" s="1430"/>
      <c r="J7" s="1431"/>
      <c r="K7" s="1595"/>
      <c r="L7" s="1885" t="s">
        <v>2246</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2769</v>
      </c>
      <c r="X7" s="2952">
        <f>G2</f>
        <v>0</v>
      </c>
      <c r="Y7" s="2952" t="s">
        <v>2770</v>
      </c>
      <c r="Z7" s="2953">
        <f>G3</f>
        <v>2.2999999999999998</v>
      </c>
      <c r="AA7" s="2192"/>
      <c r="AB7" s="2192"/>
      <c r="AC7" s="2193"/>
      <c r="AD7" s="2954"/>
      <c r="AE7" s="2954"/>
      <c r="AF7" s="2954"/>
      <c r="AG7" s="2954"/>
      <c r="AH7" s="2954"/>
      <c r="AI7" s="2954"/>
      <c r="AJ7" s="2955"/>
    </row>
    <row r="8" spans="1:39" ht="15">
      <c r="A8" s="3743"/>
      <c r="B8" s="1414" t="s">
        <v>935</v>
      </c>
      <c r="C8" s="1529"/>
      <c r="D8" s="1044" t="s">
        <v>936</v>
      </c>
      <c r="E8" s="1045" t="e">
        <f>ROUND(C11/E7,4)</f>
        <v>#DIV/0!</v>
      </c>
      <c r="F8" s="1432" t="s">
        <v>937</v>
      </c>
      <c r="G8" s="1433"/>
      <c r="H8" s="1433"/>
      <c r="I8" s="1433"/>
      <c r="J8" s="1434"/>
      <c r="K8" s="1401"/>
      <c r="L8" s="1885" t="s">
        <v>2247</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734" t="s">
        <v>2787</v>
      </c>
      <c r="X8" s="3735"/>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743"/>
      <c r="B9" s="1414" t="s">
        <v>938</v>
      </c>
      <c r="C9" s="1046">
        <f>SUMIF(修正!C59:C119,C8,修正!E59:E119)</f>
        <v>0</v>
      </c>
      <c r="D9" s="1047" t="s">
        <v>939</v>
      </c>
      <c r="E9" s="1047" t="e">
        <f>ROUND(C11/E7,4)</f>
        <v>#DIV/0!</v>
      </c>
      <c r="F9" s="1432" t="s">
        <v>940</v>
      </c>
      <c r="G9" s="1433"/>
      <c r="H9" s="1433"/>
      <c r="I9" s="1433"/>
      <c r="J9" s="1434"/>
      <c r="K9" s="1401"/>
      <c r="L9" s="1885" t="s">
        <v>2248</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733" t="s">
        <v>2783</v>
      </c>
      <c r="X9" s="2956" t="s">
        <v>2784</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43"/>
      <c r="B10" s="1414" t="s">
        <v>941</v>
      </c>
      <c r="C10" s="1047">
        <f>SUMIF(修正!C59:C119,C8,修正!F59:F119)</f>
        <v>0</v>
      </c>
      <c r="D10" s="1047" t="s">
        <v>942</v>
      </c>
      <c r="E10" s="1047" t="e">
        <f>ROUND(C11/E7,4)</f>
        <v>#DIV/0!</v>
      </c>
      <c r="F10" s="1432" t="s">
        <v>943</v>
      </c>
      <c r="G10" s="1433"/>
      <c r="H10" s="1433"/>
      <c r="I10" s="1433"/>
      <c r="J10" s="1434"/>
      <c r="K10" s="1401"/>
      <c r="L10" s="1885" t="s">
        <v>2249</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733"/>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43"/>
      <c r="B11" s="1435" t="s">
        <v>944</v>
      </c>
      <c r="C11" s="1048">
        <f>C10/4</f>
        <v>0</v>
      </c>
      <c r="D11" s="1048" t="s">
        <v>945</v>
      </c>
      <c r="E11" s="1048" t="e">
        <f>ROUND(C11/E7,4)</f>
        <v>#DIV/0!</v>
      </c>
      <c r="F11" s="1436" t="s">
        <v>946</v>
      </c>
      <c r="G11" s="1437"/>
      <c r="H11" s="1437"/>
      <c r="I11" s="1437"/>
      <c r="J11" s="1438"/>
      <c r="K11" s="1401"/>
      <c r="L11" s="1885" t="s">
        <v>2250</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733" t="s">
        <v>2785</v>
      </c>
      <c r="X11" s="1047" t="s">
        <v>2770</v>
      </c>
      <c r="Y11" s="1653">
        <f>$G$3</f>
        <v>2.2999999999999998</v>
      </c>
      <c r="Z11" s="1653">
        <f t="shared" ref="Z11:AJ11" si="3">$G$3</f>
        <v>2.2999999999999998</v>
      </c>
      <c r="AA11" s="1653">
        <f t="shared" si="3"/>
        <v>2.2999999999999998</v>
      </c>
      <c r="AB11" s="1653">
        <f t="shared" si="3"/>
        <v>2.2999999999999998</v>
      </c>
      <c r="AC11" s="1653">
        <f t="shared" si="3"/>
        <v>2.2999999999999998</v>
      </c>
      <c r="AD11" s="1653">
        <f t="shared" si="3"/>
        <v>2.2999999999999998</v>
      </c>
      <c r="AE11" s="1653">
        <f t="shared" si="3"/>
        <v>2.2999999999999998</v>
      </c>
      <c r="AF11" s="1653">
        <f t="shared" si="3"/>
        <v>2.2999999999999998</v>
      </c>
      <c r="AG11" s="1653">
        <f t="shared" si="3"/>
        <v>2.2999999999999998</v>
      </c>
      <c r="AH11" s="1653">
        <f t="shared" si="3"/>
        <v>2.2999999999999998</v>
      </c>
      <c r="AI11" s="1653">
        <f t="shared" si="3"/>
        <v>2.2999999999999998</v>
      </c>
      <c r="AJ11" s="1653">
        <f t="shared" si="3"/>
        <v>2.2999999999999998</v>
      </c>
    </row>
    <row r="12" spans="1:39" ht="25.5" thickBot="1">
      <c r="A12" s="3742" t="s">
        <v>1873</v>
      </c>
      <c r="B12" s="1439" t="s">
        <v>947</v>
      </c>
      <c r="C12" s="1042">
        <f>ROUND(C15*D15*E15*F15*G15*H15*I15*J15,4)</f>
        <v>1</v>
      </c>
      <c r="D12" s="1440" t="s">
        <v>948</v>
      </c>
      <c r="E12" s="1441"/>
      <c r="F12" s="1441"/>
      <c r="G12" s="1442"/>
      <c r="H12" s="1442"/>
      <c r="I12" s="1442"/>
      <c r="J12" s="1443"/>
      <c r="K12" s="1401"/>
      <c r="L12" s="1888" t="s">
        <v>2251</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733"/>
      <c r="X12" s="2959" t="s">
        <v>2786</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44"/>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2">
        <v>12</v>
      </c>
      <c r="S13" s="2951"/>
      <c r="T13" s="2962" t="e">
        <f t="shared" si="0"/>
        <v>#DIV/0!</v>
      </c>
      <c r="U13" s="2951"/>
      <c r="V13" s="2962" t="e">
        <f t="shared" si="1"/>
        <v>#DIV/0!</v>
      </c>
      <c r="W13" s="3733"/>
      <c r="X13" s="2959"/>
      <c r="Y13" s="2958">
        <f>(-0.163*(Y12^2)-0.59*Y12+7617)*(10^(-4))/Y11</f>
        <v>0.33117391304347832</v>
      </c>
      <c r="Z13" s="2958">
        <f t="shared" ref="Z13:AJ13" si="5">(-0.163*(Z12^2)-0.59*Z12+7617)*(10^(-4))/Z11</f>
        <v>0.33117391304347832</v>
      </c>
      <c r="AA13" s="2958">
        <f t="shared" si="5"/>
        <v>0.33117391304347832</v>
      </c>
      <c r="AB13" s="2958">
        <f t="shared" si="5"/>
        <v>0.33117391304347832</v>
      </c>
      <c r="AC13" s="2958">
        <f t="shared" si="5"/>
        <v>0.33117391304347832</v>
      </c>
      <c r="AD13" s="2958">
        <f t="shared" si="5"/>
        <v>0.33117391304347832</v>
      </c>
      <c r="AE13" s="2958">
        <f t="shared" si="5"/>
        <v>0.33117391304347832</v>
      </c>
      <c r="AF13" s="2958">
        <f t="shared" si="5"/>
        <v>0.33117391304347832</v>
      </c>
      <c r="AG13" s="2958">
        <f t="shared" si="5"/>
        <v>0.33117391304347832</v>
      </c>
      <c r="AH13" s="2958">
        <f t="shared" si="5"/>
        <v>0.33117391304347832</v>
      </c>
      <c r="AI13" s="2958">
        <f t="shared" si="5"/>
        <v>0.33117391304347832</v>
      </c>
      <c r="AJ13" s="2958">
        <f t="shared" si="5"/>
        <v>0.33117391304347832</v>
      </c>
    </row>
    <row r="14" spans="1:39" ht="12.75" customHeight="1" thickBot="1">
      <c r="A14" s="3744"/>
      <c r="B14" s="1451"/>
      <c r="C14" s="1452"/>
      <c r="D14" s="1453"/>
      <c r="E14" s="1453"/>
      <c r="F14" s="1454"/>
      <c r="G14" s="1455" t="s">
        <v>950</v>
      </c>
      <c r="H14" s="1456"/>
      <c r="I14" s="1457"/>
      <c r="J14" s="1458"/>
      <c r="K14" s="1401"/>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745"/>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2">
        <v>14</v>
      </c>
      <c r="S15" s="2951"/>
      <c r="T15" s="2962" t="e">
        <f t="shared" si="0"/>
        <v>#DIV/0!</v>
      </c>
      <c r="U15" s="2951"/>
      <c r="V15" s="2962" t="e">
        <f t="shared" si="1"/>
        <v>#DIV/0!</v>
      </c>
      <c r="W15" s="2189"/>
      <c r="X15" s="2189"/>
      <c r="Y15" s="2189"/>
      <c r="Z15" s="2189"/>
      <c r="AA15" s="2189"/>
      <c r="AB15" s="2189"/>
      <c r="AC15" s="2190"/>
    </row>
    <row r="16" spans="1:39" ht="24">
      <c r="A16" s="3742"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743"/>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43131</v>
      </c>
      <c r="H19" s="1475" t="s">
        <v>2939</v>
      </c>
      <c r="I19" s="2809" t="str">
        <f>IF(H19="季度增幅（自定义）",SUMIF(N21:N24,E2,O21:O24),"")</f>
        <v/>
      </c>
      <c r="J19" s="1471"/>
      <c r="K19" s="1481"/>
      <c r="L19" s="3065" t="s">
        <v>2845</v>
      </c>
      <c r="M19" s="3066">
        <f>ROUND(SUMIF(地价!B2:F2,E2,地价!B21:F21),0)</f>
        <v>0</v>
      </c>
      <c r="N19" s="2811" t="s">
        <v>1678</v>
      </c>
      <c r="O19" s="2810">
        <f>ROUNDDOWN(DATEDIF(E19,G19,"M")/3,0)</f>
        <v>16</v>
      </c>
      <c r="P19" s="1596"/>
      <c r="R19" s="2950"/>
      <c r="S19" s="2950"/>
      <c r="T19" s="2950"/>
      <c r="U19" s="2950"/>
      <c r="V19" s="2950"/>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21">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7" t="s">
        <v>2846</v>
      </c>
      <c r="M20" s="3068">
        <f>ROUND(SUMPRODUCT((地价!A4:A21=YEAR(G19)&amp;"-"&amp;ROUNDUP(MONTH(G19)/3,0))*(地价!B2:F2=E2)*(地价!B4:F21)),0)</f>
        <v>0</v>
      </c>
      <c r="N20" s="2814" t="s">
        <v>2649</v>
      </c>
      <c r="O20" s="2812" t="s">
        <v>2648</v>
      </c>
      <c r="P20" s="2813" t="s">
        <v>2654</v>
      </c>
      <c r="R20" s="2950"/>
      <c r="S20" s="2950"/>
      <c r="T20" s="2950"/>
      <c r="U20" s="2950"/>
      <c r="V20" s="2950"/>
      <c r="W20" s="2195"/>
      <c r="X20" s="2195"/>
      <c r="Y20" s="2195"/>
      <c r="Z20" s="2195"/>
      <c r="AA20" s="2195"/>
      <c r="AB20" s="2195"/>
      <c r="AC20" s="2195"/>
      <c r="AD20" s="1472"/>
      <c r="AE20" s="1472"/>
      <c r="AF20" s="1472"/>
      <c r="AG20" s="1472"/>
      <c r="AH20" s="1472"/>
      <c r="AI20" s="1472"/>
    </row>
    <row r="21" spans="1:40" s="1421" customFormat="1" ht="14.25">
      <c r="A21" s="1642" t="s">
        <v>1839</v>
      </c>
      <c r="B21" s="1480" t="s">
        <v>2765</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1.55E-2</v>
      </c>
      <c r="R21" s="2950"/>
      <c r="S21" s="2950"/>
      <c r="T21" s="2950"/>
      <c r="U21" s="2950"/>
      <c r="V21" s="2950"/>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t="b">
        <f>IF(E22=G22,F22,IF(G3&lt;=10,ROUND(F22+(H22-F22)*(G3-E22)/(G22-E22),4),"——"))</f>
        <v>0</v>
      </c>
      <c r="E22" s="1038">
        <f>ROUNDDOWN(G3,1)</f>
        <v>2.2999999999999998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2.2999999999999998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1.55E-2</v>
      </c>
      <c r="R22" s="2950"/>
      <c r="S22" s="2950"/>
      <c r="T22" s="2950"/>
      <c r="U22" s="2950"/>
      <c r="V22" s="2950"/>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2.5499999999999998E-2</v>
      </c>
      <c r="R23" s="2950"/>
      <c r="S23" s="2950"/>
      <c r="T23" s="2950"/>
      <c r="U23" s="2950"/>
      <c r="V23" s="2950"/>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0"/>
      <c r="S24" s="2950"/>
      <c r="T24" s="2950"/>
      <c r="U24" s="2950"/>
      <c r="V24" s="2950"/>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2652</v>
      </c>
      <c r="O25" s="2195"/>
      <c r="P25" s="1541">
        <f>SUMPRODUCT((地价!A3:A21=YEAR(G19)&amp;"-"&amp;ROUNDUP(MONTH(G19)/3,0))*(地价!AD2:AH2=N25)*(地价!AD3:AH21))</f>
        <v>2.3E-2</v>
      </c>
      <c r="R25" s="2950"/>
      <c r="S25" s="2950"/>
      <c r="T25" s="2950"/>
      <c r="U25" s="2950"/>
      <c r="V25" s="2950"/>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50"/>
      <c r="S26" s="2950"/>
      <c r="T26" s="2950"/>
      <c r="U26" s="2950"/>
      <c r="V26" s="2950"/>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50"/>
      <c r="S27" s="2950"/>
      <c r="T27" s="2950"/>
      <c r="U27" s="2950"/>
      <c r="V27" s="2950"/>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50"/>
      <c r="S28" s="2950"/>
      <c r="T28" s="2950"/>
      <c r="U28" s="2950"/>
      <c r="V28" s="2950"/>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49" t="e">
        <f>ROUND(C29*D29/10000,0)</f>
        <v>#DIV/0!</v>
      </c>
      <c r="F29" s="1505" t="s">
        <v>1703</v>
      </c>
      <c r="G29" s="1506"/>
      <c r="H29" s="1506"/>
      <c r="I29" s="1506"/>
      <c r="J29" s="1507"/>
      <c r="K29" s="1401"/>
      <c r="L29" s="2195"/>
      <c r="M29" s="2195"/>
      <c r="N29" s="2195"/>
      <c r="O29" s="2195"/>
      <c r="P29" s="2195"/>
      <c r="Q29" s="2195"/>
      <c r="R29" s="2950"/>
      <c r="S29" s="2950"/>
      <c r="T29" s="2950"/>
      <c r="U29" s="2950"/>
      <c r="V29" s="2950"/>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49"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48" t="s">
        <v>2966</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49"/>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49"/>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50"/>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2252</v>
      </c>
      <c r="G46" s="2455" t="s">
        <v>1016</v>
      </c>
      <c r="H46" s="2438" t="s">
        <v>2420</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3" t="s">
        <v>2941</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2" t="s">
        <v>2940</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2253</v>
      </c>
      <c r="G57" s="2455" t="s">
        <v>1016</v>
      </c>
      <c r="H57" s="2438" t="s">
        <v>2420</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3" t="s">
        <v>2942</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2" t="s">
        <v>2940</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2254</v>
      </c>
      <c r="G68" s="2455" t="s">
        <v>1016</v>
      </c>
      <c r="H68" s="2438" t="s">
        <v>2420</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2" t="s">
        <v>2940</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2255</v>
      </c>
      <c r="G79" s="2455" t="s">
        <v>1016</v>
      </c>
      <c r="H79" s="2438" t="s">
        <v>2420</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2" t="s">
        <v>2940</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746" t="s">
        <v>1635</v>
      </c>
      <c r="B90" s="3746"/>
      <c r="C90" s="3746"/>
      <c r="D90" s="3746"/>
      <c r="E90" s="3746"/>
      <c r="F90" s="3746"/>
      <c r="G90" s="3746"/>
      <c r="H90" s="3746"/>
      <c r="I90" s="3746"/>
      <c r="J90" s="3746"/>
      <c r="K90" s="2474"/>
      <c r="L90" s="2474"/>
      <c r="M90" s="2474"/>
      <c r="N90" s="2474"/>
    </row>
    <row r="91" spans="1:40">
      <c r="A91" s="3747" t="s">
        <v>1445</v>
      </c>
      <c r="B91" s="3747" t="s">
        <v>1636</v>
      </c>
      <c r="C91" s="1139" t="s">
        <v>1637</v>
      </c>
      <c r="D91" s="1140"/>
      <c r="E91" s="1140"/>
      <c r="F91" s="1140"/>
      <c r="G91" s="1140"/>
      <c r="H91" s="1140"/>
      <c r="I91" s="1140"/>
      <c r="J91" s="1141"/>
      <c r="K91" s="1133"/>
      <c r="L91" s="1133"/>
      <c r="M91" s="1133"/>
      <c r="N91" s="1133"/>
    </row>
    <row r="92" spans="1:40">
      <c r="A92" s="3747"/>
      <c r="B92" s="3747"/>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36"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3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3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3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3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3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37"/>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3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36" t="s">
        <v>1639</v>
      </c>
      <c r="B101" s="1146" t="s">
        <v>907</v>
      </c>
      <c r="C101" s="1147">
        <f>$G$3</f>
        <v>2.2999999999999998</v>
      </c>
      <c r="D101" s="1147">
        <f t="shared" ref="D101:N101" si="31">$G$3</f>
        <v>2.2999999999999998</v>
      </c>
      <c r="E101" s="1147">
        <f t="shared" si="31"/>
        <v>2.2999999999999998</v>
      </c>
      <c r="F101" s="1147">
        <f t="shared" si="31"/>
        <v>2.2999999999999998</v>
      </c>
      <c r="G101" s="1147">
        <f t="shared" si="31"/>
        <v>2.2999999999999998</v>
      </c>
      <c r="H101" s="1147">
        <f t="shared" si="31"/>
        <v>2.2999999999999998</v>
      </c>
      <c r="I101" s="1147">
        <f t="shared" si="31"/>
        <v>2.2999999999999998</v>
      </c>
      <c r="J101" s="1147">
        <f t="shared" si="31"/>
        <v>2.2999999999999998</v>
      </c>
      <c r="K101" s="1147">
        <f t="shared" si="31"/>
        <v>2.2999999999999998</v>
      </c>
      <c r="L101" s="1147">
        <f t="shared" si="31"/>
        <v>2.2999999999999998</v>
      </c>
      <c r="M101" s="1147">
        <f t="shared" si="31"/>
        <v>2.2999999999999998</v>
      </c>
      <c r="N101" s="1147">
        <f t="shared" si="31"/>
        <v>2.2999999999999998</v>
      </c>
    </row>
    <row r="102" spans="1:14">
      <c r="A102" s="3737"/>
      <c r="B102" s="1142">
        <v>1</v>
      </c>
      <c r="C102" s="1143">
        <f>1.9362/C101</f>
        <v>0.84182608695652172</v>
      </c>
      <c r="D102" s="1143">
        <f>1.9362/D101</f>
        <v>0.84182608695652172</v>
      </c>
      <c r="E102" s="1143">
        <f>1.8629/E101</f>
        <v>0.80995652173913046</v>
      </c>
      <c r="F102" s="1143">
        <f>1.8629/F101</f>
        <v>0.80995652173913046</v>
      </c>
      <c r="G102" s="1143">
        <f>1.8629/G101</f>
        <v>0.80995652173913046</v>
      </c>
      <c r="H102" s="1143">
        <f>1.8629/H101</f>
        <v>0.80995652173913046</v>
      </c>
      <c r="I102" s="1143">
        <f>1.8629/I101</f>
        <v>0.80995652173913046</v>
      </c>
      <c r="J102" s="1143">
        <f>1.942/J101</f>
        <v>0.84434782608695658</v>
      </c>
      <c r="K102" s="1143">
        <f>1.942/K101</f>
        <v>0.84434782608695658</v>
      </c>
      <c r="L102" s="1143">
        <f>1.942/L101</f>
        <v>0.84434782608695658</v>
      </c>
      <c r="M102" s="1143">
        <f>1.942/M101</f>
        <v>0.84434782608695658</v>
      </c>
      <c r="N102" s="1143">
        <f>1.942/N101</f>
        <v>0.84434782608695658</v>
      </c>
    </row>
    <row r="103" spans="1:14">
      <c r="A103" s="3737"/>
      <c r="B103" s="1142">
        <v>2</v>
      </c>
      <c r="C103" s="1143">
        <f>1.4198/C101</f>
        <v>0.61730434782608701</v>
      </c>
      <c r="D103" s="1143">
        <f>1.4198/D101</f>
        <v>0.61730434782608701</v>
      </c>
      <c r="E103" s="1143">
        <f>1.3372/E101</f>
        <v>0.58139130434782615</v>
      </c>
      <c r="F103" s="1143">
        <f>1.3372/F101</f>
        <v>0.58139130434782615</v>
      </c>
      <c r="G103" s="1143">
        <f>1.3372/G101</f>
        <v>0.58139130434782615</v>
      </c>
      <c r="H103" s="1143">
        <f>1.3372/H101</f>
        <v>0.58139130434782615</v>
      </c>
      <c r="I103" s="1143">
        <f>1.3372/I101</f>
        <v>0.58139130434782615</v>
      </c>
      <c r="J103" s="1143">
        <f>1.2799/J101</f>
        <v>0.55647826086956531</v>
      </c>
      <c r="K103" s="1143">
        <f>1.2799/K101</f>
        <v>0.55647826086956531</v>
      </c>
      <c r="L103" s="1143">
        <f>1.2799/L101</f>
        <v>0.55647826086956531</v>
      </c>
      <c r="M103" s="1143">
        <f>1.2799/M101</f>
        <v>0.55647826086956531</v>
      </c>
      <c r="N103" s="1143">
        <f>1.2799/N101</f>
        <v>0.55647826086956531</v>
      </c>
    </row>
    <row r="104" spans="1:14">
      <c r="A104" s="3737"/>
      <c r="B104" s="1142">
        <v>3</v>
      </c>
      <c r="C104" s="1143">
        <f>1.1594/C101</f>
        <v>0.50408695652173918</v>
      </c>
      <c r="D104" s="1143">
        <f>1.1594/D101</f>
        <v>0.50408695652173918</v>
      </c>
      <c r="E104" s="1143">
        <f>1.0788/E101</f>
        <v>0.46904347826086962</v>
      </c>
      <c r="F104" s="1143">
        <f>1.0788/F101</f>
        <v>0.46904347826086962</v>
      </c>
      <c r="G104" s="1143">
        <f>1.0788/G101</f>
        <v>0.46904347826086962</v>
      </c>
      <c r="H104" s="1143">
        <f>1.0788/H101</f>
        <v>0.46904347826086962</v>
      </c>
      <c r="I104" s="1143">
        <f>1.0788/I101</f>
        <v>0.46904347826086962</v>
      </c>
      <c r="J104" s="1143">
        <f>1.0072/J101</f>
        <v>0.43791304347826093</v>
      </c>
      <c r="K104" s="1143">
        <f>1.0072/K101</f>
        <v>0.43791304347826093</v>
      </c>
      <c r="L104" s="1143">
        <f>1.0072/L101</f>
        <v>0.43791304347826093</v>
      </c>
      <c r="M104" s="1143">
        <f>1.0072/M101</f>
        <v>0.43791304347826093</v>
      </c>
      <c r="N104" s="1143">
        <f>1.0072/N101</f>
        <v>0.43791304347826093</v>
      </c>
    </row>
    <row r="105" spans="1:14">
      <c r="A105" s="3737"/>
      <c r="B105" s="1142">
        <v>4</v>
      </c>
      <c r="C105" s="1143">
        <f>0.9622/C101</f>
        <v>0.41834782608695659</v>
      </c>
      <c r="D105" s="1143">
        <f>0.9622/D101</f>
        <v>0.41834782608695659</v>
      </c>
      <c r="E105" s="1143">
        <f>0.8656/E101</f>
        <v>0.37634782608695655</v>
      </c>
      <c r="F105" s="1143">
        <f>0.8656/F101</f>
        <v>0.37634782608695655</v>
      </c>
      <c r="G105" s="1143">
        <f>0.8656/G101</f>
        <v>0.37634782608695655</v>
      </c>
      <c r="H105" s="1143">
        <f>0.8656/H101</f>
        <v>0.37634782608695655</v>
      </c>
      <c r="I105" s="1143">
        <f>0.8656/I101</f>
        <v>0.37634782608695655</v>
      </c>
      <c r="J105" s="1143">
        <f>0.7525/J101</f>
        <v>0.32717391304347826</v>
      </c>
      <c r="K105" s="1143">
        <f>0.7525/K101</f>
        <v>0.32717391304347826</v>
      </c>
      <c r="L105" s="1143">
        <f>0.7525/L101</f>
        <v>0.32717391304347826</v>
      </c>
      <c r="M105" s="1143">
        <f>0.7525/M101</f>
        <v>0.32717391304347826</v>
      </c>
      <c r="N105" s="1143">
        <f>0.7525/N101</f>
        <v>0.32717391304347826</v>
      </c>
    </row>
    <row r="106" spans="1:14">
      <c r="A106" s="3737"/>
      <c r="B106" s="1142">
        <v>5</v>
      </c>
      <c r="C106" s="1143">
        <f>0.8417/C101</f>
        <v>0.36595652173913046</v>
      </c>
      <c r="D106" s="1143">
        <f>0.8417/D101</f>
        <v>0.36595652173913046</v>
      </c>
      <c r="E106" s="1143">
        <f>0.7371/E101</f>
        <v>0.32047826086956521</v>
      </c>
      <c r="F106" s="1143">
        <f>0.7371/F101</f>
        <v>0.32047826086956521</v>
      </c>
      <c r="G106" s="1143">
        <f>0.7371/G101</f>
        <v>0.32047826086956521</v>
      </c>
      <c r="H106" s="1143">
        <f>0.7371/H101</f>
        <v>0.32047826086956521</v>
      </c>
      <c r="I106" s="1143">
        <f>0.7371/I101</f>
        <v>0.32047826086956521</v>
      </c>
      <c r="J106" s="1143">
        <f>0.5659/J101</f>
        <v>0.24604347826086956</v>
      </c>
      <c r="K106" s="1143">
        <f>0.5659/K101</f>
        <v>0.24604347826086956</v>
      </c>
      <c r="L106" s="1143">
        <f>0.5659/L101</f>
        <v>0.24604347826086956</v>
      </c>
      <c r="M106" s="1143">
        <f>0.5659/M101</f>
        <v>0.24604347826086956</v>
      </c>
      <c r="N106" s="1143">
        <f>0.5659/N101</f>
        <v>0.24604347826086956</v>
      </c>
    </row>
    <row r="107" spans="1:14">
      <c r="A107" s="3737"/>
      <c r="B107" s="1142">
        <v>6</v>
      </c>
      <c r="C107" s="1143">
        <f>0.7608/C101</f>
        <v>0.33078260869565224</v>
      </c>
      <c r="D107" s="1143">
        <f>0.7608/D101</f>
        <v>0.33078260869565224</v>
      </c>
      <c r="E107" s="1143">
        <f>0.6482/E101</f>
        <v>0.28182608695652178</v>
      </c>
      <c r="F107" s="1143">
        <f>0.6482/F101</f>
        <v>0.28182608695652178</v>
      </c>
      <c r="G107" s="1143">
        <f>0.6482/G101</f>
        <v>0.28182608695652178</v>
      </c>
      <c r="H107" s="1143">
        <f>0.6482/H101</f>
        <v>0.28182608695652178</v>
      </c>
      <c r="I107" s="1143">
        <f>0.6482/I101</f>
        <v>0.28182608695652178</v>
      </c>
      <c r="J107" s="1143">
        <f>0.4525/J101</f>
        <v>0.19673913043478264</v>
      </c>
      <c r="K107" s="1143">
        <f>0.4525/K101</f>
        <v>0.19673913043478264</v>
      </c>
      <c r="L107" s="1143">
        <f>0.4525/L101</f>
        <v>0.19673913043478264</v>
      </c>
      <c r="M107" s="1143">
        <f>0.4525/M101</f>
        <v>0.19673913043478264</v>
      </c>
      <c r="N107" s="1143">
        <f>0.4525/N101</f>
        <v>0.19673913043478264</v>
      </c>
    </row>
    <row r="108" spans="1:14">
      <c r="A108" s="3737"/>
      <c r="B108" s="3739"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38"/>
      <c r="B109" s="3740"/>
      <c r="C109" s="1145">
        <f>(-0.163*(C108^2)-0.59*C108+7617)*(10^(-4))/C101</f>
        <v>0.33051513043478264</v>
      </c>
      <c r="D109" s="1145">
        <f>(-0.163*(D108^2)-0.59*D108+7617)*(10^(-4))/D101</f>
        <v>0.33051513043478264</v>
      </c>
      <c r="E109" s="1145">
        <f>(-0.161*(E108^2)-7.509*E108+6533)*(10^(-4))/E101</f>
        <v>0.28098365217391308</v>
      </c>
      <c r="F109" s="1145">
        <f>(-0.161*(F108^2)-7.509*F108+6533)*(10^(-4))/F101</f>
        <v>0.28098365217391308</v>
      </c>
      <c r="G109" s="1145">
        <f>(-0.161*(G108^2)-7.509*G108+6533)*(10^(-4))/G101</f>
        <v>0.28098365217391308</v>
      </c>
      <c r="H109" s="1145">
        <f>(-0.161*(H108^2)-7.509*H108+6533)*(10^(-4))/H101</f>
        <v>0.28098365217391308</v>
      </c>
      <c r="I109" s="1145">
        <f>(-0.161*(I108^2)-7.509*I108+6533)*(10^(-4))/I101</f>
        <v>0.28098365217391308</v>
      </c>
      <c r="J109" s="1145">
        <f>(-0.214*(J108^2)-21.991*J108+4665)*(10^(-4))/J101</f>
        <v>0.19458156521739134</v>
      </c>
      <c r="K109" s="1145">
        <f>(-0.214*(K108^2)-21.991*K108+4665)*(10^(-4))/K101</f>
        <v>0.19458156521739134</v>
      </c>
      <c r="L109" s="1145">
        <f>(-0.214*(L108^2)-21.991*L108+4665)*(10^(-4))/L101</f>
        <v>0.19458156521739134</v>
      </c>
      <c r="M109" s="1145">
        <f>(-0.214*(M108^2)-21.991*M108+4665)*(10^(-4))/M101</f>
        <v>0.19458156521739134</v>
      </c>
      <c r="N109" s="1145">
        <f>(-0.214*(N108^2)-21.991*N108+4665)*(10^(-4))/N101</f>
        <v>0.19458156521739134</v>
      </c>
    </row>
    <row r="110" spans="1:14">
      <c r="A110" s="3741" t="s">
        <v>1641</v>
      </c>
      <c r="B110" s="3741"/>
      <c r="C110" s="3741"/>
      <c r="D110" s="3741"/>
      <c r="E110" s="3741"/>
      <c r="F110" s="3741"/>
      <c r="G110" s="3741"/>
      <c r="H110" s="3741"/>
      <c r="I110" s="3741"/>
      <c r="J110" s="3741"/>
      <c r="K110" s="2472"/>
      <c r="L110" s="2472"/>
      <c r="M110" s="2472"/>
      <c r="N110" s="2472"/>
    </row>
    <row r="112" spans="1:14" ht="12.75" thickBot="1"/>
    <row r="113" spans="1:13" ht="25.5" thickBot="1">
      <c r="A113" s="1015" t="s">
        <v>897</v>
      </c>
      <c r="B113" s="2475">
        <f>G3</f>
        <v>2.2999999999999998</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0.91190000000000004</v>
      </c>
      <c r="C115" s="1029">
        <f>B115</f>
        <v>0.91190000000000004</v>
      </c>
      <c r="D115" s="1029">
        <f>ROUND(0.8331-0.0109*B113,4)</f>
        <v>0.80800000000000005</v>
      </c>
      <c r="E115" s="1029">
        <f>D115</f>
        <v>0.80800000000000005</v>
      </c>
      <c r="F115" s="1029">
        <f>E115</f>
        <v>0.80800000000000005</v>
      </c>
      <c r="G115" s="1029">
        <f>F115</f>
        <v>0.80800000000000005</v>
      </c>
      <c r="H115" s="1029">
        <f>G115</f>
        <v>0.80800000000000005</v>
      </c>
      <c r="I115" s="1029">
        <f>ROUND(0.689-0.0155*B113,4)</f>
        <v>0.65339999999999998</v>
      </c>
      <c r="J115" s="1029">
        <f t="shared" ref="J115:M118" si="33">I115</f>
        <v>0.65339999999999998</v>
      </c>
      <c r="K115" s="1029">
        <f t="shared" si="33"/>
        <v>0.65339999999999998</v>
      </c>
      <c r="L115" s="1029">
        <f t="shared" si="33"/>
        <v>0.65339999999999998</v>
      </c>
      <c r="M115" s="1030">
        <f t="shared" si="33"/>
        <v>0.65339999999999998</v>
      </c>
    </row>
    <row r="116" spans="1:13" ht="12.75">
      <c r="A116" s="1028" t="s">
        <v>902</v>
      </c>
      <c r="B116" s="1029">
        <f>ROUND(0.949-0.012*B113,4)</f>
        <v>0.9214</v>
      </c>
      <c r="C116" s="1029">
        <f>B116</f>
        <v>0.9214</v>
      </c>
      <c r="D116" s="1029">
        <f>ROUND(0.8567-0.013*B113,4)</f>
        <v>0.82679999999999998</v>
      </c>
      <c r="E116" s="1029">
        <f t="shared" ref="E116:H117" si="34">D116</f>
        <v>0.82679999999999998</v>
      </c>
      <c r="F116" s="1029">
        <f t="shared" si="34"/>
        <v>0.82679999999999998</v>
      </c>
      <c r="G116" s="1029">
        <f t="shared" si="34"/>
        <v>0.82679999999999998</v>
      </c>
      <c r="H116" s="1029">
        <f t="shared" si="34"/>
        <v>0.82679999999999998</v>
      </c>
      <c r="I116" s="1029">
        <f>ROUND(0.7694-0.014*B113,4)</f>
        <v>0.73719999999999997</v>
      </c>
      <c r="J116" s="1029">
        <f t="shared" si="33"/>
        <v>0.73719999999999997</v>
      </c>
      <c r="K116" s="1029">
        <f t="shared" si="33"/>
        <v>0.73719999999999997</v>
      </c>
      <c r="L116" s="1029">
        <f t="shared" si="33"/>
        <v>0.73719999999999997</v>
      </c>
      <c r="M116" s="1030">
        <f t="shared" si="33"/>
        <v>0.73719999999999997</v>
      </c>
    </row>
    <row r="117" spans="1:13" ht="12.75">
      <c r="A117" s="1031" t="s">
        <v>903</v>
      </c>
      <c r="B117" s="1029">
        <f>ROUND(0.8808-0.006*B113,4)</f>
        <v>0.86699999999999999</v>
      </c>
      <c r="C117" s="1029">
        <f>B117</f>
        <v>0.86699999999999999</v>
      </c>
      <c r="D117" s="1029">
        <f>ROUND(0.8748-0.008*B113,4)</f>
        <v>0.85640000000000005</v>
      </c>
      <c r="E117" s="1029">
        <f t="shared" si="34"/>
        <v>0.85640000000000005</v>
      </c>
      <c r="F117" s="1029">
        <f t="shared" si="34"/>
        <v>0.85640000000000005</v>
      </c>
      <c r="G117" s="1029">
        <f t="shared" si="34"/>
        <v>0.85640000000000005</v>
      </c>
      <c r="H117" s="1029">
        <f t="shared" si="34"/>
        <v>0.85640000000000005</v>
      </c>
      <c r="I117" s="1029">
        <f>ROUND(0.7412-0.0095*B113,4)</f>
        <v>0.71940000000000004</v>
      </c>
      <c r="J117" s="1029">
        <f t="shared" si="33"/>
        <v>0.71940000000000004</v>
      </c>
      <c r="K117" s="1029">
        <f t="shared" si="33"/>
        <v>0.71940000000000004</v>
      </c>
      <c r="L117" s="1029">
        <f t="shared" si="33"/>
        <v>0.71940000000000004</v>
      </c>
      <c r="M117" s="1030">
        <f t="shared" si="33"/>
        <v>0.71940000000000004</v>
      </c>
    </row>
    <row r="118" spans="1:13" ht="13.5" thickBot="1">
      <c r="A118" s="1032" t="s">
        <v>904</v>
      </c>
      <c r="B118" s="1033">
        <f>ROUND(0.7275-0.01*B113,4)</f>
        <v>0.70450000000000002</v>
      </c>
      <c r="C118" s="1033">
        <f>B118</f>
        <v>0.70450000000000002</v>
      </c>
      <c r="D118" s="1033">
        <f>ROUND(0.7043-0.012*B113,4)</f>
        <v>0.67669999999999997</v>
      </c>
      <c r="E118" s="1033">
        <f>D118</f>
        <v>0.67669999999999997</v>
      </c>
      <c r="F118" s="1033">
        <f>E118</f>
        <v>0.67669999999999997</v>
      </c>
      <c r="G118" s="1033">
        <f>ROUND(0.6299-0.0122*B113,4)</f>
        <v>0.6018</v>
      </c>
      <c r="H118" s="1033">
        <f>G118</f>
        <v>0.6018</v>
      </c>
      <c r="I118" s="1033">
        <f>ROUND(0.5667-0.0136*B113,4)</f>
        <v>0.53539999999999999</v>
      </c>
      <c r="J118" s="1033">
        <f t="shared" si="33"/>
        <v>0.53539999999999999</v>
      </c>
      <c r="K118" s="1033">
        <f t="shared" si="33"/>
        <v>0.53539999999999999</v>
      </c>
      <c r="L118" s="1033">
        <f t="shared" si="33"/>
        <v>0.53539999999999999</v>
      </c>
      <c r="M118" s="1034">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747" t="s">
        <v>1009</v>
      </c>
      <c r="B18" s="1153" t="s">
        <v>1448</v>
      </c>
      <c r="C18" s="1130" t="s">
        <v>1449</v>
      </c>
      <c r="D18" s="1131"/>
      <c r="E18" s="1153">
        <v>1</v>
      </c>
      <c r="F18" s="1132" t="s">
        <v>1450</v>
      </c>
      <c r="G18" s="1133"/>
      <c r="H18" s="1104"/>
      <c r="I18" s="1104"/>
    </row>
    <row r="19" spans="1:9" s="1599" customFormat="1" ht="19.5" customHeight="1">
      <c r="A19" s="3747"/>
      <c r="B19" s="3747" t="s">
        <v>1451</v>
      </c>
      <c r="C19" s="1130" t="s">
        <v>1452</v>
      </c>
      <c r="D19" s="1131"/>
      <c r="E19" s="1153">
        <v>0.9</v>
      </c>
      <c r="F19" s="1132" t="s">
        <v>1453</v>
      </c>
      <c r="G19" s="1133"/>
      <c r="H19" s="1104"/>
      <c r="I19" s="1104"/>
    </row>
    <row r="20" spans="1:9" s="1599" customFormat="1" ht="19.5" customHeight="1">
      <c r="A20" s="3747"/>
      <c r="B20" s="3747"/>
      <c r="C20" s="1130" t="s">
        <v>1454</v>
      </c>
      <c r="D20" s="1131"/>
      <c r="E20" s="1153">
        <v>1.1000000000000001</v>
      </c>
      <c r="F20" s="1132" t="s">
        <v>1455</v>
      </c>
      <c r="G20" s="1133"/>
      <c r="H20" s="1104"/>
      <c r="I20" s="1104"/>
    </row>
    <row r="21" spans="1:9" s="1599" customFormat="1" ht="19.5" customHeight="1">
      <c r="A21" s="3747"/>
      <c r="B21" s="3747"/>
      <c r="C21" s="1130" t="s">
        <v>1456</v>
      </c>
      <c r="D21" s="1131"/>
      <c r="E21" s="1153">
        <v>0.8</v>
      </c>
      <c r="F21" s="1132" t="s">
        <v>1457</v>
      </c>
      <c r="G21" s="1133"/>
      <c r="H21" s="1104"/>
      <c r="I21" s="1104"/>
    </row>
    <row r="22" spans="1:9" s="1599" customFormat="1" ht="19.5" customHeight="1">
      <c r="A22" s="3747"/>
      <c r="B22" s="3747"/>
      <c r="C22" s="1130" t="s">
        <v>1458</v>
      </c>
      <c r="D22" s="1131"/>
      <c r="E22" s="1153">
        <v>0.5</v>
      </c>
      <c r="F22" s="1132"/>
      <c r="G22" s="1133"/>
      <c r="H22" s="1104"/>
      <c r="I22" s="1104"/>
    </row>
    <row r="23" spans="1:9" s="1599" customFormat="1" ht="19.5" customHeight="1">
      <c r="A23" s="3747" t="s">
        <v>1031</v>
      </c>
      <c r="B23" s="1153" t="s">
        <v>1448</v>
      </c>
      <c r="C23" s="1130" t="s">
        <v>1459</v>
      </c>
      <c r="D23" s="1131"/>
      <c r="E23" s="1153">
        <v>1</v>
      </c>
      <c r="F23" s="1132" t="s">
        <v>1460</v>
      </c>
      <c r="G23" s="1133"/>
      <c r="H23" s="1104"/>
      <c r="I23" s="1104"/>
    </row>
    <row r="24" spans="1:9" s="1599" customFormat="1" ht="19.5" customHeight="1">
      <c r="A24" s="3747"/>
      <c r="B24" s="3747" t="s">
        <v>1451</v>
      </c>
      <c r="C24" s="1130" t="s">
        <v>1461</v>
      </c>
      <c r="D24" s="1131"/>
      <c r="E24" s="1153">
        <v>0.5</v>
      </c>
      <c r="F24" s="1132"/>
      <c r="G24" s="1133"/>
      <c r="H24" s="1104"/>
      <c r="I24" s="1104"/>
    </row>
    <row r="25" spans="1:9" s="1599" customFormat="1" ht="19.5" customHeight="1">
      <c r="A25" s="3747"/>
      <c r="B25" s="3747"/>
      <c r="C25" s="1130" t="s">
        <v>1462</v>
      </c>
      <c r="D25" s="1131"/>
      <c r="E25" s="1153">
        <v>1.1000000000000001</v>
      </c>
      <c r="F25" s="1132"/>
      <c r="G25" s="1133"/>
      <c r="H25" s="1104"/>
      <c r="I25" s="1104"/>
    </row>
    <row r="26" spans="1:9" s="1599" customFormat="1" ht="19.5" customHeight="1">
      <c r="A26" s="3747"/>
      <c r="B26" s="3747"/>
      <c r="C26" s="1130" t="s">
        <v>1463</v>
      </c>
      <c r="D26" s="1131"/>
      <c r="E26" s="1153">
        <v>1.1000000000000001</v>
      </c>
      <c r="F26" s="1132"/>
      <c r="G26" s="1133"/>
      <c r="H26" s="1104"/>
      <c r="I26" s="1104"/>
    </row>
    <row r="27" spans="1:9" s="1599" customFormat="1" ht="19.5" customHeight="1">
      <c r="A27" s="3747"/>
      <c r="B27" s="3747"/>
      <c r="C27" s="1130" t="s">
        <v>1464</v>
      </c>
      <c r="D27" s="1131"/>
      <c r="E27" s="1153">
        <v>0.9</v>
      </c>
      <c r="F27" s="1132" t="s">
        <v>1465</v>
      </c>
      <c r="G27" s="1133"/>
      <c r="H27" s="1104"/>
      <c r="I27" s="1104"/>
    </row>
    <row r="28" spans="1:9" s="1599" customFormat="1" ht="19.5" customHeight="1">
      <c r="A28" s="3747"/>
      <c r="B28" s="3747"/>
      <c r="C28" s="1130" t="s">
        <v>1466</v>
      </c>
      <c r="D28" s="1131"/>
      <c r="E28" s="1153">
        <v>0.9</v>
      </c>
      <c r="F28" s="1132" t="s">
        <v>1467</v>
      </c>
      <c r="G28" s="1133"/>
      <c r="H28" s="1104"/>
      <c r="I28" s="1104"/>
    </row>
    <row r="29" spans="1:9" s="1599" customFormat="1" ht="19.5" customHeight="1">
      <c r="A29" s="3747"/>
      <c r="B29" s="3747"/>
      <c r="C29" s="1130" t="s">
        <v>1468</v>
      </c>
      <c r="D29" s="1131"/>
      <c r="E29" s="1153">
        <v>0.9</v>
      </c>
      <c r="F29" s="1132" t="s">
        <v>1469</v>
      </c>
      <c r="G29" s="1133"/>
      <c r="H29" s="1104"/>
      <c r="I29" s="1104"/>
    </row>
    <row r="30" spans="1:9" s="1599" customFormat="1" ht="19.5" customHeight="1">
      <c r="A30" s="3747"/>
      <c r="B30" s="3747"/>
      <c r="C30" s="1130" t="s">
        <v>1470</v>
      </c>
      <c r="D30" s="1131"/>
      <c r="E30" s="1153">
        <v>0.9</v>
      </c>
      <c r="F30" s="1132" t="s">
        <v>1471</v>
      </c>
      <c r="G30" s="1133"/>
      <c r="H30" s="1104"/>
      <c r="I30" s="1104"/>
    </row>
    <row r="31" spans="1:9" s="1599" customFormat="1" ht="19.5" customHeight="1">
      <c r="A31" s="3747"/>
      <c r="B31" s="3747"/>
      <c r="C31" s="1130" t="s">
        <v>1472</v>
      </c>
      <c r="D31" s="1131"/>
      <c r="E31" s="1153">
        <v>0.8</v>
      </c>
      <c r="F31" s="1132" t="s">
        <v>1473</v>
      </c>
      <c r="G31" s="1133"/>
      <c r="H31" s="1104"/>
      <c r="I31" s="1104"/>
    </row>
    <row r="32" spans="1:9" s="1599" customFormat="1" ht="19.5" customHeight="1">
      <c r="A32" s="3747"/>
      <c r="B32" s="3747"/>
      <c r="C32" s="1130" t="s">
        <v>1474</v>
      </c>
      <c r="D32" s="1131"/>
      <c r="E32" s="1153">
        <v>0.8</v>
      </c>
      <c r="F32" s="1132" t="s">
        <v>1475</v>
      </c>
      <c r="G32" s="1133"/>
      <c r="H32" s="1104"/>
      <c r="I32" s="1104"/>
    </row>
    <row r="33" spans="1:9" s="1599" customFormat="1" ht="19.5" customHeight="1">
      <c r="A33" s="3747" t="s">
        <v>1476</v>
      </c>
      <c r="B33" s="1153" t="s">
        <v>1448</v>
      </c>
      <c r="C33" s="1130" t="s">
        <v>1477</v>
      </c>
      <c r="D33" s="1131"/>
      <c r="E33" s="1153">
        <v>1</v>
      </c>
      <c r="F33" s="1132" t="s">
        <v>1478</v>
      </c>
      <c r="G33" s="1133"/>
      <c r="H33" s="1104"/>
      <c r="I33" s="1104"/>
    </row>
    <row r="34" spans="1:9" s="1599" customFormat="1" ht="19.5" customHeight="1">
      <c r="A34" s="3747"/>
      <c r="B34" s="1153" t="s">
        <v>1451</v>
      </c>
      <c r="C34" s="1130" t="s">
        <v>1479</v>
      </c>
      <c r="D34" s="1131"/>
      <c r="E34" s="1153">
        <v>1.5</v>
      </c>
      <c r="F34" s="1132" t="s">
        <v>1480</v>
      </c>
      <c r="G34" s="1133"/>
      <c r="H34" s="1104"/>
      <c r="I34" s="1104"/>
    </row>
    <row r="35" spans="1:9" s="1599" customFormat="1" ht="19.5" customHeight="1">
      <c r="A35" s="3747" t="s">
        <v>1434</v>
      </c>
      <c r="B35" s="1153" t="s">
        <v>1448</v>
      </c>
      <c r="C35" s="1130" t="s">
        <v>1481</v>
      </c>
      <c r="D35" s="1131"/>
      <c r="E35" s="1153">
        <v>1</v>
      </c>
      <c r="F35" s="1132" t="s">
        <v>1482</v>
      </c>
      <c r="G35" s="1133"/>
      <c r="H35" s="1104"/>
      <c r="I35" s="1104"/>
    </row>
    <row r="36" spans="1:9" s="1599" customFormat="1" ht="19.5" customHeight="1">
      <c r="A36" s="3747"/>
      <c r="B36" s="3747" t="s">
        <v>1451</v>
      </c>
      <c r="C36" s="1130" t="s">
        <v>1483</v>
      </c>
      <c r="D36" s="1131"/>
      <c r="E36" s="1153">
        <v>1</v>
      </c>
      <c r="F36" s="1132" t="s">
        <v>1484</v>
      </c>
      <c r="G36" s="1133"/>
      <c r="H36" s="1104"/>
      <c r="I36" s="1104"/>
    </row>
    <row r="37" spans="1:9" s="1599" customFormat="1" ht="19.5" customHeight="1">
      <c r="A37" s="3747"/>
      <c r="B37" s="3747"/>
      <c r="C37" s="1130" t="s">
        <v>1485</v>
      </c>
      <c r="D37" s="1131"/>
      <c r="E37" s="1153">
        <v>1.5</v>
      </c>
      <c r="F37" s="1132" t="s">
        <v>1486</v>
      </c>
      <c r="G37" s="1133"/>
      <c r="H37" s="1104"/>
      <c r="I37" s="1104"/>
    </row>
    <row r="38" spans="1:9" s="1599" customFormat="1" ht="19.5" customHeight="1">
      <c r="A38" s="3747"/>
      <c r="B38" s="3747"/>
      <c r="C38" s="1130" t="s">
        <v>1487</v>
      </c>
      <c r="D38" s="1131"/>
      <c r="E38" s="1153">
        <v>1</v>
      </c>
      <c r="F38" s="1132" t="s">
        <v>1488</v>
      </c>
      <c r="G38" s="1133"/>
      <c r="H38" s="1104"/>
      <c r="I38" s="1104"/>
    </row>
    <row r="39" spans="1:9" s="1599" customFormat="1" ht="19.5" customHeight="1">
      <c r="A39" s="3747"/>
      <c r="B39" s="3747"/>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47" t="s">
        <v>1503</v>
      </c>
      <c r="C61" s="1067" t="s">
        <v>1504</v>
      </c>
      <c r="D61" s="1067" t="s">
        <v>1505</v>
      </c>
      <c r="E61" s="1138">
        <v>0.5</v>
      </c>
      <c r="F61" s="1153">
        <v>80</v>
      </c>
      <c r="H61" s="1104">
        <f>SUMIF(C59:C119,基准地价!C8,E59:E119)</f>
        <v>0</v>
      </c>
    </row>
    <row r="62" spans="1:8" s="1104" customFormat="1" ht="24">
      <c r="A62" s="1153">
        <v>2</v>
      </c>
      <c r="B62" s="3747"/>
      <c r="C62" s="1067" t="s">
        <v>1506</v>
      </c>
      <c r="D62" s="1067" t="s">
        <v>1507</v>
      </c>
      <c r="E62" s="1138">
        <v>0.5</v>
      </c>
      <c r="F62" s="1153">
        <v>80</v>
      </c>
    </row>
    <row r="63" spans="1:8" s="1104" customFormat="1" ht="36">
      <c r="A63" s="1153">
        <v>3</v>
      </c>
      <c r="B63" s="3747"/>
      <c r="C63" s="1067" t="s">
        <v>1508</v>
      </c>
      <c r="D63" s="1067" t="s">
        <v>1509</v>
      </c>
      <c r="E63" s="1138">
        <v>0.5</v>
      </c>
      <c r="F63" s="1153">
        <v>80</v>
      </c>
    </row>
    <row r="64" spans="1:8" s="1104" customFormat="1" ht="36">
      <c r="A64" s="1153">
        <v>4</v>
      </c>
      <c r="B64" s="3747"/>
      <c r="C64" s="1067" t="s">
        <v>1510</v>
      </c>
      <c r="D64" s="1067" t="s">
        <v>1511</v>
      </c>
      <c r="E64" s="1138">
        <v>0.4</v>
      </c>
      <c r="F64" s="1153">
        <v>60</v>
      </c>
    </row>
    <row r="65" spans="1:6" s="1104" customFormat="1" ht="36">
      <c r="A65" s="1153">
        <v>5</v>
      </c>
      <c r="B65" s="3747"/>
      <c r="C65" s="1067" t="s">
        <v>1512</v>
      </c>
      <c r="D65" s="1067" t="s">
        <v>1513</v>
      </c>
      <c r="E65" s="1138">
        <v>0.2</v>
      </c>
      <c r="F65" s="1153">
        <v>30</v>
      </c>
    </row>
    <row r="66" spans="1:6" s="1104" customFormat="1" ht="36">
      <c r="A66" s="1153">
        <v>6</v>
      </c>
      <c r="B66" s="3747"/>
      <c r="C66" s="1067" t="s">
        <v>1514</v>
      </c>
      <c r="D66" s="1067" t="s">
        <v>1515</v>
      </c>
      <c r="E66" s="1138">
        <v>0.3</v>
      </c>
      <c r="F66" s="1153">
        <v>50</v>
      </c>
    </row>
    <row r="67" spans="1:6" s="1104" customFormat="1" ht="36">
      <c r="A67" s="1153">
        <v>7</v>
      </c>
      <c r="B67" s="3747"/>
      <c r="C67" s="1067" t="s">
        <v>1516</v>
      </c>
      <c r="D67" s="1067" t="s">
        <v>1517</v>
      </c>
      <c r="E67" s="1138">
        <v>0.2</v>
      </c>
      <c r="F67" s="1153">
        <v>30</v>
      </c>
    </row>
    <row r="68" spans="1:6" s="1104" customFormat="1" ht="36">
      <c r="A68" s="1153">
        <v>8</v>
      </c>
      <c r="B68" s="3747"/>
      <c r="C68" s="1067" t="s">
        <v>1518</v>
      </c>
      <c r="D68" s="1067" t="s">
        <v>1519</v>
      </c>
      <c r="E68" s="1138">
        <v>0.2</v>
      </c>
      <c r="F68" s="1153">
        <v>30</v>
      </c>
    </row>
    <row r="69" spans="1:6" s="1104" customFormat="1" ht="36">
      <c r="A69" s="1153">
        <v>9</v>
      </c>
      <c r="B69" s="3747"/>
      <c r="C69" s="1067" t="s">
        <v>1520</v>
      </c>
      <c r="D69" s="1067" t="s">
        <v>1521</v>
      </c>
      <c r="E69" s="1138">
        <v>0.2</v>
      </c>
      <c r="F69" s="1153">
        <v>30</v>
      </c>
    </row>
    <row r="70" spans="1:6" s="1104" customFormat="1" ht="48">
      <c r="A70" s="1153">
        <v>10</v>
      </c>
      <c r="B70" s="3747"/>
      <c r="C70" s="1067" t="s">
        <v>1522</v>
      </c>
      <c r="D70" s="1067" t="s">
        <v>1523</v>
      </c>
      <c r="E70" s="1138">
        <v>0.2</v>
      </c>
      <c r="F70" s="1153">
        <v>30</v>
      </c>
    </row>
    <row r="71" spans="1:6" s="1104" customFormat="1" ht="48">
      <c r="A71" s="1153">
        <v>11</v>
      </c>
      <c r="B71" s="3747"/>
      <c r="C71" s="1067" t="s">
        <v>1524</v>
      </c>
      <c r="D71" s="1067" t="s">
        <v>1525</v>
      </c>
      <c r="E71" s="1138">
        <v>0.2</v>
      </c>
      <c r="F71" s="1153">
        <v>30</v>
      </c>
    </row>
    <row r="72" spans="1:6" s="1104" customFormat="1" ht="36">
      <c r="A72" s="1153">
        <v>12</v>
      </c>
      <c r="B72" s="3747"/>
      <c r="C72" s="1067" t="s">
        <v>1526</v>
      </c>
      <c r="D72" s="1067" t="s">
        <v>1527</v>
      </c>
      <c r="E72" s="1138">
        <v>0.5</v>
      </c>
      <c r="F72" s="1153">
        <v>80</v>
      </c>
    </row>
    <row r="73" spans="1:6" s="1104" customFormat="1" ht="24">
      <c r="A73" s="1153">
        <v>13</v>
      </c>
      <c r="B73" s="3747"/>
      <c r="C73" s="1067" t="s">
        <v>1528</v>
      </c>
      <c r="D73" s="1067" t="s">
        <v>1529</v>
      </c>
      <c r="E73" s="1138">
        <v>0.4</v>
      </c>
      <c r="F73" s="1153">
        <v>60</v>
      </c>
    </row>
    <row r="74" spans="1:6" s="1104" customFormat="1" ht="24">
      <c r="A74" s="1153">
        <v>14</v>
      </c>
      <c r="B74" s="3747"/>
      <c r="C74" s="1067" t="s">
        <v>1530</v>
      </c>
      <c r="D74" s="1067" t="s">
        <v>1531</v>
      </c>
      <c r="E74" s="1138">
        <v>0.2</v>
      </c>
      <c r="F74" s="1153">
        <v>30</v>
      </c>
    </row>
    <row r="75" spans="1:6" s="1104" customFormat="1" ht="24">
      <c r="A75" s="1153">
        <v>15</v>
      </c>
      <c r="B75" s="3747"/>
      <c r="C75" s="1067" t="s">
        <v>1532</v>
      </c>
      <c r="D75" s="1067" t="s">
        <v>1533</v>
      </c>
      <c r="E75" s="1138">
        <v>0.2</v>
      </c>
      <c r="F75" s="1153">
        <v>30</v>
      </c>
    </row>
    <row r="76" spans="1:6" s="1104" customFormat="1" ht="24">
      <c r="A76" s="1153">
        <v>16</v>
      </c>
      <c r="B76" s="3747" t="s">
        <v>1534</v>
      </c>
      <c r="C76" s="1067" t="s">
        <v>1535</v>
      </c>
      <c r="D76" s="1067" t="s">
        <v>1536</v>
      </c>
      <c r="E76" s="1138">
        <v>0.5</v>
      </c>
      <c r="F76" s="1153">
        <v>80</v>
      </c>
    </row>
    <row r="77" spans="1:6" s="1104" customFormat="1" ht="24">
      <c r="A77" s="1153">
        <v>17</v>
      </c>
      <c r="B77" s="3747"/>
      <c r="C77" s="1067" t="s">
        <v>1537</v>
      </c>
      <c r="D77" s="1067" t="s">
        <v>1538</v>
      </c>
      <c r="E77" s="1138">
        <v>0.5</v>
      </c>
      <c r="F77" s="1153">
        <v>80</v>
      </c>
    </row>
    <row r="78" spans="1:6" s="1104" customFormat="1" ht="24">
      <c r="A78" s="1153">
        <v>18</v>
      </c>
      <c r="B78" s="3747"/>
      <c r="C78" s="1067" t="s">
        <v>1539</v>
      </c>
      <c r="D78" s="1067" t="s">
        <v>1540</v>
      </c>
      <c r="E78" s="1138">
        <v>0.2</v>
      </c>
      <c r="F78" s="1153">
        <v>30</v>
      </c>
    </row>
    <row r="79" spans="1:6" s="1104" customFormat="1" ht="24">
      <c r="A79" s="1153">
        <v>19</v>
      </c>
      <c r="B79" s="3747"/>
      <c r="C79" s="1067" t="s">
        <v>1541</v>
      </c>
      <c r="D79" s="1067" t="s">
        <v>1542</v>
      </c>
      <c r="E79" s="1138">
        <v>0.5</v>
      </c>
      <c r="F79" s="1153">
        <v>80</v>
      </c>
    </row>
    <row r="80" spans="1:6" s="1104" customFormat="1" ht="36">
      <c r="A80" s="1153">
        <v>20</v>
      </c>
      <c r="B80" s="3747"/>
      <c r="C80" s="1067" t="s">
        <v>1543</v>
      </c>
      <c r="D80" s="1067" t="s">
        <v>1544</v>
      </c>
      <c r="E80" s="1138">
        <v>0.2</v>
      </c>
      <c r="F80" s="1153">
        <v>30</v>
      </c>
    </row>
    <row r="81" spans="1:6" s="1104" customFormat="1" ht="36">
      <c r="A81" s="1153">
        <v>21</v>
      </c>
      <c r="B81" s="3747"/>
      <c r="C81" s="1067" t="s">
        <v>1545</v>
      </c>
      <c r="D81" s="1067" t="s">
        <v>1546</v>
      </c>
      <c r="E81" s="1138">
        <v>0.2</v>
      </c>
      <c r="F81" s="1153">
        <v>30</v>
      </c>
    </row>
    <row r="82" spans="1:6" s="1104" customFormat="1" ht="48">
      <c r="A82" s="1153">
        <v>22</v>
      </c>
      <c r="B82" s="3747"/>
      <c r="C82" s="1067" t="s">
        <v>1547</v>
      </c>
      <c r="D82" s="1067" t="s">
        <v>1548</v>
      </c>
      <c r="E82" s="1138">
        <v>0.2</v>
      </c>
      <c r="F82" s="1153">
        <v>30</v>
      </c>
    </row>
    <row r="83" spans="1:6" s="1104" customFormat="1" ht="48">
      <c r="A83" s="1153">
        <v>23</v>
      </c>
      <c r="B83" s="3747"/>
      <c r="C83" s="1067" t="s">
        <v>1549</v>
      </c>
      <c r="D83" s="1067" t="s">
        <v>1550</v>
      </c>
      <c r="E83" s="1138">
        <v>0.2</v>
      </c>
      <c r="F83" s="1153">
        <v>30</v>
      </c>
    </row>
    <row r="84" spans="1:6" s="1104" customFormat="1" ht="36">
      <c r="A84" s="1153">
        <v>24</v>
      </c>
      <c r="B84" s="3747"/>
      <c r="C84" s="1067" t="s">
        <v>1551</v>
      </c>
      <c r="D84" s="1067" t="s">
        <v>1552</v>
      </c>
      <c r="E84" s="1138">
        <v>0.2</v>
      </c>
      <c r="F84" s="1153">
        <v>30</v>
      </c>
    </row>
    <row r="85" spans="1:6" s="1104" customFormat="1" ht="36">
      <c r="A85" s="1153">
        <v>25</v>
      </c>
      <c r="B85" s="3747"/>
      <c r="C85" s="1067" t="s">
        <v>1553</v>
      </c>
      <c r="D85" s="1067" t="s">
        <v>1554</v>
      </c>
      <c r="E85" s="1138">
        <v>0.5</v>
      </c>
      <c r="F85" s="1153">
        <v>80</v>
      </c>
    </row>
    <row r="86" spans="1:6" s="1104" customFormat="1" ht="36">
      <c r="A86" s="1153">
        <v>26</v>
      </c>
      <c r="B86" s="3747"/>
      <c r="C86" s="1067" t="s">
        <v>1555</v>
      </c>
      <c r="D86" s="1067" t="s">
        <v>1556</v>
      </c>
      <c r="E86" s="1138">
        <v>0.2</v>
      </c>
      <c r="F86" s="1153">
        <v>30</v>
      </c>
    </row>
    <row r="87" spans="1:6" s="1104" customFormat="1" ht="36">
      <c r="A87" s="1153">
        <v>27</v>
      </c>
      <c r="B87" s="3747"/>
      <c r="C87" s="1067" t="s">
        <v>1557</v>
      </c>
      <c r="D87" s="1067" t="s">
        <v>1558</v>
      </c>
      <c r="E87" s="1138">
        <v>0.2</v>
      </c>
      <c r="F87" s="1153">
        <v>30</v>
      </c>
    </row>
    <row r="88" spans="1:6" s="1104" customFormat="1" ht="36">
      <c r="A88" s="1153">
        <v>28</v>
      </c>
      <c r="B88" s="3747"/>
      <c r="C88" s="1067" t="s">
        <v>1559</v>
      </c>
      <c r="D88" s="1067" t="s">
        <v>1560</v>
      </c>
      <c r="E88" s="1138">
        <v>0.2</v>
      </c>
      <c r="F88" s="1153">
        <v>30</v>
      </c>
    </row>
    <row r="89" spans="1:6" s="1104" customFormat="1" ht="24">
      <c r="A89" s="1153">
        <v>29</v>
      </c>
      <c r="B89" s="3747"/>
      <c r="C89" s="1067" t="s">
        <v>1561</v>
      </c>
      <c r="D89" s="1067" t="s">
        <v>1562</v>
      </c>
      <c r="E89" s="1138">
        <v>0.2</v>
      </c>
      <c r="F89" s="1153">
        <v>30</v>
      </c>
    </row>
    <row r="90" spans="1:6" s="1104" customFormat="1" ht="24">
      <c r="A90" s="1153">
        <v>30</v>
      </c>
      <c r="B90" s="3747"/>
      <c r="C90" s="1067" t="s">
        <v>1563</v>
      </c>
      <c r="D90" s="1067" t="s">
        <v>1564</v>
      </c>
      <c r="E90" s="1138">
        <v>0.2</v>
      </c>
      <c r="F90" s="1153">
        <v>30</v>
      </c>
    </row>
    <row r="91" spans="1:6" s="1104" customFormat="1" ht="36">
      <c r="A91" s="1153">
        <v>31</v>
      </c>
      <c r="B91" s="3747"/>
      <c r="C91" s="1067" t="s">
        <v>1565</v>
      </c>
      <c r="D91" s="1067" t="s">
        <v>1566</v>
      </c>
      <c r="E91" s="1138">
        <v>0.2</v>
      </c>
      <c r="F91" s="1153">
        <v>30</v>
      </c>
    </row>
    <row r="92" spans="1:6" s="1104" customFormat="1" ht="24">
      <c r="A92" s="1153">
        <v>32</v>
      </c>
      <c r="B92" s="3747" t="s">
        <v>1567</v>
      </c>
      <c r="C92" s="1153" t="s">
        <v>1568</v>
      </c>
      <c r="D92" s="1067" t="s">
        <v>1569</v>
      </c>
      <c r="E92" s="1138">
        <v>0.2</v>
      </c>
      <c r="F92" s="1153">
        <v>30</v>
      </c>
    </row>
    <row r="93" spans="1:6" s="1104" customFormat="1" ht="36">
      <c r="A93" s="1153">
        <v>33</v>
      </c>
      <c r="B93" s="3747"/>
      <c r="C93" s="1153" t="s">
        <v>1570</v>
      </c>
      <c r="D93" s="1067" t="s">
        <v>1571</v>
      </c>
      <c r="E93" s="1138">
        <v>0.2</v>
      </c>
      <c r="F93" s="1153">
        <v>30</v>
      </c>
    </row>
    <row r="94" spans="1:6" s="1104" customFormat="1" ht="48">
      <c r="A94" s="1153">
        <v>34</v>
      </c>
      <c r="B94" s="3747"/>
      <c r="C94" s="1153" t="s">
        <v>1572</v>
      </c>
      <c r="D94" s="1067" t="s">
        <v>1573</v>
      </c>
      <c r="E94" s="1138">
        <v>0.2</v>
      </c>
      <c r="F94" s="1153">
        <v>30</v>
      </c>
    </row>
    <row r="95" spans="1:6" s="1104" customFormat="1" ht="36">
      <c r="A95" s="1153">
        <v>35</v>
      </c>
      <c r="B95" s="3747"/>
      <c r="C95" s="1153" t="s">
        <v>1574</v>
      </c>
      <c r="D95" s="1067" t="s">
        <v>1575</v>
      </c>
      <c r="E95" s="1138">
        <v>0.2</v>
      </c>
      <c r="F95" s="1153">
        <v>30</v>
      </c>
    </row>
    <row r="96" spans="1:6" s="1104" customFormat="1" ht="48">
      <c r="A96" s="1153">
        <v>36</v>
      </c>
      <c r="B96" s="3747"/>
      <c r="C96" s="1067" t="s">
        <v>1576</v>
      </c>
      <c r="D96" s="1067" t="s">
        <v>1577</v>
      </c>
      <c r="E96" s="1138">
        <v>0.2</v>
      </c>
      <c r="F96" s="1153">
        <v>30</v>
      </c>
    </row>
    <row r="97" spans="1:6" s="1104" customFormat="1" ht="36">
      <c r="A97" s="1153">
        <v>37</v>
      </c>
      <c r="B97" s="3747"/>
      <c r="C97" s="1153" t="s">
        <v>1578</v>
      </c>
      <c r="D97" s="1067" t="s">
        <v>1579</v>
      </c>
      <c r="E97" s="1138">
        <v>0.2</v>
      </c>
      <c r="F97" s="1153">
        <v>30</v>
      </c>
    </row>
    <row r="98" spans="1:6" s="1104" customFormat="1" ht="36">
      <c r="A98" s="1153">
        <v>38</v>
      </c>
      <c r="B98" s="3747"/>
      <c r="C98" s="1153" t="s">
        <v>1580</v>
      </c>
      <c r="D98" s="1067" t="s">
        <v>1581</v>
      </c>
      <c r="E98" s="1138">
        <v>0.2</v>
      </c>
      <c r="F98" s="1153">
        <v>30</v>
      </c>
    </row>
    <row r="99" spans="1:6" s="1104" customFormat="1" ht="36">
      <c r="A99" s="1153">
        <v>39</v>
      </c>
      <c r="B99" s="3747" t="s">
        <v>1582</v>
      </c>
      <c r="C99" s="1153" t="s">
        <v>1583</v>
      </c>
      <c r="D99" s="1067" t="s">
        <v>1584</v>
      </c>
      <c r="E99" s="1138">
        <v>0.3</v>
      </c>
      <c r="F99" s="1153">
        <v>50</v>
      </c>
    </row>
    <row r="100" spans="1:6" s="1104" customFormat="1" ht="24">
      <c r="A100" s="1153">
        <v>40</v>
      </c>
      <c r="B100" s="3747"/>
      <c r="C100" s="1153" t="s">
        <v>1585</v>
      </c>
      <c r="D100" s="1067" t="s">
        <v>1586</v>
      </c>
      <c r="E100" s="1138">
        <v>0.2</v>
      </c>
      <c r="F100" s="1153">
        <v>30</v>
      </c>
    </row>
    <row r="101" spans="1:6" s="1104" customFormat="1" ht="36">
      <c r="A101" s="1153">
        <v>41</v>
      </c>
      <c r="B101" s="3747"/>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47" t="s">
        <v>1597</v>
      </c>
      <c r="C105" s="1153" t="s">
        <v>1598</v>
      </c>
      <c r="D105" s="1067" t="s">
        <v>1599</v>
      </c>
      <c r="E105" s="1138">
        <v>0.2</v>
      </c>
      <c r="F105" s="1153">
        <v>30</v>
      </c>
    </row>
    <row r="106" spans="1:6" s="1104" customFormat="1" ht="36">
      <c r="A106" s="1153">
        <v>46</v>
      </c>
      <c r="B106" s="3747"/>
      <c r="C106" s="1153" t="s">
        <v>1600</v>
      </c>
      <c r="D106" s="1067" t="s">
        <v>1601</v>
      </c>
      <c r="E106" s="1138">
        <v>0.2</v>
      </c>
      <c r="F106" s="1153">
        <v>30</v>
      </c>
    </row>
    <row r="107" spans="1:6" s="1104" customFormat="1" ht="36">
      <c r="A107" s="1153">
        <v>47</v>
      </c>
      <c r="B107" s="3747" t="s">
        <v>1602</v>
      </c>
      <c r="C107" s="1153" t="s">
        <v>1603</v>
      </c>
      <c r="D107" s="1067" t="s">
        <v>1604</v>
      </c>
      <c r="E107" s="1138">
        <v>0.3</v>
      </c>
      <c r="F107" s="1153">
        <v>50</v>
      </c>
    </row>
    <row r="108" spans="1:6" s="1104" customFormat="1" ht="36">
      <c r="A108" s="1153">
        <v>48</v>
      </c>
      <c r="B108" s="3747"/>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47" t="s">
        <v>1613</v>
      </c>
      <c r="C111" s="1153" t="s">
        <v>1614</v>
      </c>
      <c r="D111" s="1067" t="s">
        <v>1615</v>
      </c>
      <c r="E111" s="1138">
        <v>0.2</v>
      </c>
      <c r="F111" s="1153">
        <v>30</v>
      </c>
    </row>
    <row r="112" spans="1:6" s="1104" customFormat="1" ht="24">
      <c r="A112" s="1153">
        <v>52</v>
      </c>
      <c r="B112" s="3747"/>
      <c r="C112" s="1153" t="s">
        <v>1616</v>
      </c>
      <c r="D112" s="1067" t="s">
        <v>1617</v>
      </c>
      <c r="E112" s="1138">
        <v>0.2</v>
      </c>
      <c r="F112" s="1153">
        <v>30</v>
      </c>
    </row>
    <row r="113" spans="1:14" s="1104" customFormat="1" ht="24">
      <c r="A113" s="1153">
        <v>53</v>
      </c>
      <c r="B113" s="3747"/>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47" t="s">
        <v>1626</v>
      </c>
      <c r="C116" s="1153" t="s">
        <v>1627</v>
      </c>
      <c r="D116" s="1067" t="s">
        <v>1628</v>
      </c>
      <c r="E116" s="1138">
        <v>0.2</v>
      </c>
      <c r="F116" s="1153">
        <v>30</v>
      </c>
    </row>
    <row r="117" spans="1:14" ht="36">
      <c r="A117" s="1153">
        <v>57</v>
      </c>
      <c r="B117" s="3747"/>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46" t="s">
        <v>1635</v>
      </c>
      <c r="B121" s="3746"/>
      <c r="C121" s="3746"/>
      <c r="D121" s="3746"/>
      <c r="E121" s="3746"/>
      <c r="F121" s="3746"/>
      <c r="G121" s="3746"/>
      <c r="H121" s="3746"/>
      <c r="I121" s="3746"/>
      <c r="J121" s="374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51" t="s">
        <v>1041</v>
      </c>
      <c r="B1" s="3751"/>
      <c r="C1" s="3751"/>
      <c r="D1" s="3751"/>
      <c r="E1" s="3751"/>
      <c r="F1" s="3751"/>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52" t="s">
        <v>1054</v>
      </c>
      <c r="B2" s="3752"/>
      <c r="C2" s="3752"/>
      <c r="D2" s="3752"/>
      <c r="E2" s="3752"/>
      <c r="F2" s="3752"/>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53"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54"/>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55" t="s">
        <v>2081</v>
      </c>
      <c r="B1" s="3755"/>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1098</v>
      </c>
      <c r="B6" s="1859" t="s">
        <v>2090</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2091</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2092</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2093</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2094</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2095</v>
      </c>
      <c r="C72" s="1869"/>
      <c r="D72" s="1869"/>
      <c r="E72" s="1869"/>
      <c r="F72" s="1861">
        <v>0.05</v>
      </c>
    </row>
    <row r="73" spans="1:6" ht="14.25" thickBot="1">
      <c r="A73" s="1855" t="s">
        <v>926</v>
      </c>
      <c r="B73" s="1859" t="s">
        <v>2096</v>
      </c>
      <c r="C73" s="1869"/>
      <c r="D73" s="1869"/>
      <c r="E73" s="1869"/>
      <c r="F73" s="1861">
        <v>0.05</v>
      </c>
    </row>
    <row r="74" spans="1:6" ht="14.25" thickBot="1">
      <c r="A74" s="1855" t="s">
        <v>926</v>
      </c>
      <c r="B74" s="1859" t="s">
        <v>2097</v>
      </c>
      <c r="C74" s="1869"/>
      <c r="D74" s="1869"/>
      <c r="E74" s="1869"/>
      <c r="F74" s="1861">
        <v>0.05</v>
      </c>
    </row>
    <row r="75" spans="1:6" ht="14.25" thickBot="1">
      <c r="A75" s="1863" t="s">
        <v>926</v>
      </c>
      <c r="B75" s="1870" t="s">
        <v>2098</v>
      </c>
      <c r="C75" s="1866"/>
      <c r="D75" s="1866"/>
      <c r="E75" s="1866"/>
      <c r="F75" s="1871">
        <v>0.05</v>
      </c>
    </row>
    <row r="76" spans="1:6" ht="14.25" thickBot="1">
      <c r="A76" s="1855" t="s">
        <v>1409</v>
      </c>
      <c r="B76" s="1856" t="s">
        <v>2099</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2100</v>
      </c>
      <c r="C102" s="1869"/>
      <c r="D102" s="1869"/>
      <c r="E102" s="1869"/>
      <c r="F102" s="1861">
        <v>0.05</v>
      </c>
    </row>
    <row r="103" spans="1:6" ht="24.75" thickBot="1">
      <c r="A103" s="1855" t="s">
        <v>1409</v>
      </c>
      <c r="B103" s="1859" t="s">
        <v>2101</v>
      </c>
      <c r="C103" s="1869"/>
      <c r="D103" s="1869"/>
      <c r="E103" s="1869"/>
      <c r="F103" s="1861">
        <v>0.05</v>
      </c>
    </row>
    <row r="104" spans="1:6" ht="14.25" thickBot="1">
      <c r="A104" s="1855" t="s">
        <v>1409</v>
      </c>
      <c r="B104" s="1859" t="s">
        <v>2102</v>
      </c>
      <c r="C104" s="1869"/>
      <c r="D104" s="1869"/>
      <c r="E104" s="1869"/>
      <c r="F104" s="1861">
        <v>0.05</v>
      </c>
    </row>
    <row r="105" spans="1:6" ht="14.25" thickBot="1">
      <c r="A105" s="1855" t="s">
        <v>1409</v>
      </c>
      <c r="B105" s="1859" t="s">
        <v>2103</v>
      </c>
      <c r="C105" s="1869"/>
      <c r="D105" s="1869"/>
      <c r="E105" s="1869"/>
      <c r="F105" s="1861">
        <v>0.05</v>
      </c>
    </row>
    <row r="106" spans="1:6" ht="14.25" thickBot="1">
      <c r="A106" s="1855" t="s">
        <v>1409</v>
      </c>
      <c r="B106" s="1859" t="s">
        <v>2104</v>
      </c>
      <c r="C106" s="1869"/>
      <c r="D106" s="1869"/>
      <c r="E106" s="1869"/>
      <c r="F106" s="1861">
        <v>0.05</v>
      </c>
    </row>
    <row r="107" spans="1:6" ht="24.75" thickBot="1">
      <c r="A107" s="1855" t="s">
        <v>1409</v>
      </c>
      <c r="B107" s="1859" t="s">
        <v>2105</v>
      </c>
      <c r="C107" s="1869"/>
      <c r="D107" s="1869"/>
      <c r="E107" s="1869"/>
      <c r="F107" s="1861">
        <v>0.05</v>
      </c>
    </row>
    <row r="108" spans="1:6" ht="24.75" thickBot="1">
      <c r="A108" s="1855" t="s">
        <v>1409</v>
      </c>
      <c r="B108" s="1859" t="s">
        <v>2106</v>
      </c>
      <c r="C108" s="1869"/>
      <c r="D108" s="1869"/>
      <c r="E108" s="1869"/>
      <c r="F108" s="1861">
        <v>0.05</v>
      </c>
    </row>
    <row r="109" spans="1:6" ht="24.75" thickBot="1">
      <c r="A109" s="1863" t="s">
        <v>1409</v>
      </c>
      <c r="B109" s="1870" t="s">
        <v>2107</v>
      </c>
      <c r="C109" s="1866"/>
      <c r="D109" s="1866"/>
      <c r="E109" s="1866"/>
      <c r="F109" s="1871">
        <v>0.05</v>
      </c>
    </row>
    <row r="110" spans="1:6" ht="14.25" thickBot="1">
      <c r="A110" s="1855" t="s">
        <v>1411</v>
      </c>
      <c r="B110" s="1856" t="s">
        <v>2108</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2109</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2110</v>
      </c>
      <c r="C138" s="1860">
        <v>0.105</v>
      </c>
      <c r="D138" s="1860">
        <v>0.125</v>
      </c>
      <c r="E138" s="1860">
        <v>0.112</v>
      </c>
      <c r="F138" s="1868"/>
    </row>
    <row r="139" spans="1:6" ht="14.25" thickBot="1">
      <c r="A139" s="1855" t="s">
        <v>1411</v>
      </c>
      <c r="B139" s="1859" t="s">
        <v>2111</v>
      </c>
      <c r="C139" s="1860">
        <v>0.127</v>
      </c>
      <c r="D139" s="1860">
        <v>0.127</v>
      </c>
      <c r="E139" s="1860">
        <v>0.122</v>
      </c>
      <c r="F139" s="1861">
        <v>0.13</v>
      </c>
    </row>
    <row r="140" spans="1:6" ht="14.25" thickBot="1">
      <c r="A140" s="1855" t="s">
        <v>1411</v>
      </c>
      <c r="B140" s="1859" t="s">
        <v>2112</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2113</v>
      </c>
      <c r="C144" s="1873">
        <v>0.126</v>
      </c>
      <c r="D144" s="1873">
        <v>0.126</v>
      </c>
      <c r="E144" s="1873">
        <v>0.121</v>
      </c>
      <c r="F144" s="1868"/>
    </row>
    <row r="145" spans="1:6" ht="14.25" thickBot="1">
      <c r="A145" s="1863" t="s">
        <v>1411</v>
      </c>
      <c r="B145" s="1874" t="s">
        <v>2114</v>
      </c>
      <c r="C145" s="1875"/>
      <c r="D145" s="1875"/>
      <c r="E145" s="1875"/>
      <c r="F145" s="1876">
        <v>0.05</v>
      </c>
    </row>
    <row r="146" spans="1:6" ht="24.75" thickBot="1">
      <c r="A146" s="1877" t="s">
        <v>1411</v>
      </c>
      <c r="B146" s="1862" t="s">
        <v>2115</v>
      </c>
      <c r="C146" s="1869"/>
      <c r="D146" s="1869"/>
      <c r="E146" s="1869"/>
      <c r="F146" s="1878">
        <v>0.05</v>
      </c>
    </row>
    <row r="147" spans="1:6" ht="24.75" thickBot="1">
      <c r="A147" s="1855" t="s">
        <v>1411</v>
      </c>
      <c r="B147" s="1859" t="s">
        <v>2116</v>
      </c>
      <c r="C147" s="1869"/>
      <c r="D147" s="1869"/>
      <c r="E147" s="1869"/>
      <c r="F147" s="1861">
        <v>0.05</v>
      </c>
    </row>
    <row r="148" spans="1:6" ht="24.75" thickBot="1">
      <c r="A148" s="1855" t="s">
        <v>1411</v>
      </c>
      <c r="B148" s="1859" t="s">
        <v>2117</v>
      </c>
      <c r="C148" s="1869"/>
      <c r="D148" s="1869"/>
      <c r="E148" s="1869"/>
      <c r="F148" s="1861">
        <v>0.05</v>
      </c>
    </row>
    <row r="149" spans="1:6" ht="24.75" thickBot="1">
      <c r="A149" s="1855" t="s">
        <v>1411</v>
      </c>
      <c r="B149" s="1859" t="s">
        <v>2118</v>
      </c>
      <c r="C149" s="1869"/>
      <c r="D149" s="1869"/>
      <c r="E149" s="1869"/>
      <c r="F149" s="1861">
        <v>0.05</v>
      </c>
    </row>
    <row r="150" spans="1:6" ht="24.75" thickBot="1">
      <c r="A150" s="1855" t="s">
        <v>1411</v>
      </c>
      <c r="B150" s="1859" t="s">
        <v>2119</v>
      </c>
      <c r="C150" s="1869"/>
      <c r="D150" s="1869"/>
      <c r="E150" s="1869"/>
      <c r="F150" s="1861">
        <v>0.05</v>
      </c>
    </row>
    <row r="151" spans="1:6" ht="24.75" thickBot="1">
      <c r="A151" s="1855" t="s">
        <v>1411</v>
      </c>
      <c r="B151" s="1859" t="s">
        <v>2120</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2121</v>
      </c>
      <c r="C153" s="1869"/>
      <c r="D153" s="1869"/>
      <c r="E153" s="1869"/>
      <c r="F153" s="1861">
        <v>0.05</v>
      </c>
    </row>
    <row r="154" spans="1:6" ht="14.25" thickBot="1">
      <c r="A154" s="1855" t="s">
        <v>1411</v>
      </c>
      <c r="B154" s="1859" t="s">
        <v>2122</v>
      </c>
      <c r="C154" s="1869"/>
      <c r="D154" s="1869"/>
      <c r="E154" s="1869"/>
      <c r="F154" s="1861">
        <v>0.05</v>
      </c>
    </row>
    <row r="155" spans="1:6" ht="24.75" thickBot="1">
      <c r="A155" s="1855" t="s">
        <v>1411</v>
      </c>
      <c r="B155" s="1859" t="s">
        <v>2123</v>
      </c>
      <c r="C155" s="1869"/>
      <c r="D155" s="1869"/>
      <c r="E155" s="1869"/>
      <c r="F155" s="1861">
        <v>0.05</v>
      </c>
    </row>
    <row r="156" spans="1:6" ht="24.75" thickBot="1">
      <c r="A156" s="1855" t="s">
        <v>1411</v>
      </c>
      <c r="B156" s="1859" t="s">
        <v>2124</v>
      </c>
      <c r="C156" s="1869"/>
      <c r="D156" s="1869"/>
      <c r="E156" s="1869"/>
      <c r="F156" s="1861">
        <v>0.05</v>
      </c>
    </row>
    <row r="157" spans="1:6" ht="14.25" thickBot="1">
      <c r="A157" s="1863" t="s">
        <v>1411</v>
      </c>
      <c r="B157" s="1870" t="s">
        <v>2125</v>
      </c>
      <c r="C157" s="1866"/>
      <c r="D157" s="1866"/>
      <c r="E157" s="1866"/>
      <c r="F157" s="1871">
        <v>0.05</v>
      </c>
    </row>
    <row r="158" spans="1:6" ht="14.25" thickBot="1">
      <c r="A158" s="1855" t="s">
        <v>1413</v>
      </c>
      <c r="B158" s="1856" t="s">
        <v>2126</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2127</v>
      </c>
      <c r="C171" s="1860">
        <v>0.127</v>
      </c>
      <c r="D171" s="1860">
        <v>0.126</v>
      </c>
      <c r="E171" s="1860">
        <v>0.126</v>
      </c>
      <c r="F171" s="1861">
        <v>0.11799999999999999</v>
      </c>
    </row>
    <row r="172" spans="1:6" ht="14.25" thickBot="1">
      <c r="A172" s="1855" t="s">
        <v>1413</v>
      </c>
      <c r="B172" s="1859" t="s">
        <v>2128</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2129</v>
      </c>
      <c r="C174" s="1860">
        <v>0.13</v>
      </c>
      <c r="D174" s="1860">
        <v>0.13</v>
      </c>
      <c r="E174" s="1860">
        <v>0.13</v>
      </c>
      <c r="F174" s="1861">
        <v>0.13</v>
      </c>
    </row>
    <row r="175" spans="1:6" ht="14.25" thickBot="1">
      <c r="A175" s="1855" t="s">
        <v>1413</v>
      </c>
      <c r="B175" s="1859" t="s">
        <v>2130</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2131</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2132</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2133</v>
      </c>
      <c r="C185" s="1860">
        <v>0.127</v>
      </c>
      <c r="D185" s="1860">
        <v>0.127</v>
      </c>
      <c r="E185" s="1860">
        <v>0.128</v>
      </c>
      <c r="F185" s="1861">
        <v>0.13</v>
      </c>
    </row>
    <row r="186" spans="1:6" ht="24.75" thickBot="1">
      <c r="A186" s="1855" t="s">
        <v>1413</v>
      </c>
      <c r="B186" s="1859" t="s">
        <v>2134</v>
      </c>
      <c r="C186" s="1869"/>
      <c r="D186" s="1869"/>
      <c r="E186" s="1869"/>
      <c r="F186" s="1861">
        <v>0.05</v>
      </c>
    </row>
    <row r="187" spans="1:6" ht="14.25" thickBot="1">
      <c r="A187" s="1855" t="s">
        <v>1413</v>
      </c>
      <c r="B187" s="1859" t="s">
        <v>2135</v>
      </c>
      <c r="C187" s="1869"/>
      <c r="D187" s="1869"/>
      <c r="E187" s="1869"/>
      <c r="F187" s="1861">
        <v>0.05</v>
      </c>
    </row>
    <row r="188" spans="1:6" ht="14.25" thickBot="1">
      <c r="A188" s="1855" t="s">
        <v>1413</v>
      </c>
      <c r="B188" s="1859" t="s">
        <v>2136</v>
      </c>
      <c r="C188" s="1869"/>
      <c r="D188" s="1869"/>
      <c r="E188" s="1869"/>
      <c r="F188" s="1861">
        <v>0.05</v>
      </c>
    </row>
    <row r="189" spans="1:6" ht="24.75" thickBot="1">
      <c r="A189" s="1855" t="s">
        <v>1413</v>
      </c>
      <c r="B189" s="1859" t="s">
        <v>2137</v>
      </c>
      <c r="C189" s="1869"/>
      <c r="D189" s="1869"/>
      <c r="E189" s="1869"/>
      <c r="F189" s="1861">
        <v>0.05</v>
      </c>
    </row>
    <row r="190" spans="1:6" ht="24.75" thickBot="1">
      <c r="A190" s="1855" t="s">
        <v>1413</v>
      </c>
      <c r="B190" s="1859" t="s">
        <v>2138</v>
      </c>
      <c r="C190" s="1869"/>
      <c r="D190" s="1869"/>
      <c r="E190" s="1869"/>
      <c r="F190" s="1861">
        <v>0.05</v>
      </c>
    </row>
    <row r="191" spans="1:6" ht="24.75" thickBot="1">
      <c r="A191" s="1855" t="s">
        <v>1413</v>
      </c>
      <c r="B191" s="1859" t="s">
        <v>2139</v>
      </c>
      <c r="C191" s="1869"/>
      <c r="D191" s="1869"/>
      <c r="E191" s="1869"/>
      <c r="F191" s="1861">
        <v>0.05</v>
      </c>
    </row>
    <row r="192" spans="1:6" ht="24.75" thickBot="1">
      <c r="A192" s="1855" t="s">
        <v>1413</v>
      </c>
      <c r="B192" s="1859" t="s">
        <v>2140</v>
      </c>
      <c r="C192" s="1869"/>
      <c r="D192" s="1869"/>
      <c r="E192" s="1869"/>
      <c r="F192" s="1861">
        <v>0.05</v>
      </c>
    </row>
    <row r="193" spans="1:6" ht="24.75" thickBot="1">
      <c r="A193" s="1855" t="s">
        <v>1413</v>
      </c>
      <c r="B193" s="1859" t="s">
        <v>2141</v>
      </c>
      <c r="C193" s="1869"/>
      <c r="D193" s="1869"/>
      <c r="E193" s="1869"/>
      <c r="F193" s="1861">
        <v>0.05</v>
      </c>
    </row>
    <row r="194" spans="1:6" ht="24.75" thickBot="1">
      <c r="A194" s="1855" t="s">
        <v>1413</v>
      </c>
      <c r="B194" s="1859" t="s">
        <v>2142</v>
      </c>
      <c r="C194" s="1869"/>
      <c r="D194" s="1869"/>
      <c r="E194" s="1869"/>
      <c r="F194" s="1861">
        <v>0.05</v>
      </c>
    </row>
    <row r="195" spans="1:6" ht="14.25" thickBot="1">
      <c r="A195" s="1855" t="s">
        <v>1413</v>
      </c>
      <c r="B195" s="1859" t="s">
        <v>2143</v>
      </c>
      <c r="C195" s="1869"/>
      <c r="D195" s="1869"/>
      <c r="E195" s="1869"/>
      <c r="F195" s="1861">
        <v>0.05</v>
      </c>
    </row>
    <row r="196" spans="1:6" ht="24.75" thickBot="1">
      <c r="A196" s="1855" t="s">
        <v>1413</v>
      </c>
      <c r="B196" s="1859" t="s">
        <v>2144</v>
      </c>
      <c r="C196" s="1869"/>
      <c r="D196" s="1869"/>
      <c r="E196" s="1869"/>
      <c r="F196" s="1861">
        <v>0.05</v>
      </c>
    </row>
    <row r="197" spans="1:6" ht="24.75" thickBot="1">
      <c r="A197" s="1855" t="s">
        <v>1413</v>
      </c>
      <c r="B197" s="1859" t="s">
        <v>2145</v>
      </c>
      <c r="C197" s="1869"/>
      <c r="D197" s="1869"/>
      <c r="E197" s="1869"/>
      <c r="F197" s="1861">
        <v>0.05</v>
      </c>
    </row>
    <row r="198" spans="1:6" ht="24.75" thickBot="1">
      <c r="A198" s="1855" t="s">
        <v>1413</v>
      </c>
      <c r="B198" s="1859" t="s">
        <v>2146</v>
      </c>
      <c r="C198" s="1869"/>
      <c r="D198" s="1869"/>
      <c r="E198" s="1869"/>
      <c r="F198" s="1861">
        <v>0.05</v>
      </c>
    </row>
    <row r="199" spans="1:6" ht="24.75" thickBot="1">
      <c r="A199" s="1855" t="s">
        <v>1413</v>
      </c>
      <c r="B199" s="1859" t="s">
        <v>2147</v>
      </c>
      <c r="C199" s="1869"/>
      <c r="D199" s="1869"/>
      <c r="E199" s="1869"/>
      <c r="F199" s="1861">
        <v>0.05</v>
      </c>
    </row>
    <row r="200" spans="1:6" ht="24.75" thickBot="1">
      <c r="A200" s="1855" t="s">
        <v>1413</v>
      </c>
      <c r="B200" s="1859" t="s">
        <v>2148</v>
      </c>
      <c r="C200" s="1869"/>
      <c r="D200" s="1869"/>
      <c r="E200" s="1869"/>
      <c r="F200" s="1861">
        <v>0.05</v>
      </c>
    </row>
    <row r="201" spans="1:6" ht="24.75" thickBot="1">
      <c r="A201" s="1855" t="s">
        <v>1413</v>
      </c>
      <c r="B201" s="1859" t="s">
        <v>2149</v>
      </c>
      <c r="C201" s="1869"/>
      <c r="D201" s="1869"/>
      <c r="E201" s="1869"/>
      <c r="F201" s="1861">
        <v>0.05</v>
      </c>
    </row>
    <row r="202" spans="1:6" ht="24.75" thickBot="1">
      <c r="A202" s="1855" t="s">
        <v>1413</v>
      </c>
      <c r="B202" s="1859" t="s">
        <v>2150</v>
      </c>
      <c r="C202" s="1869"/>
      <c r="D202" s="1869"/>
      <c r="E202" s="1869"/>
      <c r="F202" s="1861">
        <v>0.05</v>
      </c>
    </row>
    <row r="203" spans="1:6" ht="24.75" thickBot="1">
      <c r="A203" s="1855" t="s">
        <v>1413</v>
      </c>
      <c r="B203" s="1859" t="s">
        <v>2151</v>
      </c>
      <c r="C203" s="1869"/>
      <c r="D203" s="1869"/>
      <c r="E203" s="1869"/>
      <c r="F203" s="1861">
        <v>0.05</v>
      </c>
    </row>
    <row r="204" spans="1:6" ht="14.25" thickBot="1">
      <c r="A204" s="1855" t="s">
        <v>1413</v>
      </c>
      <c r="B204" s="1859" t="s">
        <v>2152</v>
      </c>
      <c r="C204" s="1869"/>
      <c r="D204" s="1869"/>
      <c r="E204" s="1869"/>
      <c r="F204" s="1861">
        <v>0.05</v>
      </c>
    </row>
    <row r="205" spans="1:6" ht="14.25" thickBot="1">
      <c r="A205" s="1863" t="s">
        <v>1413</v>
      </c>
      <c r="B205" s="1870" t="s">
        <v>2153</v>
      </c>
      <c r="C205" s="1866"/>
      <c r="D205" s="1866"/>
      <c r="E205" s="1866"/>
      <c r="F205" s="1871">
        <v>0.05</v>
      </c>
    </row>
    <row r="206" spans="1:6" ht="14.25" thickBot="1">
      <c r="A206" s="1855" t="s">
        <v>1415</v>
      </c>
      <c r="B206" s="1856" t="s">
        <v>2154</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2155</v>
      </c>
      <c r="C210" s="1860">
        <v>0.15</v>
      </c>
      <c r="D210" s="1860">
        <v>0.15</v>
      </c>
      <c r="E210" s="1860">
        <v>0.15</v>
      </c>
      <c r="F210" s="1861">
        <v>0.13800000000000001</v>
      </c>
    </row>
    <row r="211" spans="1:6" ht="14.25" thickBot="1">
      <c r="A211" s="1855" t="s">
        <v>1415</v>
      </c>
      <c r="B211" s="1859" t="s">
        <v>2156</v>
      </c>
      <c r="C211" s="1860">
        <v>0.13700000000000001</v>
      </c>
      <c r="D211" s="1860">
        <v>0.13500000000000001</v>
      </c>
      <c r="E211" s="1860">
        <v>0.13600000000000001</v>
      </c>
      <c r="F211" s="1861">
        <v>0.1</v>
      </c>
    </row>
    <row r="212" spans="1:6" ht="14.25" thickBot="1">
      <c r="A212" s="1855" t="s">
        <v>1415</v>
      </c>
      <c r="B212" s="1859" t="s">
        <v>2157</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2158</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2159</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2160</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2161</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2162</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2163</v>
      </c>
      <c r="C231" s="1860">
        <v>0.128</v>
      </c>
      <c r="D231" s="1860">
        <v>0.125</v>
      </c>
      <c r="E231" s="1860">
        <v>0.13200000000000001</v>
      </c>
      <c r="F231" s="1868"/>
    </row>
    <row r="232" spans="1:6" ht="14.25" thickBot="1">
      <c r="A232" s="1855" t="s">
        <v>1415</v>
      </c>
      <c r="B232" s="1859" t="s">
        <v>2164</v>
      </c>
      <c r="C232" s="1860">
        <v>0.14499999999999999</v>
      </c>
      <c r="D232" s="1860">
        <v>0.14399999999999999</v>
      </c>
      <c r="E232" s="1860">
        <v>0.14599999999999999</v>
      </c>
      <c r="F232" s="1861">
        <v>0.13800000000000001</v>
      </c>
    </row>
    <row r="233" spans="1:6" ht="14.25" thickBot="1">
      <c r="A233" s="1855" t="s">
        <v>1415</v>
      </c>
      <c r="B233" s="1859" t="s">
        <v>2165</v>
      </c>
      <c r="C233" s="1860">
        <v>0.14499999999999999</v>
      </c>
      <c r="D233" s="1860">
        <v>0.14299999999999999</v>
      </c>
      <c r="E233" s="1860">
        <v>0.14199999999999999</v>
      </c>
      <c r="F233" s="1868"/>
    </row>
    <row r="234" spans="1:6" ht="14.25" thickBot="1">
      <c r="A234" s="1855" t="s">
        <v>1415</v>
      </c>
      <c r="B234" s="1859" t="s">
        <v>2166</v>
      </c>
      <c r="C234" s="1860">
        <v>0.14000000000000001</v>
      </c>
      <c r="D234" s="1860">
        <v>0.14000000000000001</v>
      </c>
      <c r="E234" s="1860">
        <v>0.14399999999999999</v>
      </c>
      <c r="F234" s="1868"/>
    </row>
    <row r="235" spans="1:6" ht="14.25" thickBot="1">
      <c r="A235" s="1855" t="s">
        <v>1415</v>
      </c>
      <c r="B235" s="1859" t="s">
        <v>2167</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2168</v>
      </c>
      <c r="C237" s="1869"/>
      <c r="D237" s="1869"/>
      <c r="E237" s="1869"/>
      <c r="F237" s="1861">
        <v>0.05</v>
      </c>
    </row>
    <row r="238" spans="1:6" ht="24.75" thickBot="1">
      <c r="A238" s="1855" t="s">
        <v>1415</v>
      </c>
      <c r="B238" s="1859" t="s">
        <v>2169</v>
      </c>
      <c r="C238" s="1869"/>
      <c r="D238" s="1869"/>
      <c r="E238" s="1869"/>
      <c r="F238" s="1861">
        <v>0.05</v>
      </c>
    </row>
    <row r="239" spans="1:6" ht="24.75" thickBot="1">
      <c r="A239" s="1855" t="s">
        <v>1415</v>
      </c>
      <c r="B239" s="1859" t="s">
        <v>2170</v>
      </c>
      <c r="C239" s="1869"/>
      <c r="D239" s="1869"/>
      <c r="E239" s="1869"/>
      <c r="F239" s="1861">
        <v>0.05</v>
      </c>
    </row>
    <row r="240" spans="1:6" ht="24.75" thickBot="1">
      <c r="A240" s="1855" t="s">
        <v>1415</v>
      </c>
      <c r="B240" s="1859" t="s">
        <v>2171</v>
      </c>
      <c r="C240" s="1869"/>
      <c r="D240" s="1869"/>
      <c r="E240" s="1869"/>
      <c r="F240" s="1861">
        <v>0.05</v>
      </c>
    </row>
    <row r="241" spans="1:6" ht="24.75" thickBot="1">
      <c r="A241" s="1855" t="s">
        <v>1415</v>
      </c>
      <c r="B241" s="1859" t="s">
        <v>2172</v>
      </c>
      <c r="C241" s="1869"/>
      <c r="D241" s="1869"/>
      <c r="E241" s="1869"/>
      <c r="F241" s="1861">
        <v>0.05</v>
      </c>
    </row>
    <row r="242" spans="1:6" ht="24.75" thickBot="1">
      <c r="A242" s="1855" t="s">
        <v>1415</v>
      </c>
      <c r="B242" s="1859" t="s">
        <v>2173</v>
      </c>
      <c r="C242" s="1869"/>
      <c r="D242" s="1869"/>
      <c r="E242" s="1869"/>
      <c r="F242" s="1861">
        <v>0.05</v>
      </c>
    </row>
    <row r="243" spans="1:6" ht="24.75" thickBot="1">
      <c r="A243" s="1855" t="s">
        <v>1415</v>
      </c>
      <c r="B243" s="1859" t="s">
        <v>2174</v>
      </c>
      <c r="C243" s="1869"/>
      <c r="D243" s="1869"/>
      <c r="E243" s="1869"/>
      <c r="F243" s="1861">
        <v>0.05</v>
      </c>
    </row>
    <row r="244" spans="1:6" ht="24.75" thickBot="1">
      <c r="A244" s="1863" t="s">
        <v>1415</v>
      </c>
      <c r="B244" s="1870" t="s">
        <v>2175</v>
      </c>
      <c r="C244" s="1866"/>
      <c r="D244" s="1866"/>
      <c r="E244" s="1866"/>
      <c r="F244" s="1871">
        <v>0.05</v>
      </c>
    </row>
    <row r="245" spans="1:6" ht="14.25" thickBot="1">
      <c r="A245" s="1855" t="s">
        <v>1417</v>
      </c>
      <c r="B245" s="1856" t="s">
        <v>2176</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2177</v>
      </c>
      <c r="C247" s="1860">
        <v>0.15</v>
      </c>
      <c r="D247" s="1860">
        <v>0.15</v>
      </c>
      <c r="E247" s="1860">
        <v>0.15</v>
      </c>
      <c r="F247" s="1861">
        <v>0.15</v>
      </c>
    </row>
    <row r="248" spans="1:6" ht="14.25" thickBot="1">
      <c r="A248" s="1855" t="s">
        <v>1417</v>
      </c>
      <c r="B248" s="1859" t="s">
        <v>2178</v>
      </c>
      <c r="C248" s="1860">
        <v>0.15</v>
      </c>
      <c r="D248" s="1860">
        <v>0.15</v>
      </c>
      <c r="E248" s="1860">
        <v>0.15</v>
      </c>
      <c r="F248" s="1861">
        <v>0.14000000000000001</v>
      </c>
    </row>
    <row r="249" spans="1:6" ht="14.25" thickBot="1">
      <c r="A249" s="1855" t="s">
        <v>1417</v>
      </c>
      <c r="B249" s="1859" t="s">
        <v>2179</v>
      </c>
      <c r="C249" s="1860">
        <v>0.15</v>
      </c>
      <c r="D249" s="1860">
        <v>0.14899999999999999</v>
      </c>
      <c r="E249" s="1860">
        <v>0.15</v>
      </c>
      <c r="F249" s="1861">
        <v>0.1</v>
      </c>
    </row>
    <row r="250" spans="1:6" ht="14.25" thickBot="1">
      <c r="A250" s="1855" t="s">
        <v>1417</v>
      </c>
      <c r="B250" s="1859" t="s">
        <v>2180</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2181</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2182</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2183</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2184</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2185</v>
      </c>
      <c r="C273" s="1860">
        <v>0.14199999999999999</v>
      </c>
      <c r="D273" s="1860">
        <v>0.14299999999999999</v>
      </c>
      <c r="E273" s="1860">
        <v>0.15</v>
      </c>
      <c r="F273" s="1861">
        <v>0.1</v>
      </c>
    </row>
    <row r="274" spans="1:6" ht="14.25" thickBot="1">
      <c r="A274" s="1855" t="s">
        <v>1417</v>
      </c>
      <c r="B274" s="1859" t="s">
        <v>2186</v>
      </c>
      <c r="C274" s="1860">
        <v>0.14799999999999999</v>
      </c>
      <c r="D274" s="1860">
        <v>0.14799999999999999</v>
      </c>
      <c r="E274" s="1860">
        <v>0.15</v>
      </c>
      <c r="F274" s="1861">
        <v>6.7000000000000004E-2</v>
      </c>
    </row>
    <row r="275" spans="1:6" ht="14.25" thickBot="1">
      <c r="A275" s="1855" t="s">
        <v>1417</v>
      </c>
      <c r="B275" s="1859" t="s">
        <v>2187</v>
      </c>
      <c r="C275" s="1860">
        <v>0.15</v>
      </c>
      <c r="D275" s="1860">
        <v>0.15</v>
      </c>
      <c r="E275" s="1860">
        <v>0.15</v>
      </c>
      <c r="F275" s="1861">
        <v>0.15</v>
      </c>
    </row>
    <row r="276" spans="1:6" ht="14.25" thickBot="1">
      <c r="A276" s="1855" t="s">
        <v>1417</v>
      </c>
      <c r="B276" s="1859" t="s">
        <v>2188</v>
      </c>
      <c r="C276" s="1860">
        <v>0.14499999999999999</v>
      </c>
      <c r="D276" s="1860">
        <v>0.14299999999999999</v>
      </c>
      <c r="E276" s="1860">
        <v>0.15</v>
      </c>
      <c r="F276" s="1861">
        <v>5.8999999999999997E-2</v>
      </c>
    </row>
    <row r="277" spans="1:6" ht="14.25" thickBot="1">
      <c r="A277" s="1855" t="s">
        <v>1417</v>
      </c>
      <c r="B277" s="1859" t="s">
        <v>2189</v>
      </c>
      <c r="C277" s="1860">
        <v>0.15</v>
      </c>
      <c r="D277" s="1860">
        <v>0.15</v>
      </c>
      <c r="E277" s="1860">
        <v>0.15</v>
      </c>
      <c r="F277" s="1861">
        <v>0.121</v>
      </c>
    </row>
    <row r="278" spans="1:6" ht="14.25" thickBot="1">
      <c r="A278" s="1855" t="s">
        <v>1417</v>
      </c>
      <c r="B278" s="1859" t="s">
        <v>2190</v>
      </c>
      <c r="C278" s="1860">
        <v>0.15</v>
      </c>
      <c r="D278" s="1860">
        <v>0.15</v>
      </c>
      <c r="E278" s="1860">
        <v>0.15</v>
      </c>
      <c r="F278" s="1861">
        <v>0.13800000000000001</v>
      </c>
    </row>
    <row r="279" spans="1:6" ht="24.75" thickBot="1">
      <c r="A279" s="1855" t="s">
        <v>1417</v>
      </c>
      <c r="B279" s="1859" t="s">
        <v>2191</v>
      </c>
      <c r="C279" s="1869"/>
      <c r="D279" s="1869"/>
      <c r="E279" s="1869"/>
      <c r="F279" s="1861">
        <v>0.05</v>
      </c>
    </row>
    <row r="280" spans="1:6" ht="24.75" thickBot="1">
      <c r="A280" s="1855" t="s">
        <v>1417</v>
      </c>
      <c r="B280" s="1859" t="s">
        <v>2192</v>
      </c>
      <c r="C280" s="1869"/>
      <c r="D280" s="1869"/>
      <c r="E280" s="1869"/>
      <c r="F280" s="1861">
        <v>0.05</v>
      </c>
    </row>
    <row r="281" spans="1:6" ht="24.75" thickBot="1">
      <c r="A281" s="1855" t="s">
        <v>1417</v>
      </c>
      <c r="B281" s="1859" t="s">
        <v>2193</v>
      </c>
      <c r="C281" s="1869"/>
      <c r="D281" s="1869"/>
      <c r="E281" s="1869"/>
      <c r="F281" s="1861">
        <v>0.05</v>
      </c>
    </row>
    <row r="282" spans="1:6" ht="24.75" thickBot="1">
      <c r="A282" s="1855" t="s">
        <v>1417</v>
      </c>
      <c r="B282" s="1859" t="s">
        <v>2194</v>
      </c>
      <c r="C282" s="1869"/>
      <c r="D282" s="1869"/>
      <c r="E282" s="1869"/>
      <c r="F282" s="1861">
        <v>0.05</v>
      </c>
    </row>
    <row r="283" spans="1:6" ht="24.75" thickBot="1">
      <c r="A283" s="1855" t="s">
        <v>1417</v>
      </c>
      <c r="B283" s="1859" t="s">
        <v>2195</v>
      </c>
      <c r="C283" s="1869"/>
      <c r="D283" s="1869"/>
      <c r="E283" s="1869"/>
      <c r="F283" s="1861">
        <v>0.05</v>
      </c>
    </row>
    <row r="284" spans="1:6" ht="24.75" thickBot="1">
      <c r="A284" s="1855" t="s">
        <v>1417</v>
      </c>
      <c r="B284" s="1859" t="s">
        <v>2196</v>
      </c>
      <c r="C284" s="1869"/>
      <c r="D284" s="1869"/>
      <c r="E284" s="1869"/>
      <c r="F284" s="1861">
        <v>0.05</v>
      </c>
    </row>
    <row r="285" spans="1:6" ht="24.75" thickBot="1">
      <c r="A285" s="1855" t="s">
        <v>1417</v>
      </c>
      <c r="B285" s="1859" t="s">
        <v>2197</v>
      </c>
      <c r="C285" s="1869"/>
      <c r="D285" s="1869"/>
      <c r="E285" s="1869"/>
      <c r="F285" s="1861">
        <v>0.05</v>
      </c>
    </row>
    <row r="286" spans="1:6" ht="24.75" thickBot="1">
      <c r="A286" s="1855" t="s">
        <v>1417</v>
      </c>
      <c r="B286" s="1859" t="s">
        <v>2198</v>
      </c>
      <c r="C286" s="1869"/>
      <c r="D286" s="1869"/>
      <c r="E286" s="1869"/>
      <c r="F286" s="1861">
        <v>0.05</v>
      </c>
    </row>
    <row r="287" spans="1:6" ht="24.75" thickBot="1">
      <c r="A287" s="1855" t="s">
        <v>1417</v>
      </c>
      <c r="B287" s="1859" t="s">
        <v>2199</v>
      </c>
      <c r="C287" s="1869"/>
      <c r="D287" s="1869"/>
      <c r="E287" s="1869"/>
      <c r="F287" s="1861">
        <v>0.05</v>
      </c>
    </row>
    <row r="288" spans="1:6" ht="24.75" thickBot="1">
      <c r="A288" s="1855" t="s">
        <v>1417</v>
      </c>
      <c r="B288" s="1859" t="s">
        <v>2200</v>
      </c>
      <c r="C288" s="1869"/>
      <c r="D288" s="1869"/>
      <c r="E288" s="1869"/>
      <c r="F288" s="1861">
        <v>0.05</v>
      </c>
    </row>
    <row r="289" spans="1:6" ht="24.75" thickBot="1">
      <c r="A289" s="1863" t="s">
        <v>1417</v>
      </c>
      <c r="B289" s="1870" t="s">
        <v>2201</v>
      </c>
      <c r="C289" s="1866"/>
      <c r="D289" s="1866"/>
      <c r="E289" s="1866"/>
      <c r="F289" s="1871">
        <v>0.05</v>
      </c>
    </row>
    <row r="290" spans="1:6" ht="14.25" thickBot="1">
      <c r="A290" s="1855" t="s">
        <v>1421</v>
      </c>
      <c r="B290" s="1856" t="s">
        <v>2202</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2203</v>
      </c>
      <c r="C292" s="1860">
        <v>0.15</v>
      </c>
      <c r="D292" s="1860">
        <v>0.15</v>
      </c>
      <c r="E292" s="1860">
        <v>0.15</v>
      </c>
      <c r="F292" s="1861">
        <v>0.14699999999999999</v>
      </c>
    </row>
    <row r="293" spans="1:6" ht="14.25" thickBot="1">
      <c r="A293" s="1855" t="s">
        <v>1421</v>
      </c>
      <c r="B293" s="1859" t="s">
        <v>2204</v>
      </c>
      <c r="C293" s="1869"/>
      <c r="D293" s="1869"/>
      <c r="E293" s="1869"/>
      <c r="F293" s="1861">
        <v>0.1</v>
      </c>
    </row>
    <row r="294" spans="1:6" ht="14.25" thickBot="1">
      <c r="A294" s="1855" t="s">
        <v>1421</v>
      </c>
      <c r="B294" s="1859" t="s">
        <v>2205</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2206</v>
      </c>
      <c r="C296" s="1860">
        <v>0.15</v>
      </c>
      <c r="D296" s="1860">
        <v>0.15</v>
      </c>
      <c r="E296" s="1860">
        <v>0.15</v>
      </c>
      <c r="F296" s="1861">
        <v>0.15</v>
      </c>
    </row>
    <row r="297" spans="1:6" ht="14.25" thickBot="1">
      <c r="A297" s="1855" t="s">
        <v>1421</v>
      </c>
      <c r="B297" s="1859" t="s">
        <v>2207</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2208</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2209</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2210</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2211</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2212</v>
      </c>
      <c r="C310" s="1860">
        <v>0.15</v>
      </c>
      <c r="D310" s="1860">
        <v>0.15</v>
      </c>
      <c r="E310" s="1860">
        <v>0.15</v>
      </c>
      <c r="F310" s="1861">
        <v>0.13700000000000001</v>
      </c>
    </row>
    <row r="311" spans="1:6" ht="14.25" thickBot="1">
      <c r="A311" s="1855" t="s">
        <v>1421</v>
      </c>
      <c r="B311" s="1859" t="s">
        <v>2213</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2214</v>
      </c>
      <c r="C313" s="1860">
        <v>0.15</v>
      </c>
      <c r="D313" s="1860">
        <v>0.15</v>
      </c>
      <c r="E313" s="1860">
        <v>0.15</v>
      </c>
      <c r="F313" s="1861">
        <v>0.15</v>
      </c>
    </row>
    <row r="314" spans="1:6" ht="24.75" thickBot="1">
      <c r="A314" s="1855" t="s">
        <v>1421</v>
      </c>
      <c r="B314" s="1859" t="s">
        <v>2215</v>
      </c>
      <c r="C314" s="1869"/>
      <c r="D314" s="1869"/>
      <c r="E314" s="1869"/>
      <c r="F314" s="1861">
        <v>0.05</v>
      </c>
    </row>
    <row r="315" spans="1:6" ht="24.75" thickBot="1">
      <c r="A315" s="1855" t="s">
        <v>1421</v>
      </c>
      <c r="B315" s="1859" t="s">
        <v>2216</v>
      </c>
      <c r="C315" s="1869"/>
      <c r="D315" s="1869"/>
      <c r="E315" s="1869"/>
      <c r="F315" s="1861">
        <v>0.05</v>
      </c>
    </row>
    <row r="316" spans="1:6" ht="24.75" thickBot="1">
      <c r="A316" s="1863" t="s">
        <v>1421</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1109</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1178</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1198</v>
      </c>
      <c r="C328" s="1860">
        <v>0.15</v>
      </c>
      <c r="D328" s="1860">
        <v>0.15</v>
      </c>
      <c r="E328" s="1860">
        <v>0.15</v>
      </c>
      <c r="F328" s="1861">
        <v>0.14099999999999999</v>
      </c>
    </row>
    <row r="329" spans="1:6" ht="14.25" thickBot="1">
      <c r="A329" s="1855" t="s">
        <v>2218</v>
      </c>
      <c r="B329" s="1859" t="s">
        <v>1208</v>
      </c>
      <c r="C329" s="1860">
        <v>0.15</v>
      </c>
      <c r="D329" s="1860">
        <v>0.15</v>
      </c>
      <c r="E329" s="1860">
        <v>0.15</v>
      </c>
      <c r="F329" s="1861">
        <v>0.15</v>
      </c>
    </row>
    <row r="330" spans="1:6" ht="14.25" thickBot="1">
      <c r="A330" s="1855" t="s">
        <v>2218</v>
      </c>
      <c r="B330" s="1859" t="s">
        <v>1218</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1238</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1258</v>
      </c>
      <c r="C334" s="1860">
        <v>0.15</v>
      </c>
      <c r="D334" s="1860">
        <v>0.15</v>
      </c>
      <c r="E334" s="1860">
        <v>0.15</v>
      </c>
      <c r="F334" s="1861">
        <v>0.15</v>
      </c>
    </row>
    <row r="335" spans="1:6" ht="14.25" thickBot="1">
      <c r="A335" s="1855" t="s">
        <v>2218</v>
      </c>
      <c r="B335" s="1859" t="s">
        <v>1268</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1286</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2954</v>
      </c>
      <c r="B1" s="3135"/>
      <c r="C1" s="3135"/>
      <c r="D1" s="3135"/>
      <c r="E1" s="3135"/>
      <c r="F1" s="3135"/>
    </row>
    <row r="2" spans="1:6" ht="14.25">
      <c r="A2" s="3136" t="s">
        <v>2948</v>
      </c>
      <c r="B2" s="3137" t="e">
        <f ca="1">SUMIF(B7:B14,"&lt;&gt;#ref!",B7:B14)</f>
        <v>#DIV/0!</v>
      </c>
      <c r="C2" s="3136" t="s">
        <v>2949</v>
      </c>
      <c r="D2" s="3135"/>
      <c r="E2" s="3135"/>
      <c r="F2" s="3135"/>
    </row>
    <row r="3" spans="1:6" ht="14.25">
      <c r="A3" s="3136" t="s">
        <v>2951</v>
      </c>
      <c r="B3" s="3137" t="e">
        <f ca="1">ROUND(B2*10000/E3,0)</f>
        <v>#DIV/0!</v>
      </c>
      <c r="C3" s="3136" t="s">
        <v>2080</v>
      </c>
      <c r="D3" s="3136" t="s">
        <v>2950</v>
      </c>
      <c r="E3" s="3137" t="e">
        <f ca="1">SUM(E7:E14)</f>
        <v>#REF!</v>
      </c>
      <c r="F3" s="3135"/>
    </row>
    <row r="4" spans="1:6" ht="14.25">
      <c r="A4" s="3136" t="s">
        <v>2958</v>
      </c>
      <c r="B4" s="3137" t="e">
        <f ca="1">ROUND(B2*10000/E4,0)</f>
        <v>#DIV/0!</v>
      </c>
      <c r="C4" s="3136" t="s">
        <v>2080</v>
      </c>
      <c r="D4" s="3136" t="s">
        <v>2959</v>
      </c>
      <c r="E4" s="3137" t="e">
        <f ca="1">SUM(F7:F14)</f>
        <v>#REF!</v>
      </c>
      <c r="F4" s="3135"/>
    </row>
    <row r="5" spans="1:6" ht="14.25">
      <c r="A5" s="3138"/>
      <c r="B5" s="1881"/>
      <c r="C5" s="1881"/>
      <c r="D5" s="1881"/>
      <c r="E5" s="1881"/>
      <c r="F5" s="3135"/>
    </row>
    <row r="6" spans="1:6" ht="28.5">
      <c r="A6" s="3139" t="s">
        <v>2955</v>
      </c>
      <c r="B6" s="3136" t="s">
        <v>2952</v>
      </c>
      <c r="C6" s="3137"/>
      <c r="D6" s="1881"/>
      <c r="E6" s="3136" t="s">
        <v>2953</v>
      </c>
      <c r="F6" s="3136" t="s">
        <v>2957</v>
      </c>
    </row>
    <row r="7" spans="1:6" ht="14.25">
      <c r="A7" s="259" t="s">
        <v>2956</v>
      </c>
      <c r="B7" s="3140" t="e">
        <f ca="1">SUMIF(INDIRECT("'"&amp;A7&amp;"'"&amp;"!A:A"),"总价",INDIRECT("'"&amp;A7&amp;"'"&amp;"!B:B"))</f>
        <v>#DIV/0!</v>
      </c>
      <c r="C7" s="3136" t="s">
        <v>2949</v>
      </c>
      <c r="D7" s="1881"/>
      <c r="E7" s="3141">
        <f ca="1">SUMIF(INDIRECT("'"&amp;A7&amp;"'"&amp;"!C:C"),"建筑面积",INDIRECT("'"&amp;A7&amp;"'"&amp;"!D:D"))</f>
        <v>0</v>
      </c>
      <c r="F7" s="3141">
        <f ca="1">SUMIF(INDIRECT("'"&amp;A7&amp;"'"&amp;"!E:E"),"土地面积",INDIRECT("'"&amp;A7&amp;"'"&amp;"!F:F"))</f>
        <v>0</v>
      </c>
    </row>
    <row r="8" spans="1:6" ht="14.25">
      <c r="A8" s="259"/>
      <c r="B8" s="3140" t="e">
        <f t="shared" ref="B8:B14" ca="1" si="0">SUMIF(INDIRECT("'"&amp;A8&amp;"'"&amp;"!A:A"),"总价",INDIRECT("'"&amp;A8&amp;"'"&amp;"!B:B"))</f>
        <v>#REF!</v>
      </c>
      <c r="C8" s="3136" t="s">
        <v>2949</v>
      </c>
      <c r="D8" s="1881"/>
      <c r="E8" s="3141" t="e">
        <f t="shared" ref="E8:E14" ca="1" si="1">SUMIF(INDIRECT("'"&amp;A8&amp;"'"&amp;"!C:C"),"建筑面积",INDIRECT("'"&amp;A8&amp;"'"&amp;"!D:D"))</f>
        <v>#REF!</v>
      </c>
      <c r="F8" s="3141" t="e">
        <f t="shared" ref="F8:F14" ca="1" si="2">SUMIF(INDIRECT("'"&amp;A8&amp;"'"&amp;"!E:E"),"土地面积",INDIRECT("'"&amp;A8&amp;"'"&amp;"!F:F"))</f>
        <v>#REF!</v>
      </c>
    </row>
    <row r="9" spans="1:6" ht="14.25">
      <c r="A9" s="259"/>
      <c r="B9" s="3140" t="e">
        <f t="shared" ca="1" si="0"/>
        <v>#REF!</v>
      </c>
      <c r="C9" s="3136" t="s">
        <v>2949</v>
      </c>
      <c r="D9" s="1881"/>
      <c r="E9" s="3141" t="e">
        <f t="shared" ca="1" si="1"/>
        <v>#REF!</v>
      </c>
      <c r="F9" s="3141" t="e">
        <f t="shared" ca="1" si="2"/>
        <v>#REF!</v>
      </c>
    </row>
    <row r="10" spans="1:6" ht="14.25">
      <c r="A10" s="259"/>
      <c r="B10" s="3140" t="e">
        <f t="shared" ca="1" si="0"/>
        <v>#REF!</v>
      </c>
      <c r="C10" s="3136" t="s">
        <v>2949</v>
      </c>
      <c r="D10" s="1881"/>
      <c r="E10" s="3141" t="e">
        <f t="shared" ca="1" si="1"/>
        <v>#REF!</v>
      </c>
      <c r="F10" s="3141" t="e">
        <f t="shared" ca="1" si="2"/>
        <v>#REF!</v>
      </c>
    </row>
    <row r="11" spans="1:6" ht="14.25">
      <c r="A11" s="259"/>
      <c r="B11" s="3140" t="e">
        <f t="shared" ca="1" si="0"/>
        <v>#REF!</v>
      </c>
      <c r="C11" s="3136" t="s">
        <v>2949</v>
      </c>
      <c r="D11" s="1881"/>
      <c r="E11" s="3141" t="e">
        <f t="shared" ca="1" si="1"/>
        <v>#REF!</v>
      </c>
      <c r="F11" s="3141" t="e">
        <f t="shared" ca="1" si="2"/>
        <v>#REF!</v>
      </c>
    </row>
    <row r="12" spans="1:6" ht="14.25">
      <c r="A12" s="259"/>
      <c r="B12" s="3140" t="e">
        <f t="shared" ca="1" si="0"/>
        <v>#REF!</v>
      </c>
      <c r="C12" s="3136" t="s">
        <v>2949</v>
      </c>
      <c r="D12" s="1881"/>
      <c r="E12" s="3141" t="e">
        <f t="shared" ca="1" si="1"/>
        <v>#REF!</v>
      </c>
      <c r="F12" s="3141" t="e">
        <f t="shared" ca="1" si="2"/>
        <v>#REF!</v>
      </c>
    </row>
    <row r="13" spans="1:6" ht="14.25">
      <c r="A13" s="259"/>
      <c r="B13" s="3140" t="e">
        <f t="shared" ca="1" si="0"/>
        <v>#REF!</v>
      </c>
      <c r="C13" s="3136" t="s">
        <v>2949</v>
      </c>
      <c r="D13" s="1881"/>
      <c r="E13" s="3141" t="e">
        <f t="shared" ca="1" si="1"/>
        <v>#REF!</v>
      </c>
      <c r="F13" s="3141" t="e">
        <f t="shared" ca="1" si="2"/>
        <v>#REF!</v>
      </c>
    </row>
    <row r="14" spans="1:6" ht="14.25">
      <c r="A14" s="3134"/>
      <c r="B14" s="3140" t="e">
        <f t="shared" ca="1" si="0"/>
        <v>#REF!</v>
      </c>
      <c r="C14" s="3136" t="s">
        <v>2949</v>
      </c>
      <c r="D14" s="1881"/>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2376</v>
      </c>
      <c r="F1" s="2412">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4">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5" t="s">
        <v>696</v>
      </c>
      <c r="I3" s="2057"/>
      <c r="J3" s="2057"/>
      <c r="K3" s="2058"/>
      <c r="L3" s="2057"/>
      <c r="M3" s="2057"/>
    </row>
    <row r="4" spans="1:25" ht="18" customHeight="1">
      <c r="A4" s="1646" t="s">
        <v>697</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698</v>
      </c>
      <c r="D5" s="2055"/>
      <c r="E5" s="2056"/>
      <c r="F5" s="2056"/>
      <c r="G5" s="1590"/>
      <c r="H5" s="775"/>
      <c r="I5" s="2057"/>
      <c r="J5" s="2057"/>
      <c r="K5" s="2058"/>
      <c r="L5" s="2057"/>
      <c r="M5" s="2057"/>
    </row>
    <row r="6" spans="1:25" ht="18" customHeight="1">
      <c r="A6" s="1828" t="s">
        <v>699</v>
      </c>
      <c r="B6" s="1820" t="s">
        <v>700</v>
      </c>
      <c r="C6" s="1820" t="s">
        <v>633</v>
      </c>
      <c r="D6" s="1820" t="s">
        <v>634</v>
      </c>
      <c r="E6" s="778" t="s">
        <v>635</v>
      </c>
      <c r="F6" s="779"/>
      <c r="G6" s="1592"/>
      <c r="H6" s="1828" t="s">
        <v>631</v>
      </c>
      <c r="I6" s="1820" t="s">
        <v>632</v>
      </c>
      <c r="J6" s="1820" t="s">
        <v>633</v>
      </c>
      <c r="K6" s="1820" t="s">
        <v>634</v>
      </c>
      <c r="L6" s="778" t="s">
        <v>635</v>
      </c>
      <c r="M6" s="779"/>
    </row>
    <row r="7" spans="1:25" ht="18" customHeight="1">
      <c r="A7" s="780">
        <v>1</v>
      </c>
      <c r="B7" s="781" t="s">
        <v>2461</v>
      </c>
      <c r="C7" s="53">
        <f ca="1">C8+C12+C14</f>
        <v>0</v>
      </c>
      <c r="D7" s="2520" t="s">
        <v>2464</v>
      </c>
      <c r="E7" s="2514"/>
      <c r="F7" s="2515"/>
      <c r="G7" s="1592"/>
      <c r="H7" s="780">
        <v>1</v>
      </c>
      <c r="I7" s="781" t="s">
        <v>2461</v>
      </c>
      <c r="J7" s="53">
        <f ca="1">J8+J12+J14</f>
        <v>0</v>
      </c>
      <c r="K7" s="2520" t="s">
        <v>2464</v>
      </c>
      <c r="L7" s="2514"/>
      <c r="M7" s="2515"/>
    </row>
    <row r="8" spans="1:25" ht="18" customHeight="1">
      <c r="A8" s="1830" t="s">
        <v>1826</v>
      </c>
      <c r="B8" s="3757" t="s">
        <v>2466</v>
      </c>
      <c r="C8" s="1825">
        <f ca="1">ROUND(F8*F10*F9*(1-F11)/10000,0)</f>
        <v>0</v>
      </c>
      <c r="D8" s="1822" t="s">
        <v>2538</v>
      </c>
      <c r="E8" s="61" t="s">
        <v>638</v>
      </c>
      <c r="F8" s="784">
        <f ca="1">INDIRECT("'数据-取费表'!u"&amp;$G$1)</f>
        <v>0</v>
      </c>
      <c r="G8" s="1592"/>
      <c r="H8" s="2528" t="s">
        <v>1826</v>
      </c>
      <c r="I8" s="3757" t="s">
        <v>2466</v>
      </c>
      <c r="J8" s="782">
        <f ca="1">ROUND(M8*M10*M9*(1-M11)/10000,0)</f>
        <v>0</v>
      </c>
      <c r="K8" s="340" t="s">
        <v>2538</v>
      </c>
      <c r="L8" s="783" t="s">
        <v>1740</v>
      </c>
      <c r="M8" s="784">
        <f ca="1">INDIRECT("'数据-取费表'!z"&amp;$G$1)</f>
        <v>0</v>
      </c>
    </row>
    <row r="9" spans="1:25" ht="18" customHeight="1">
      <c r="A9" s="2524"/>
      <c r="B9" s="3758"/>
      <c r="C9" s="1826"/>
      <c r="D9" s="1823"/>
      <c r="E9" s="61" t="s">
        <v>639</v>
      </c>
      <c r="F9" s="784">
        <f ca="1">IF(INDIRECT("'数据-取费表'!ah"&amp;$G$1)="",INDIRECT("'数据-取费表'!k"&amp;$G$1),INDIRECT("'数据-取费表'!ah"&amp;$G$1))</f>
        <v>0</v>
      </c>
      <c r="G9" s="1592"/>
      <c r="H9" s="2513"/>
      <c r="I9" s="3758"/>
      <c r="J9" s="787"/>
      <c r="K9" s="788"/>
      <c r="L9" s="783" t="s">
        <v>1741</v>
      </c>
      <c r="M9" s="784">
        <f ca="1">F9</f>
        <v>0</v>
      </c>
    </row>
    <row r="10" spans="1:25" ht="18" customHeight="1">
      <c r="A10" s="2517"/>
      <c r="B10" s="3759"/>
      <c r="C10" s="1826"/>
      <c r="D10" s="1823"/>
      <c r="E10" s="61" t="s">
        <v>640</v>
      </c>
      <c r="F10" s="784">
        <f ca="1">INDIRECT("'数据-取费表'!ai"&amp;$G$1)</f>
        <v>0</v>
      </c>
      <c r="G10" s="1592"/>
      <c r="H10" s="2513"/>
      <c r="I10" s="3759"/>
      <c r="J10" s="787"/>
      <c r="K10" s="788"/>
      <c r="L10" s="783" t="s">
        <v>1742</v>
      </c>
      <c r="M10" s="784">
        <f ca="1">INDIRECT("'数据-取费表'!ai"&amp;$G$1)</f>
        <v>0</v>
      </c>
    </row>
    <row r="11" spans="1:25" ht="18" customHeight="1">
      <c r="A11" s="785"/>
      <c r="B11" s="3760"/>
      <c r="C11" s="1826"/>
      <c r="D11" s="1823"/>
      <c r="E11" s="61" t="s">
        <v>641</v>
      </c>
      <c r="F11" s="793">
        <f ca="1">INDIRECT("'数据-取费表'!w"&amp;$G$1)</f>
        <v>0</v>
      </c>
      <c r="G11" s="1592"/>
      <c r="H11" s="2529"/>
      <c r="I11" s="3759"/>
      <c r="J11" s="787"/>
      <c r="K11" s="788"/>
      <c r="L11" s="794" t="s">
        <v>1743</v>
      </c>
      <c r="M11" s="795">
        <f ca="1">INDIRECT("'数据-取费表'!ab"&amp;$G$1)</f>
        <v>0</v>
      </c>
    </row>
    <row r="12" spans="1:25" ht="18" customHeight="1">
      <c r="A12" s="1830" t="s">
        <v>1827</v>
      </c>
      <c r="B12" s="2518" t="s">
        <v>2462</v>
      </c>
      <c r="C12" s="798">
        <f ca="1">ROUND(IF(F12="押一",F8*F10*F9/12*F13,IF(F12="押二",F8*F10*F9/12*2*F13,IF(F12="押三",F8*F10*F9/12*3*F13,C13*F13)))/10000,0)</f>
        <v>0</v>
      </c>
      <c r="D12" s="2525" t="s">
        <v>2469</v>
      </c>
      <c r="E12" s="2522" t="s">
        <v>2467</v>
      </c>
      <c r="F12" s="2645"/>
      <c r="G12" s="1592"/>
      <c r="H12" s="2585" t="s">
        <v>1827</v>
      </c>
      <c r="I12" s="2590" t="s">
        <v>2462</v>
      </c>
      <c r="J12" s="782">
        <f ca="1">ROUND(IF(M12="押一",M8*M10*M9/12*M13,IF(M12="押二",M8*M10*M9/12*2*M13,IF(M12="押三",M8*M10*M9/12*3*M13,J13*M13)))/10000,0)</f>
        <v>0</v>
      </c>
      <c r="K12" s="2525" t="s">
        <v>2469</v>
      </c>
      <c r="L12" s="2522" t="s">
        <v>2467</v>
      </c>
      <c r="M12" s="2645"/>
    </row>
    <row r="13" spans="1:25" ht="18" customHeight="1">
      <c r="A13" s="789"/>
      <c r="B13" s="2519" t="s">
        <v>2577</v>
      </c>
      <c r="C13" s="2523"/>
      <c r="D13" s="788"/>
      <c r="E13" s="2522" t="s">
        <v>2459</v>
      </c>
      <c r="F13" s="795">
        <f ca="1">'数据-取费表'!B39</f>
        <v>1.4999999999999999E-2</v>
      </c>
      <c r="G13" s="1592"/>
      <c r="H13" s="2586"/>
      <c r="I13" s="2519" t="s">
        <v>2577</v>
      </c>
      <c r="J13" s="2523"/>
      <c r="K13" s="2587"/>
      <c r="L13" s="2522" t="s">
        <v>2459</v>
      </c>
      <c r="M13" s="2516">
        <f ca="1">'数据-取费表'!B39</f>
        <v>1.4999999999999999E-2</v>
      </c>
    </row>
    <row r="14" spans="1:25" ht="18" customHeight="1" thickBot="1">
      <c r="A14" s="2561" t="s">
        <v>2471</v>
      </c>
      <c r="B14" s="2562" t="s">
        <v>2463</v>
      </c>
      <c r="C14" s="2563"/>
      <c r="D14" s="2564"/>
      <c r="E14" s="2565"/>
      <c r="F14" s="2566"/>
      <c r="G14" s="1592"/>
      <c r="H14" s="2575" t="s">
        <v>2471</v>
      </c>
      <c r="I14" s="2588" t="s">
        <v>2463</v>
      </c>
      <c r="J14" s="2589"/>
      <c r="K14" s="2564"/>
      <c r="L14" s="2565"/>
      <c r="M14" s="2578"/>
    </row>
    <row r="15" spans="1:25" ht="18" customHeight="1" thickTop="1">
      <c r="A15" s="1829" t="s">
        <v>1876</v>
      </c>
      <c r="B15" s="1827" t="s">
        <v>642</v>
      </c>
      <c r="C15" s="791">
        <f ca="1">ROUND(C31*F15,0)</f>
        <v>0</v>
      </c>
      <c r="D15" s="1834" t="s">
        <v>643</v>
      </c>
      <c r="E15" s="794" t="s">
        <v>644</v>
      </c>
      <c r="F15" s="799">
        <f ca="1">INDIRECT("'数据-取费表'!y"&amp;$G$1)</f>
        <v>0</v>
      </c>
      <c r="G15" s="1592"/>
      <c r="H15" s="1829" t="s">
        <v>1828</v>
      </c>
      <c r="I15" s="1827" t="s">
        <v>645</v>
      </c>
      <c r="J15" s="1819">
        <f ca="1">ROUND(J16*J17,0)</f>
        <v>0</v>
      </c>
      <c r="K15" s="1821" t="s">
        <v>643</v>
      </c>
      <c r="L15" s="800"/>
      <c r="M15" s="801"/>
    </row>
    <row r="16" spans="1:25" ht="18" customHeight="1">
      <c r="A16" s="802" t="s">
        <v>1877</v>
      </c>
      <c r="B16" s="783" t="s">
        <v>646</v>
      </c>
      <c r="C16" s="803">
        <f ca="1">INDIRECT("'数据-取费表'!m"&amp;$G$1)+INDIRECT("'数据-取费表'!t"&amp;$G$1)</f>
        <v>0</v>
      </c>
      <c r="D16" s="1979" t="s">
        <v>647</v>
      </c>
      <c r="E16" s="1980"/>
      <c r="F16" s="804"/>
      <c r="G16" s="1592"/>
      <c r="H16" s="802" t="s">
        <v>2071</v>
      </c>
      <c r="I16" s="2231" t="s">
        <v>2829</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0.03</v>
      </c>
      <c r="G17" s="1593"/>
      <c r="H17" s="802" t="s">
        <v>2072</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150</v>
      </c>
      <c r="G19" s="1593"/>
      <c r="H19" s="802" t="s">
        <v>2071</v>
      </c>
      <c r="I19" s="783" t="s">
        <v>657</v>
      </c>
      <c r="J19" s="53">
        <f ca="1">ROUND(IF(项目基本情况!B11="自然人",J7*M19,J20+J21+J22),0)</f>
        <v>0</v>
      </c>
      <c r="K19" s="1979" t="s">
        <v>658</v>
      </c>
      <c r="L19" s="1977" t="s">
        <v>659</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7" t="s">
        <v>662</v>
      </c>
      <c r="L20" s="783" t="s">
        <v>650</v>
      </c>
      <c r="M20" s="808">
        <f>'数据-取费表'!B41</f>
        <v>6.2719999999999998E-2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0" t="s">
        <v>664</v>
      </c>
      <c r="E21" s="1982"/>
      <c r="F21" s="56"/>
      <c r="G21" s="1592"/>
      <c r="H21" s="1830"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0.01</v>
      </c>
      <c r="G22" s="1593"/>
      <c r="H22" s="1832" t="s">
        <v>1852</v>
      </c>
      <c r="I22" s="1822" t="s">
        <v>669</v>
      </c>
      <c r="J22" s="54">
        <f ca="1">ROUND(M22*M23/10000,0)</f>
        <v>0</v>
      </c>
      <c r="K22" s="813" t="s">
        <v>670</v>
      </c>
      <c r="L22" s="783" t="s">
        <v>671</v>
      </c>
      <c r="M22" s="639">
        <f>'数据-取费表'!B52</f>
        <v>0</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0.01</v>
      </c>
      <c r="G23" s="1593"/>
      <c r="H23" s="1833"/>
      <c r="I23" s="1824"/>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2"/>
      <c r="H24" s="1831" t="s">
        <v>2072</v>
      </c>
      <c r="I24" s="783" t="s">
        <v>677</v>
      </c>
      <c r="J24" s="53">
        <f ca="1">ROUND(J16*M24,0)</f>
        <v>0</v>
      </c>
      <c r="K24" s="1977" t="s">
        <v>678</v>
      </c>
      <c r="L24" s="783" t="s">
        <v>650</v>
      </c>
      <c r="M24" s="816">
        <f ca="1">INDIRECT("'数据-取费表'!Ak"&amp;$G$1)</f>
        <v>0</v>
      </c>
    </row>
    <row r="25" spans="1:25" s="2064" customFormat="1" ht="18" customHeight="1">
      <c r="A25" s="802" t="s">
        <v>1877</v>
      </c>
      <c r="B25" s="783" t="s">
        <v>2439</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v>
      </c>
      <c r="G25" s="1593"/>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5.0000000000000001E-4</v>
      </c>
      <c r="D26" s="2595"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0" t="s">
        <v>686</v>
      </c>
      <c r="E27" s="1982"/>
      <c r="F27" s="56"/>
      <c r="G27" s="1592"/>
      <c r="H27" s="796" t="s">
        <v>1830</v>
      </c>
      <c r="I27" s="3036" t="s">
        <v>2826</v>
      </c>
      <c r="J27" s="798">
        <f ca="1">J7-J18</f>
        <v>0</v>
      </c>
      <c r="K27" s="1979" t="s">
        <v>701</v>
      </c>
      <c r="L27" s="1981"/>
      <c r="M27" s="819"/>
    </row>
    <row r="28" spans="1:25" ht="18" customHeight="1">
      <c r="A28" s="802" t="s">
        <v>1877</v>
      </c>
      <c r="B28" s="783" t="s">
        <v>2440</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5.9400000000000001E-2</v>
      </c>
      <c r="D30" s="811" t="s">
        <v>710</v>
      </c>
      <c r="E30" s="783" t="s">
        <v>650</v>
      </c>
      <c r="F30" s="808">
        <f>'数据-取费表'!B41</f>
        <v>6.2719999999999998E-2</v>
      </c>
      <c r="G30" s="1593"/>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2827</v>
      </c>
      <c r="C31" s="2568">
        <f ca="1">ROUND((C21+C22+C25+C28)/(1-F23-C26-C29-C30),0)</f>
        <v>0</v>
      </c>
      <c r="D31" s="2569"/>
      <c r="E31" s="2570"/>
      <c r="F31" s="2571"/>
      <c r="G31" s="1593"/>
      <c r="H31" s="822" t="s">
        <v>1874</v>
      </c>
      <c r="I31" s="3037" t="s">
        <v>2828</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1">
        <f ca="1">ROUND(C33+C38+C39+C40,0)</f>
        <v>0</v>
      </c>
      <c r="D32" s="1821"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6.2719999999999998E-2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0</v>
      </c>
      <c r="G36" s="2062"/>
      <c r="H36" s="2065"/>
      <c r="I36" s="3756"/>
      <c r="J36" s="2079"/>
      <c r="K36" s="2080"/>
      <c r="L36" s="2079"/>
      <c r="M36" s="2079"/>
    </row>
    <row r="37" spans="1:18" ht="18" customHeight="1">
      <c r="A37" s="814"/>
      <c r="B37" s="792"/>
      <c r="C37" s="69"/>
      <c r="D37" s="815"/>
      <c r="E37" s="783" t="s">
        <v>675</v>
      </c>
      <c r="F37" s="784">
        <f ca="1">INDIRECT("'数据-取费表'!r"&amp;$G$1)</f>
        <v>0</v>
      </c>
      <c r="G37" s="2062"/>
      <c r="H37" s="2065"/>
      <c r="I37" s="3756"/>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4" t="s">
        <v>2967</v>
      </c>
      <c r="F43" s="3155">
        <f ca="1">INDIRECT("'数据-取费表'!j"&amp;$G$1)</f>
        <v>0</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3">
        <f ca="1">ROUND(-PV(F45,F46,C44,0),0)</f>
        <v>0</v>
      </c>
      <c r="D45" s="1357" t="s">
        <v>717</v>
      </c>
      <c r="E45" s="805" t="s">
        <v>718</v>
      </c>
      <c r="F45" s="829">
        <f ca="1">INDIRECT("'数据-取费表'!h"&amp;$G$1)</f>
        <v>0</v>
      </c>
      <c r="G45" s="2062"/>
      <c r="H45" s="2062"/>
      <c r="I45" s="2062"/>
      <c r="J45" s="2062"/>
      <c r="K45" s="2083"/>
      <c r="L45" s="2062"/>
      <c r="M45" s="2062"/>
    </row>
    <row r="46" spans="1:18" ht="18" customHeight="1" thickBot="1">
      <c r="A46" s="830"/>
      <c r="B46" s="1358"/>
      <c r="C46" s="1359"/>
      <c r="D46" s="1360"/>
      <c r="E46" s="3156" t="s">
        <v>2970</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2381" t="str">
        <f ca="1">IF(M48="住宅",0,IF(L49&gt;J52,L61,J61))</f>
        <v>0</v>
      </c>
      <c r="O47" s="2418" t="s">
        <v>2412</v>
      </c>
      <c r="P47" s="1592"/>
      <c r="Q47" s="1604"/>
      <c r="R47" s="1592"/>
    </row>
    <row r="48" spans="1:18" s="2059" customFormat="1" ht="18" customHeight="1" thickBot="1">
      <c r="A48" s="2084"/>
      <c r="C48" s="2087"/>
      <c r="D48" s="2088"/>
      <c r="E48" s="2088"/>
      <c r="F48" s="2089"/>
      <c r="G48" s="2090"/>
      <c r="I48" s="2382" t="s">
        <v>2345</v>
      </c>
      <c r="J48" s="2387"/>
      <c r="K48" s="2388" t="s">
        <v>2351</v>
      </c>
      <c r="L48" s="2389">
        <f ca="1">INDIRECT("'数据-取费表'!d"&amp;$G$1)</f>
        <v>0</v>
      </c>
      <c r="M48" s="3151" t="str">
        <f>IF(ISNUMBER(FIND("住宅",C1)),"住宅","非住宅")</f>
        <v>非住宅</v>
      </c>
      <c r="O48" s="2419" t="s">
        <v>2377</v>
      </c>
      <c r="P48" s="2420" t="s">
        <v>2378</v>
      </c>
      <c r="Q48" s="2421" t="s">
        <v>2379</v>
      </c>
      <c r="R48" s="2420" t="s">
        <v>2380</v>
      </c>
    </row>
    <row r="49" spans="1:18" s="2059" customFormat="1" ht="18" customHeight="1" thickBot="1">
      <c r="A49" s="2084"/>
      <c r="D49" s="2091"/>
      <c r="E49" s="2092"/>
      <c r="F49" s="2089"/>
      <c r="G49" s="2090"/>
      <c r="H49" s="2093"/>
      <c r="I49" s="2383" t="s">
        <v>2346</v>
      </c>
      <c r="J49" s="2390"/>
      <c r="K49" s="2391" t="s">
        <v>2353</v>
      </c>
      <c r="L49" s="2392">
        <f ca="1">INDIRECT("'数据-取费表'!f"&amp;$G$1)</f>
        <v>0</v>
      </c>
      <c r="O49" s="2422" t="s">
        <v>2381</v>
      </c>
      <c r="P49" s="2423" t="s">
        <v>2407</v>
      </c>
      <c r="Q49" s="2424">
        <f ca="1">C41+J31</f>
        <v>0</v>
      </c>
      <c r="R49" s="2423" t="s">
        <v>2382</v>
      </c>
    </row>
    <row r="50" spans="1:18" s="2059" customFormat="1" ht="18" customHeight="1" thickBot="1">
      <c r="A50" s="2084"/>
      <c r="D50" s="2094"/>
      <c r="E50" s="2094"/>
      <c r="F50" s="2088"/>
      <c r="G50" s="2095"/>
      <c r="H50" s="2093"/>
      <c r="I50" s="2383" t="s">
        <v>2347</v>
      </c>
      <c r="J50" s="2393"/>
      <c r="K50" s="2394" t="s">
        <v>2354</v>
      </c>
      <c r="L50" s="2395"/>
      <c r="O50" s="2422" t="s">
        <v>2383</v>
      </c>
      <c r="P50" s="2423" t="s">
        <v>2408</v>
      </c>
      <c r="Q50" s="2424" t="str">
        <f ca="1">J61</f>
        <v>0</v>
      </c>
      <c r="R50" s="2423" t="s">
        <v>2384</v>
      </c>
    </row>
    <row r="51" spans="1:18" s="2059" customFormat="1" ht="18" customHeight="1" thickBot="1">
      <c r="A51" s="2096"/>
      <c r="D51" s="2094"/>
      <c r="E51" s="2094"/>
      <c r="F51" s="2085"/>
      <c r="H51" s="2093"/>
      <c r="I51" s="2383" t="s">
        <v>2348</v>
      </c>
      <c r="J51" s="2396">
        <f>SUMPRODUCT((I64:I66=J48)*(J63:L63=J49)*(J64:L66))</f>
        <v>0</v>
      </c>
      <c r="K51" s="2394" t="s">
        <v>2355</v>
      </c>
      <c r="L51" s="2395"/>
      <c r="O51" s="2425" t="s">
        <v>2385</v>
      </c>
      <c r="P51" s="2423" t="s">
        <v>2409</v>
      </c>
      <c r="Q51" s="2424">
        <f ca="1">C31</f>
        <v>0</v>
      </c>
      <c r="R51" s="2423" t="s">
        <v>2382</v>
      </c>
    </row>
    <row r="52" spans="1:18" s="2059" customFormat="1" ht="18" customHeight="1" thickBot="1">
      <c r="A52" s="2096"/>
      <c r="F52" s="2085"/>
      <c r="I52" s="2384" t="s">
        <v>2349</v>
      </c>
      <c r="J52" s="2397">
        <f>IF(J50="",J51,J50+J51-YEAR('数据-取费表'!B3))</f>
        <v>0</v>
      </c>
      <c r="K52" s="2383" t="s">
        <v>2356</v>
      </c>
      <c r="L52" s="2398">
        <f ca="1">ROUND(-PV(INDIRECT("'数据-取费表'!h"&amp;$G$1),L49,(C40-C14*J36),0),0)</f>
        <v>0</v>
      </c>
      <c r="O52" s="2425" t="s">
        <v>2386</v>
      </c>
      <c r="P52" s="2423" t="s">
        <v>2387</v>
      </c>
      <c r="Q52" s="2426" t="e">
        <f ca="1">J59</f>
        <v>#VALUE!</v>
      </c>
      <c r="R52" s="2427"/>
    </row>
    <row r="53" spans="1:18" s="2059" customFormat="1" ht="18" customHeight="1" thickBot="1">
      <c r="A53" s="2096"/>
      <c r="F53" s="2085"/>
      <c r="I53" s="2385" t="s">
        <v>2423</v>
      </c>
      <c r="J53" s="2399"/>
      <c r="K53" s="2385" t="s">
        <v>2422</v>
      </c>
      <c r="L53" s="2399"/>
      <c r="O53" s="2425" t="s">
        <v>2388</v>
      </c>
      <c r="P53" s="2423" t="s">
        <v>2389</v>
      </c>
      <c r="Q53" s="2426">
        <f>J53</f>
        <v>0</v>
      </c>
      <c r="R53" s="2427"/>
    </row>
    <row r="54" spans="1:18" s="2059" customFormat="1" ht="43.5" thickBot="1">
      <c r="A54" s="2096"/>
      <c r="I54" s="2386" t="s">
        <v>2350</v>
      </c>
      <c r="J54" s="2400">
        <f ca="1">IF(M48="住宅",J52,IF(J52&gt;L49,L49-'数据-取费表'!B25,J52))</f>
        <v>0</v>
      </c>
      <c r="K54" s="3761"/>
      <c r="L54" s="3762"/>
      <c r="O54" s="2425" t="s">
        <v>2390</v>
      </c>
      <c r="P54" s="2423" t="s">
        <v>2391</v>
      </c>
      <c r="Q54" s="2424">
        <f ca="1">J54</f>
        <v>0</v>
      </c>
      <c r="R54" s="2423" t="s">
        <v>2392</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2393</v>
      </c>
      <c r="P55" s="2423" t="s">
        <v>2410</v>
      </c>
      <c r="Q55" s="2424">
        <f ca="1">Q49+Q50</f>
        <v>0</v>
      </c>
      <c r="R55" s="2427" t="s">
        <v>2394</v>
      </c>
    </row>
    <row r="56" spans="1:18" s="2059" customFormat="1" ht="16.5" thickBot="1">
      <c r="A56" s="2096"/>
      <c r="B56" s="2097"/>
      <c r="C56" s="2097"/>
      <c r="I56" s="3128" t="s">
        <v>2357</v>
      </c>
      <c r="J56" s="3152" t="e">
        <f ca="1">ROUND(IF(J48="钢混",J58/J51,1-(1-2%)*(J51-J58)/J51),3)</f>
        <v>#VALUE!</v>
      </c>
      <c r="K56" s="2401" t="s">
        <v>2358</v>
      </c>
      <c r="L56" s="2402"/>
      <c r="O56" s="2428" t="s">
        <v>2413</v>
      </c>
      <c r="P56" s="1592"/>
      <c r="Q56" s="1604"/>
      <c r="R56" s="1592"/>
    </row>
    <row r="57" spans="1:18" s="2059" customFormat="1" ht="43.5" thickBot="1">
      <c r="A57" s="2096"/>
      <c r="B57" s="2097"/>
      <c r="C57" s="2097"/>
      <c r="I57" s="2403" t="s">
        <v>2359</v>
      </c>
      <c r="J57" s="3151" t="s">
        <v>1680</v>
      </c>
      <c r="K57" s="2383" t="s">
        <v>2364</v>
      </c>
      <c r="L57" s="2392">
        <f ca="1">IF(L49&lt;J52,"——",L49-J52)</f>
        <v>0</v>
      </c>
      <c r="O57" s="2419" t="s">
        <v>2377</v>
      </c>
      <c r="P57" s="2420" t="s">
        <v>2378</v>
      </c>
      <c r="Q57" s="2421" t="s">
        <v>2379</v>
      </c>
      <c r="R57" s="2420" t="s">
        <v>2380</v>
      </c>
    </row>
    <row r="58" spans="1:18" s="2059" customFormat="1" ht="29.25" thickBot="1">
      <c r="A58" s="2096"/>
      <c r="B58" s="2097"/>
      <c r="C58" s="2097"/>
      <c r="I58" s="2404" t="s">
        <v>2360</v>
      </c>
      <c r="J58" s="2406" t="str">
        <f ca="1">IF(OR(M48="住宅",J52&lt;L49,J57="是"),"——",J52-L49)</f>
        <v>——</v>
      </c>
      <c r="K58" s="2383" t="s">
        <v>2365</v>
      </c>
      <c r="L58" s="2392">
        <f ca="1">IF(L49&lt;J52,"——",IF(L56="比较法",L50,IF(L56="基准地价",L51,L52)))</f>
        <v>0</v>
      </c>
      <c r="O58" s="2422" t="s">
        <v>2381</v>
      </c>
      <c r="P58" s="2423" t="s">
        <v>2407</v>
      </c>
      <c r="Q58" s="2424">
        <f ca="1">C41+J31</f>
        <v>0</v>
      </c>
      <c r="R58" s="2423" t="s">
        <v>2382</v>
      </c>
    </row>
    <row r="59" spans="1:18" s="2059" customFormat="1" ht="29.25" thickBot="1">
      <c r="A59" s="2096"/>
      <c r="B59" s="2097"/>
      <c r="C59" s="2097"/>
      <c r="I59" s="2404" t="s">
        <v>2361</v>
      </c>
      <c r="J59" s="3153" t="e">
        <f ca="1">IF(J56&lt;0.4,0.4,J56)</f>
        <v>#VALUE!</v>
      </c>
      <c r="K59" s="2383" t="s">
        <v>2366</v>
      </c>
      <c r="L59" s="2392">
        <f ca="1">IF(ISERROR(POWER(1+L53,L48-L49)*(POWER(1+L53,L49)-1)/(POWER(1+L53,L48)-1)),0,POWER(1+L53,L48-L49)*(POWER(1+L53,L49)-1)/(POWER(1+L53,L48)-1))</f>
        <v>0</v>
      </c>
      <c r="O59" s="2422" t="s">
        <v>2383</v>
      </c>
      <c r="P59" s="2423" t="s">
        <v>2414</v>
      </c>
      <c r="Q59" s="2424" t="e">
        <f ca="1">L61</f>
        <v>#DIV/0!</v>
      </c>
      <c r="R59" s="2427" t="s">
        <v>2416</v>
      </c>
    </row>
    <row r="60" spans="1:18" s="2059" customFormat="1" ht="29.25" thickBot="1">
      <c r="A60" s="2096"/>
      <c r="B60" s="2097"/>
      <c r="C60" s="2097"/>
      <c r="I60" s="2404" t="s">
        <v>2362</v>
      </c>
      <c r="J60" s="2406" t="str">
        <f ca="1">IF(OR(M48="住宅",J52&lt;L49,J57="是"),"——",ROUND(C30*J59,0))</f>
        <v>——</v>
      </c>
      <c r="K60" s="2383" t="s">
        <v>2367</v>
      </c>
      <c r="L60" s="2392">
        <f ca="1">IF(ISERROR(POWER(1+L53,L48-J52)*(POWER(1+L53,J52)-1)/(POWER(1+L53,L48)-1)),0,POWER(1+L53,L48-J52)*(POWER(1+L53,J52)-1)/(POWER(1+L53,L48)-1))</f>
        <v>0</v>
      </c>
      <c r="O60" s="2425" t="s">
        <v>2385</v>
      </c>
      <c r="P60" s="2423" t="s">
        <v>2415</v>
      </c>
      <c r="Q60" s="2424">
        <f>IF(L56="比较法",L50,IF(L56="基准地价",L51,0))</f>
        <v>0</v>
      </c>
      <c r="R60" s="2423" t="s">
        <v>2382</v>
      </c>
    </row>
    <row r="61" spans="1:18" s="2059" customFormat="1" ht="15.75" thickBot="1">
      <c r="A61" s="2096"/>
      <c r="B61" s="2097"/>
      <c r="C61" s="2097"/>
      <c r="I61" s="2405" t="s">
        <v>2363</v>
      </c>
      <c r="J61" s="2407" t="str">
        <f ca="1">IF(OR(M48="住宅",J52&lt;L49,J57="是"),"0",ROUND(J60/(1+J53)^J54,0))</f>
        <v>0</v>
      </c>
      <c r="K61" s="2408" t="s">
        <v>2368</v>
      </c>
      <c r="L61" s="2407" t="e">
        <f ca="1">IF(OR(M48="住宅",L49&lt;J52),0,ROUND(L58*(L59/L60-1),0))</f>
        <v>#DIV/0!</v>
      </c>
      <c r="O61" s="2425" t="s">
        <v>2386</v>
      </c>
      <c r="P61" s="2423" t="s">
        <v>2395</v>
      </c>
      <c r="Q61" s="2426">
        <f>L53</f>
        <v>0</v>
      </c>
      <c r="R61" s="2427"/>
    </row>
    <row r="62" spans="1:18" s="2059" customFormat="1" ht="20.25" thickBot="1">
      <c r="A62" s="2096"/>
      <c r="B62" s="2097"/>
      <c r="C62" s="2097"/>
      <c r="K62" s="2086"/>
      <c r="O62" s="2425" t="s">
        <v>2388</v>
      </c>
      <c r="P62" s="2423" t="s">
        <v>2396</v>
      </c>
      <c r="Q62" s="2424">
        <f ca="1">L59</f>
        <v>0</v>
      </c>
      <c r="R62" s="2427" t="s">
        <v>2397</v>
      </c>
    </row>
    <row r="63" spans="1:18" s="2059" customFormat="1" ht="20.25" thickBot="1">
      <c r="A63" s="2096"/>
      <c r="B63" s="2097"/>
      <c r="C63" s="2097"/>
      <c r="I63" s="2409" t="s">
        <v>2369</v>
      </c>
      <c r="J63" s="2410" t="s">
        <v>2370</v>
      </c>
      <c r="K63" s="2410" t="s">
        <v>2371</v>
      </c>
      <c r="L63" s="2410" t="s">
        <v>2352</v>
      </c>
      <c r="M63" s="3130" t="s">
        <v>2946</v>
      </c>
      <c r="O63" s="2425" t="s">
        <v>2390</v>
      </c>
      <c r="P63" s="2423" t="s">
        <v>2398</v>
      </c>
      <c r="Q63" s="2424">
        <f ca="1">L60</f>
        <v>0</v>
      </c>
      <c r="R63" s="2427" t="s">
        <v>2399</v>
      </c>
    </row>
    <row r="64" spans="1:18" s="2059" customFormat="1" ht="15.75" thickBot="1">
      <c r="A64" s="2096"/>
      <c r="B64" s="2097"/>
      <c r="C64" s="2097"/>
      <c r="I64" s="2409" t="s">
        <v>2372</v>
      </c>
      <c r="J64" s="2410">
        <v>70</v>
      </c>
      <c r="K64" s="2410">
        <v>50</v>
      </c>
      <c r="L64" s="2410">
        <v>80</v>
      </c>
      <c r="M64" s="3131">
        <v>0.02</v>
      </c>
      <c r="O64" s="2422" t="s">
        <v>2393</v>
      </c>
      <c r="P64" s="2423" t="s">
        <v>2410</v>
      </c>
      <c r="Q64" s="2424" t="e">
        <f ca="1">Q58+Q59</f>
        <v>#DIV/0!</v>
      </c>
      <c r="R64" s="2427" t="s">
        <v>2394</v>
      </c>
    </row>
    <row r="65" spans="1:18" s="2059" customFormat="1" ht="16.5" thickBot="1">
      <c r="A65" s="2096"/>
      <c r="B65" s="2097"/>
      <c r="C65" s="2097"/>
      <c r="I65" s="2409" t="s">
        <v>2373</v>
      </c>
      <c r="J65" s="2410">
        <v>50</v>
      </c>
      <c r="K65" s="2410">
        <v>35</v>
      </c>
      <c r="L65" s="2410">
        <v>60</v>
      </c>
      <c r="M65" s="3132">
        <v>0</v>
      </c>
      <c r="O65" s="2428" t="s">
        <v>2417</v>
      </c>
      <c r="P65" s="1592"/>
      <c r="Q65" s="1604"/>
      <c r="R65" s="1592"/>
    </row>
    <row r="66" spans="1:18" s="2059" customFormat="1" ht="15.75" thickBot="1">
      <c r="A66" s="2096"/>
      <c r="B66" s="2097"/>
      <c r="C66" s="2097"/>
      <c r="I66" s="2409" t="s">
        <v>2374</v>
      </c>
      <c r="J66" s="2410">
        <v>40</v>
      </c>
      <c r="K66" s="2410">
        <v>30</v>
      </c>
      <c r="L66" s="2410">
        <v>50</v>
      </c>
      <c r="M66" s="3131">
        <v>0.02</v>
      </c>
      <c r="O66" s="2419" t="s">
        <v>2377</v>
      </c>
      <c r="P66" s="2420" t="s">
        <v>2378</v>
      </c>
      <c r="Q66" s="2421" t="s">
        <v>2379</v>
      </c>
      <c r="R66" s="2420" t="s">
        <v>2380</v>
      </c>
    </row>
    <row r="67" spans="1:18" s="2059" customFormat="1" ht="15.75" thickBot="1">
      <c r="A67" s="2096"/>
      <c r="B67" s="2097"/>
      <c r="C67" s="2097"/>
      <c r="K67" s="2086"/>
      <c r="O67" s="2422" t="s">
        <v>2381</v>
      </c>
      <c r="P67" s="2423" t="s">
        <v>2407</v>
      </c>
      <c r="Q67" s="2424">
        <f ca="1">C41+J31</f>
        <v>0</v>
      </c>
      <c r="R67" s="2423" t="s">
        <v>2382</v>
      </c>
    </row>
    <row r="68" spans="1:18" s="2059" customFormat="1" ht="20.25" thickBot="1">
      <c r="A68" s="2096"/>
      <c r="B68" s="2097"/>
      <c r="C68" s="2097"/>
      <c r="K68" s="2086"/>
      <c r="O68" s="2422" t="s">
        <v>2383</v>
      </c>
      <c r="P68" s="2423" t="s">
        <v>2414</v>
      </c>
      <c r="Q68" s="2424" t="e">
        <f ca="1">L61</f>
        <v>#DIV/0!</v>
      </c>
      <c r="R68" s="2427" t="s">
        <v>2416</v>
      </c>
    </row>
    <row r="69" spans="1:18" s="2059" customFormat="1" ht="21.75" thickBot="1">
      <c r="A69" s="2096"/>
      <c r="B69" s="2097"/>
      <c r="C69" s="2097"/>
      <c r="K69" s="2086"/>
      <c r="O69" s="2425" t="s">
        <v>2385</v>
      </c>
      <c r="P69" s="2423" t="s">
        <v>2415</v>
      </c>
      <c r="Q69" s="2429">
        <f ca="1">L52</f>
        <v>0</v>
      </c>
      <c r="R69" s="2430" t="s">
        <v>2418</v>
      </c>
    </row>
    <row r="70" spans="1:18" s="2059" customFormat="1" ht="20.25" thickBot="1">
      <c r="A70" s="2096"/>
      <c r="B70" s="2097"/>
      <c r="C70" s="2097"/>
      <c r="K70" s="2086"/>
      <c r="O70" s="2425" t="s">
        <v>2386</v>
      </c>
      <c r="P70" s="2431" t="s">
        <v>2400</v>
      </c>
      <c r="Q70" s="2424">
        <f ca="1">ROUND(Q71-Q72*Q73,0)</f>
        <v>0</v>
      </c>
      <c r="R70" s="2427"/>
    </row>
    <row r="71" spans="1:18" s="2059" customFormat="1" ht="15.75" thickBot="1">
      <c r="A71" s="2096"/>
      <c r="B71" s="2097"/>
      <c r="C71" s="2097"/>
      <c r="K71" s="2086"/>
      <c r="O71" s="2425" t="s">
        <v>2401</v>
      </c>
      <c r="P71" s="2431" t="s">
        <v>2402</v>
      </c>
      <c r="Q71" s="2424">
        <f ca="1">C42</f>
        <v>0</v>
      </c>
      <c r="R71" s="2423" t="s">
        <v>2382</v>
      </c>
    </row>
    <row r="72" spans="1:18" s="2059" customFormat="1" ht="15.75" thickBot="1">
      <c r="A72" s="2096"/>
      <c r="B72" s="2097"/>
      <c r="C72" s="2097"/>
      <c r="K72" s="2086"/>
      <c r="O72" s="2425" t="s">
        <v>2403</v>
      </c>
      <c r="P72" s="2431" t="s">
        <v>2404</v>
      </c>
      <c r="Q72" s="2424">
        <f ca="1">C15</f>
        <v>0</v>
      </c>
      <c r="R72" s="2423" t="s">
        <v>2382</v>
      </c>
    </row>
    <row r="73" spans="1:18" s="2059" customFormat="1" ht="15.75" thickBot="1">
      <c r="A73" s="2096"/>
      <c r="B73" s="2097"/>
      <c r="C73" s="2097"/>
      <c r="K73" s="2086"/>
      <c r="O73" s="2425" t="s">
        <v>2405</v>
      </c>
      <c r="P73" s="2431" t="s">
        <v>2406</v>
      </c>
      <c r="Q73" s="2426">
        <f ca="1">F43</f>
        <v>0</v>
      </c>
      <c r="R73" s="2427"/>
    </row>
    <row r="74" spans="1:18" s="2059" customFormat="1" ht="15.75" thickBot="1">
      <c r="A74" s="2096"/>
      <c r="B74" s="2097"/>
      <c r="C74" s="2097"/>
      <c r="K74" s="2086"/>
      <c r="O74" s="2425" t="s">
        <v>2388</v>
      </c>
      <c r="P74" s="2423" t="s">
        <v>2395</v>
      </c>
      <c r="Q74" s="2426">
        <f>L53</f>
        <v>0</v>
      </c>
      <c r="R74" s="2427"/>
    </row>
    <row r="75" spans="1:18" s="2059" customFormat="1" ht="20.25" thickBot="1">
      <c r="A75" s="2096"/>
      <c r="B75" s="2097"/>
      <c r="C75" s="2097"/>
      <c r="K75" s="2086"/>
      <c r="O75" s="2425" t="s">
        <v>2390</v>
      </c>
      <c r="P75" s="2423" t="s">
        <v>2396</v>
      </c>
      <c r="Q75" s="2424">
        <f ca="1">L59</f>
        <v>0</v>
      </c>
      <c r="R75" s="2427" t="s">
        <v>2397</v>
      </c>
    </row>
    <row r="76" spans="1:18" s="2059" customFormat="1" ht="20.25" thickBot="1">
      <c r="A76" s="2096"/>
      <c r="B76" s="2097"/>
      <c r="C76" s="2097"/>
      <c r="K76" s="2086"/>
      <c r="O76" s="2425" t="s">
        <v>2419</v>
      </c>
      <c r="P76" s="2423" t="s">
        <v>2398</v>
      </c>
      <c r="Q76" s="2424">
        <f ca="1">L60</f>
        <v>0</v>
      </c>
      <c r="R76" s="2427" t="s">
        <v>2399</v>
      </c>
    </row>
    <row r="77" spans="1:18" s="2059" customFormat="1" ht="15.75" thickBot="1">
      <c r="A77" s="2096"/>
      <c r="B77" s="2097"/>
      <c r="C77" s="2097"/>
      <c r="K77" s="2086"/>
      <c r="O77" s="2422" t="s">
        <v>2393</v>
      </c>
      <c r="P77" s="2423" t="s">
        <v>2410</v>
      </c>
      <c r="Q77" s="2424" t="e">
        <f ca="1">Q67+Q68</f>
        <v>#DIV/0!</v>
      </c>
      <c r="R77" s="2427"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13" t="str">
        <f>项目基本情况!B1</f>
        <v>湖北省武汉市经济技术开发区55R2地块1宗住宅、商业用途出让国有建设用地使用权抵押价格预评估</v>
      </c>
      <c r="C37" s="3513"/>
      <c r="D37" s="3513"/>
      <c r="E37" s="3513"/>
      <c r="F37" s="3513"/>
      <c r="G37" s="3513"/>
      <c r="H37" s="3513"/>
      <c r="I37" s="3513"/>
    </row>
    <row r="38" spans="1:9">
      <c r="A38" s="1656"/>
      <c r="B38" s="1656"/>
    </row>
    <row r="39" spans="1:9">
      <c r="A39" s="1654" t="s">
        <v>1903</v>
      </c>
      <c r="B39" s="1654" t="s">
        <v>2048</v>
      </c>
    </row>
    <row r="40" spans="1:9">
      <c r="A40" s="1654"/>
      <c r="B40" s="1654" t="str">
        <f>项目基本情况!B5</f>
        <v>武汉统建城市开发有限责任公司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王鹏、郑燚</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69" t="s">
        <v>2580</v>
      </c>
      <c r="C1" s="3769"/>
      <c r="D1" s="3769"/>
      <c r="E1" s="3769"/>
      <c r="F1" s="3769"/>
      <c r="G1" s="3768" t="s">
        <v>2581</v>
      </c>
      <c r="H1" s="3768"/>
      <c r="I1" s="3768"/>
      <c r="J1" s="3768"/>
      <c r="K1" s="3768"/>
      <c r="L1" s="3768"/>
      <c r="N1" s="3768" t="s">
        <v>2582</v>
      </c>
      <c r="O1" s="3768"/>
      <c r="P1" s="3768"/>
      <c r="Q1" s="3768"/>
      <c r="R1" s="2679"/>
      <c r="S1" s="3768" t="s">
        <v>2583</v>
      </c>
      <c r="T1" s="3768"/>
      <c r="U1" s="3768"/>
      <c r="V1" s="3768"/>
      <c r="X1" s="3767" t="s">
        <v>2643</v>
      </c>
      <c r="Y1" s="3768"/>
      <c r="Z1" s="3768"/>
      <c r="AA1" s="3768"/>
      <c r="AB1" s="3768"/>
      <c r="AD1" s="3767" t="s">
        <v>2647</v>
      </c>
      <c r="AE1" s="3768"/>
      <c r="AF1" s="3768"/>
      <c r="AG1" s="3768"/>
      <c r="AH1" s="3768"/>
    </row>
    <row r="2" spans="1:34" s="2781" customFormat="1" ht="14.25" thickBot="1">
      <c r="B2" s="2789" t="s">
        <v>2584</v>
      </c>
      <c r="C2" s="2789" t="s">
        <v>2645</v>
      </c>
      <c r="D2" s="2782" t="s">
        <v>1646</v>
      </c>
      <c r="E2" s="2782" t="s">
        <v>1953</v>
      </c>
      <c r="F2" s="2789" t="s">
        <v>2646</v>
      </c>
      <c r="G2" s="2785"/>
      <c r="H2" s="2784"/>
      <c r="I2" s="2789" t="s">
        <v>2961</v>
      </c>
      <c r="J2" s="2782" t="s">
        <v>2963</v>
      </c>
      <c r="K2" s="2782" t="s">
        <v>2964</v>
      </c>
      <c r="L2" s="2789" t="s">
        <v>2965</v>
      </c>
      <c r="N2" s="2789" t="s">
        <v>2584</v>
      </c>
      <c r="O2" s="2782" t="s">
        <v>2962</v>
      </c>
      <c r="P2" s="2782" t="s">
        <v>1953</v>
      </c>
      <c r="Q2" s="2789" t="s">
        <v>2646</v>
      </c>
      <c r="R2" s="2783"/>
      <c r="S2" s="2789" t="s">
        <v>2584</v>
      </c>
      <c r="T2" s="2782" t="s">
        <v>2962</v>
      </c>
      <c r="U2" s="2782" t="s">
        <v>1953</v>
      </c>
      <c r="V2" s="2789" t="s">
        <v>2646</v>
      </c>
      <c r="X2" s="2789" t="s">
        <v>2584</v>
      </c>
      <c r="Y2" s="2789" t="s">
        <v>2645</v>
      </c>
      <c r="Z2" s="2782" t="s">
        <v>1646</v>
      </c>
      <c r="AA2" s="2782" t="s">
        <v>1953</v>
      </c>
      <c r="AB2" s="2789" t="s">
        <v>2646</v>
      </c>
      <c r="AD2" s="2789" t="s">
        <v>2584</v>
      </c>
      <c r="AE2" s="2789" t="s">
        <v>2645</v>
      </c>
      <c r="AF2" s="2782" t="s">
        <v>1646</v>
      </c>
      <c r="AG2" s="2782" t="s">
        <v>1953</v>
      </c>
      <c r="AH2" s="2789" t="s">
        <v>2646</v>
      </c>
    </row>
    <row r="3" spans="1:34" s="3166" customFormat="1" ht="14.25">
      <c r="A3" s="3178" t="s">
        <v>2975</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ROUND(SUMPRODUCT(PRODUCT(1+N3:N$20)),4)</f>
        <v>1.4274</v>
      </c>
      <c r="Y3" s="3172">
        <f>ROUND(SUMPRODUCT(PRODUCT(1+O3:O$20)),4)</f>
        <v>1.2685</v>
      </c>
      <c r="Z3" s="3172">
        <f t="shared" ref="Z3:Z18" si="0">Y3</f>
        <v>1.2685</v>
      </c>
      <c r="AA3" s="3172">
        <f>ROUND(SUMPRODUCT(PRODUCT(1+P3:P$20)),4)</f>
        <v>1.4825999999999999</v>
      </c>
      <c r="AB3" s="3172">
        <f>ROUND(SUMPRODUCT(PRODUCT(1+Q3:Q$20)),4)</f>
        <v>1.2309000000000001</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ht="13.5" thickBot="1">
      <c r="A5" s="3143" t="s">
        <v>2974</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4">
        <v>1</v>
      </c>
      <c r="I5" s="3160">
        <v>0</v>
      </c>
      <c r="J5" s="3160">
        <v>0</v>
      </c>
      <c r="K5" s="3160">
        <v>0</v>
      </c>
      <c r="L5" s="3160">
        <v>0</v>
      </c>
      <c r="N5" s="2787">
        <f t="shared" ref="N5:N10" si="6">I5/100</f>
        <v>0</v>
      </c>
      <c r="O5" s="2787">
        <f t="shared" ref="O5" si="7">J5/100</f>
        <v>0</v>
      </c>
      <c r="P5" s="2787">
        <f t="shared" ref="P5" si="8">K5/100</f>
        <v>0</v>
      </c>
      <c r="Q5" s="2787">
        <f t="shared" ref="Q5" si="9">L5/100</f>
        <v>0</v>
      </c>
      <c r="R5" s="3146"/>
      <c r="S5" s="3147"/>
      <c r="T5" s="3146"/>
      <c r="U5" s="3146"/>
      <c r="V5" s="3146"/>
      <c r="W5" s="3176" t="s">
        <v>2976</v>
      </c>
      <c r="X5" s="3148">
        <f>ROUND(SUMPRODUCT(PRODUCT(1+N5:N$20)),4)</f>
        <v>1.4274</v>
      </c>
      <c r="Y5" s="3148">
        <f>ROUND(SUMPRODUCT(PRODUCT(1+O5:O$20)),4)</f>
        <v>1.2685</v>
      </c>
      <c r="Z5" s="3148">
        <f t="shared" ref="Z5" si="10">Y5</f>
        <v>1.2685</v>
      </c>
      <c r="AA5" s="3148">
        <f>ROUND(SUMPRODUCT(PRODUCT(1+P5:P$20)),4)</f>
        <v>1.4825999999999999</v>
      </c>
      <c r="AB5" s="3148">
        <f>ROUND(SUMPRODUCT(PRODUCT(1+Q5:Q$20)),4)</f>
        <v>1.2309000000000001</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0" t="s">
        <v>2972</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3">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2977</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5"/>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2585</v>
      </c>
      <c r="B8" s="2694">
        <f t="shared" si="19"/>
        <v>419.31181600000002</v>
      </c>
      <c r="C8" s="2694">
        <f t="shared" si="19"/>
        <v>313.95436800000004</v>
      </c>
      <c r="D8" s="2694">
        <f t="shared" si="3"/>
        <v>313.95436800000004</v>
      </c>
      <c r="E8" s="2694">
        <f t="shared" si="20"/>
        <v>596.63028431999999</v>
      </c>
      <c r="F8" s="2694">
        <f t="shared" si="20"/>
        <v>274.74220703999998</v>
      </c>
      <c r="G8" s="3164"/>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2586</v>
      </c>
      <c r="B9" s="2694">
        <f t="shared" si="19"/>
        <v>405.524</v>
      </c>
      <c r="C9" s="2694">
        <f t="shared" si="19"/>
        <v>307.79840000000002</v>
      </c>
      <c r="D9" s="2694">
        <f t="shared" si="3"/>
        <v>307.79840000000002</v>
      </c>
      <c r="E9" s="2694">
        <f t="shared" si="20"/>
        <v>574.67759999999998</v>
      </c>
      <c r="F9" s="2694">
        <f t="shared" si="20"/>
        <v>270.20280000000002</v>
      </c>
      <c r="G9" s="3165"/>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3766">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64"/>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3764"/>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3765"/>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3763">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64"/>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3764"/>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3765"/>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3763">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64"/>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3764"/>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3765"/>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2644</v>
      </c>
      <c r="X21" s="2790">
        <v>1</v>
      </c>
      <c r="Y21" s="2790">
        <v>1</v>
      </c>
      <c r="Z21" s="2790">
        <v>1</v>
      </c>
      <c r="AA21" s="2790">
        <v>1</v>
      </c>
      <c r="AB21" s="2790">
        <v>1</v>
      </c>
      <c r="AD21" s="3034">
        <f>I21/100</f>
        <v>2.9700000000000001E-2</v>
      </c>
      <c r="AE21" s="3034">
        <f>J21/100</f>
        <v>2.3399999999999997E-2</v>
      </c>
      <c r="AF21" s="3034">
        <f>AE21</f>
        <v>2.3399999999999997E-2</v>
      </c>
      <c r="AG21" s="3034">
        <f>K21/100</f>
        <v>3.2799999999999996E-2</v>
      </c>
      <c r="AH21" s="3034">
        <f>L21/100</f>
        <v>1.3600000000000001E-2</v>
      </c>
    </row>
    <row r="22" spans="1:34" ht="13.5" thickBot="1">
      <c r="A22" s="2680" t="s">
        <v>2587</v>
      </c>
      <c r="B22" s="2686">
        <v>299</v>
      </c>
      <c r="C22" s="2686">
        <v>252</v>
      </c>
      <c r="D22" s="2686">
        <f t="shared" si="29"/>
        <v>252</v>
      </c>
      <c r="E22" s="2686">
        <v>409</v>
      </c>
      <c r="F22" s="2687">
        <v>227</v>
      </c>
      <c r="G22" s="3770">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2588</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71"/>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2589</v>
      </c>
      <c r="B24" s="2694">
        <f t="shared" si="38"/>
        <v>288.2649053828776</v>
      </c>
      <c r="C24" s="2694">
        <f t="shared" si="38"/>
        <v>243.64564425013293</v>
      </c>
      <c r="D24" s="2694">
        <f t="shared" si="29"/>
        <v>243.64564425013293</v>
      </c>
      <c r="E24" s="2694">
        <f t="shared" si="39"/>
        <v>393.31080825986544</v>
      </c>
      <c r="F24" s="2694">
        <f t="shared" si="39"/>
        <v>223.07903790551154</v>
      </c>
      <c r="G24" s="3771"/>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2590</v>
      </c>
      <c r="B25" s="2694">
        <f t="shared" si="38"/>
        <v>282.50186729015837</v>
      </c>
      <c r="C25" s="2694">
        <f t="shared" si="38"/>
        <v>238.09796174155468</v>
      </c>
      <c r="D25" s="2694">
        <f t="shared" si="29"/>
        <v>238.09796174155468</v>
      </c>
      <c r="E25" s="2694">
        <f t="shared" si="39"/>
        <v>385.33438646014054</v>
      </c>
      <c r="F25" s="2694">
        <f t="shared" si="39"/>
        <v>221.55034055567739</v>
      </c>
      <c r="G25" s="3772"/>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2591</v>
      </c>
      <c r="B26" s="2724">
        <v>278</v>
      </c>
      <c r="C26" s="2724">
        <v>234</v>
      </c>
      <c r="D26" s="2724">
        <f t="shared" si="29"/>
        <v>234</v>
      </c>
      <c r="E26" s="2724">
        <v>379</v>
      </c>
      <c r="F26" s="2725">
        <v>220</v>
      </c>
      <c r="G26" s="3763">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2592</v>
      </c>
      <c r="B27" s="2694">
        <f>B26/(1+N26)</f>
        <v>275.49301357645425</v>
      </c>
      <c r="C27" s="2694">
        <f>C26/(1+O26)</f>
        <v>232.41954707985698</v>
      </c>
      <c r="D27" s="2694">
        <f t="shared" si="29"/>
        <v>232.41954707985698</v>
      </c>
      <c r="E27" s="2694">
        <f t="shared" ref="E27:F29" si="40">E26/(1+P26)</f>
        <v>375.32184591008121</v>
      </c>
      <c r="F27" s="2694">
        <f t="shared" si="40"/>
        <v>218.03766105054513</v>
      </c>
      <c r="G27" s="3764"/>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2593</v>
      </c>
      <c r="B28" s="2694">
        <f>B27/(1+N27)</f>
        <v>275.24529281292263</v>
      </c>
      <c r="C28" s="2694">
        <f>C27/(1+O27)</f>
        <v>231.74747938962707</v>
      </c>
      <c r="D28" s="2694">
        <f t="shared" si="29"/>
        <v>231.74747938962707</v>
      </c>
      <c r="E28" s="2694">
        <f t="shared" si="40"/>
        <v>375.35938184826603</v>
      </c>
      <c r="F28" s="2694">
        <f t="shared" si="40"/>
        <v>216.78033510692495</v>
      </c>
      <c r="G28" s="3764"/>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2594</v>
      </c>
      <c r="B29" s="2694">
        <f>B28/(1+N28)</f>
        <v>275.19025476197027</v>
      </c>
      <c r="C29" s="2726">
        <v>232</v>
      </c>
      <c r="D29" s="2726">
        <f t="shared" si="29"/>
        <v>232</v>
      </c>
      <c r="E29" s="2694">
        <f t="shared" si="40"/>
        <v>375.65990977608692</v>
      </c>
      <c r="F29" s="2694">
        <f t="shared" si="40"/>
        <v>214.12518283971252</v>
      </c>
      <c r="G29" s="3765"/>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2595</v>
      </c>
      <c r="B30" s="2686">
        <v>275</v>
      </c>
      <c r="C30" s="2686">
        <v>232</v>
      </c>
      <c r="D30" s="2686">
        <f t="shared" si="29"/>
        <v>232</v>
      </c>
      <c r="E30" s="2686">
        <v>376</v>
      </c>
      <c r="F30" s="2687">
        <v>213</v>
      </c>
      <c r="G30" s="3763">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2596</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64">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2597</v>
      </c>
      <c r="B32" s="2694">
        <f t="shared" si="41"/>
        <v>275.19335084830601</v>
      </c>
      <c r="C32" s="2694">
        <f t="shared" si="41"/>
        <v>230.18088050139744</v>
      </c>
      <c r="D32" s="2694">
        <f t="shared" si="29"/>
        <v>230.18088050139744</v>
      </c>
      <c r="E32" s="2694">
        <f t="shared" si="42"/>
        <v>377.58482925212331</v>
      </c>
      <c r="F32" s="2694">
        <f t="shared" si="42"/>
        <v>210.90687997847917</v>
      </c>
      <c r="G32" s="3764">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2598</v>
      </c>
      <c r="B33" s="2694">
        <f t="shared" si="41"/>
        <v>276.29854502841971</v>
      </c>
      <c r="C33" s="2694">
        <f t="shared" si="41"/>
        <v>229.79023709833027</v>
      </c>
      <c r="D33" s="2694">
        <f t="shared" si="29"/>
        <v>229.79023709833027</v>
      </c>
      <c r="E33" s="2694">
        <f t="shared" si="42"/>
        <v>379.78759731655936</v>
      </c>
      <c r="F33" s="2694">
        <f t="shared" si="42"/>
        <v>211.32953905659235</v>
      </c>
      <c r="G33" s="3765">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2599</v>
      </c>
      <c r="B34" s="2686">
        <v>269</v>
      </c>
      <c r="C34" s="2686">
        <v>221</v>
      </c>
      <c r="D34" s="2686">
        <f t="shared" si="29"/>
        <v>221</v>
      </c>
      <c r="E34" s="2686">
        <v>373</v>
      </c>
      <c r="F34" s="2687">
        <v>196</v>
      </c>
      <c r="G34" s="3763">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2600</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64">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2601</v>
      </c>
      <c r="B36" s="2694">
        <f t="shared" si="43"/>
        <v>242.95398227588385</v>
      </c>
      <c r="C36" s="2694">
        <f t="shared" si="43"/>
        <v>199.59137053614126</v>
      </c>
      <c r="D36" s="2694">
        <f t="shared" si="29"/>
        <v>199.59137053614126</v>
      </c>
      <c r="E36" s="2694">
        <f t="shared" si="44"/>
        <v>335.92189522342125</v>
      </c>
      <c r="F36" s="2694">
        <f t="shared" si="44"/>
        <v>183.10139991109489</v>
      </c>
      <c r="G36" s="3764">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2602</v>
      </c>
      <c r="B37" s="2694">
        <f t="shared" si="43"/>
        <v>232.06990378821649</v>
      </c>
      <c r="C37" s="2694">
        <f t="shared" si="43"/>
        <v>192.74878854286936</v>
      </c>
      <c r="D37" s="2694">
        <f t="shared" si="29"/>
        <v>192.74878854286936</v>
      </c>
      <c r="E37" s="2694">
        <f t="shared" si="44"/>
        <v>319.71247284992984</v>
      </c>
      <c r="F37" s="2694">
        <f t="shared" si="44"/>
        <v>175.67053622862409</v>
      </c>
      <c r="G37" s="3765">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2603</v>
      </c>
      <c r="B38" s="2686">
        <v>220</v>
      </c>
      <c r="C38" s="2686">
        <v>187</v>
      </c>
      <c r="D38" s="2686">
        <f t="shared" si="29"/>
        <v>187</v>
      </c>
      <c r="E38" s="2686">
        <v>301</v>
      </c>
      <c r="F38" s="2687">
        <v>168</v>
      </c>
      <c r="G38" s="3763">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2604</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64">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2605</v>
      </c>
      <c r="B40" s="2694">
        <f t="shared" si="45"/>
        <v>210.630522469011</v>
      </c>
      <c r="C40" s="2694">
        <f t="shared" si="45"/>
        <v>181.69567812247232</v>
      </c>
      <c r="D40" s="2694">
        <f t="shared" si="29"/>
        <v>181.69567812247232</v>
      </c>
      <c r="E40" s="2694">
        <f t="shared" si="46"/>
        <v>286.13517466736738</v>
      </c>
      <c r="F40" s="2694">
        <f t="shared" si="46"/>
        <v>165.47535084591149</v>
      </c>
      <c r="G40" s="3764">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2606</v>
      </c>
      <c r="B41" s="2694">
        <f t="shared" si="45"/>
        <v>208.83454537875372</v>
      </c>
      <c r="C41" s="2694">
        <f t="shared" si="45"/>
        <v>183.77230517090351</v>
      </c>
      <c r="D41" s="2694">
        <f t="shared" si="29"/>
        <v>183.77230517090351</v>
      </c>
      <c r="E41" s="2694">
        <f t="shared" si="46"/>
        <v>281.10342338870947</v>
      </c>
      <c r="F41" s="2694">
        <f t="shared" si="46"/>
        <v>168.97309388942256</v>
      </c>
      <c r="G41" s="3765">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2607</v>
      </c>
      <c r="B42" s="2724">
        <v>214</v>
      </c>
      <c r="C42" s="2724">
        <v>188</v>
      </c>
      <c r="D42" s="2724">
        <f t="shared" si="29"/>
        <v>188</v>
      </c>
      <c r="E42" s="2724">
        <v>289</v>
      </c>
      <c r="F42" s="2725">
        <v>166</v>
      </c>
      <c r="G42" s="3763">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2608</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64">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2609</v>
      </c>
      <c r="B44" s="2694">
        <f t="shared" si="47"/>
        <v>206.31694671589116</v>
      </c>
      <c r="C44" s="2694">
        <f t="shared" si="47"/>
        <v>183.61041121036101</v>
      </c>
      <c r="D44" s="2694">
        <f t="shared" si="29"/>
        <v>183.61041121036101</v>
      </c>
      <c r="E44" s="2694">
        <f t="shared" si="48"/>
        <v>276.66850301795557</v>
      </c>
      <c r="F44" s="2694">
        <f t="shared" si="48"/>
        <v>165.1360938278614</v>
      </c>
      <c r="G44" s="3764">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2610</v>
      </c>
      <c r="B45" s="2727">
        <f t="shared" si="47"/>
        <v>196.62341248059772</v>
      </c>
      <c r="C45" s="2727">
        <f t="shared" si="47"/>
        <v>170.99125648199012</v>
      </c>
      <c r="D45" s="2727">
        <f t="shared" si="29"/>
        <v>170.99125648199012</v>
      </c>
      <c r="E45" s="2727">
        <f t="shared" si="48"/>
        <v>266.07857570490052</v>
      </c>
      <c r="F45" s="2727">
        <f t="shared" si="48"/>
        <v>154.53499328828505</v>
      </c>
      <c r="G45" s="3765">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2611</v>
      </c>
      <c r="B46" s="2686">
        <v>188</v>
      </c>
      <c r="C46" s="2686">
        <v>165</v>
      </c>
      <c r="D46" s="2686">
        <f t="shared" si="29"/>
        <v>165</v>
      </c>
      <c r="E46" s="2686">
        <v>254</v>
      </c>
      <c r="F46" s="2687">
        <v>148</v>
      </c>
      <c r="G46" s="3763">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2612</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64">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2613</v>
      </c>
      <c r="B48" s="2694">
        <f t="shared" si="51"/>
        <v>168.82017748715555</v>
      </c>
      <c r="C48" s="2694">
        <f t="shared" si="51"/>
        <v>148.06267029972753</v>
      </c>
      <c r="D48" s="2694">
        <f t="shared" si="29"/>
        <v>148.06267029972753</v>
      </c>
      <c r="E48" s="2694">
        <f t="shared" si="52"/>
        <v>216.46288379323747</v>
      </c>
      <c r="F48" s="2694">
        <f t="shared" si="52"/>
        <v>134.23529411764704</v>
      </c>
      <c r="G48" s="3764">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2614</v>
      </c>
      <c r="B49" s="2694">
        <f t="shared" si="51"/>
        <v>163.84913591779542</v>
      </c>
      <c r="C49" s="2694">
        <f t="shared" si="51"/>
        <v>145.0283378746594</v>
      </c>
      <c r="D49" s="2694">
        <f t="shared" si="29"/>
        <v>145.0283378746594</v>
      </c>
      <c r="E49" s="2694">
        <f t="shared" si="52"/>
        <v>204.95180722891567</v>
      </c>
      <c r="F49" s="2694">
        <f t="shared" si="52"/>
        <v>125.95920303605313</v>
      </c>
      <c r="G49" s="3765">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2615</v>
      </c>
      <c r="B50" s="2708">
        <v>159</v>
      </c>
      <c r="C50" s="2708">
        <v>141</v>
      </c>
      <c r="D50" s="2708">
        <f t="shared" si="29"/>
        <v>141</v>
      </c>
      <c r="E50" s="2708">
        <v>195</v>
      </c>
      <c r="F50" s="2709">
        <v>122</v>
      </c>
      <c r="G50" s="3763">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2616</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64">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2617</v>
      </c>
      <c r="B52" s="2694">
        <f t="shared" si="55"/>
        <v>146.57412060301507</v>
      </c>
      <c r="C52" s="2694">
        <f t="shared" si="55"/>
        <v>136.46831955922866</v>
      </c>
      <c r="D52" s="2694">
        <f t="shared" si="29"/>
        <v>136.46831955922866</v>
      </c>
      <c r="E52" s="2694">
        <f t="shared" si="56"/>
        <v>166.73864894795128</v>
      </c>
      <c r="F52" s="2694">
        <f t="shared" si="56"/>
        <v>115.05882352941177</v>
      </c>
      <c r="G52" s="3764">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2618</v>
      </c>
      <c r="B53" s="2694">
        <f t="shared" si="55"/>
        <v>144.04145728643215</v>
      </c>
      <c r="C53" s="2694">
        <f t="shared" si="55"/>
        <v>136.12396694214877</v>
      </c>
      <c r="D53" s="2694">
        <f t="shared" si="29"/>
        <v>136.12396694214877</v>
      </c>
      <c r="E53" s="2694">
        <f t="shared" si="56"/>
        <v>158.32225913621264</v>
      </c>
      <c r="F53" s="2694">
        <f t="shared" si="56"/>
        <v>114.04278074866311</v>
      </c>
      <c r="G53" s="3765">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2619</v>
      </c>
      <c r="B54" s="2708">
        <v>138</v>
      </c>
      <c r="C54" s="2708">
        <v>131</v>
      </c>
      <c r="D54" s="2708">
        <f t="shared" si="29"/>
        <v>131</v>
      </c>
      <c r="E54" s="2708">
        <v>155</v>
      </c>
      <c r="F54" s="2709">
        <v>114</v>
      </c>
      <c r="G54" s="3763">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2620</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64">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2621</v>
      </c>
      <c r="B56" s="2694">
        <f t="shared" si="59"/>
        <v>124.29032258064517</v>
      </c>
      <c r="C56" s="2694">
        <f t="shared" si="59"/>
        <v>123.8968609865471</v>
      </c>
      <c r="D56" s="2694">
        <f t="shared" si="29"/>
        <v>123.8968609865471</v>
      </c>
      <c r="E56" s="2694">
        <f t="shared" si="60"/>
        <v>138.00507614213197</v>
      </c>
      <c r="F56" s="2694">
        <f t="shared" si="60"/>
        <v>107.96106557377048</v>
      </c>
      <c r="G56" s="3764">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2622</v>
      </c>
      <c r="B57" s="2694">
        <f t="shared" si="59"/>
        <v>122.57204301075269</v>
      </c>
      <c r="C57" s="2694">
        <f t="shared" si="59"/>
        <v>123.4932735426009</v>
      </c>
      <c r="D57" s="2694">
        <f t="shared" si="29"/>
        <v>123.4932735426009</v>
      </c>
      <c r="E57" s="2694">
        <f t="shared" si="60"/>
        <v>129.82233502538071</v>
      </c>
      <c r="F57" s="2694">
        <f t="shared" si="60"/>
        <v>107.39446721311475</v>
      </c>
      <c r="G57" s="3765">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2623</v>
      </c>
      <c r="B58" s="2724">
        <v>121</v>
      </c>
      <c r="C58" s="2724">
        <v>122</v>
      </c>
      <c r="D58" s="2724">
        <f t="shared" si="29"/>
        <v>122</v>
      </c>
      <c r="E58" s="2724">
        <v>124</v>
      </c>
      <c r="F58" s="2725">
        <v>107</v>
      </c>
      <c r="G58" s="3763">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2624</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64">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2625</v>
      </c>
      <c r="B60" s="2694">
        <f t="shared" si="63"/>
        <v>116.99099099099099</v>
      </c>
      <c r="C60" s="2694">
        <f t="shared" si="63"/>
        <v>118.84848484848486</v>
      </c>
      <c r="D60" s="2694">
        <f t="shared" si="29"/>
        <v>118.84848484848486</v>
      </c>
      <c r="E60" s="2694">
        <f t="shared" si="64"/>
        <v>117.60960960960961</v>
      </c>
      <c r="F60" s="2694">
        <f t="shared" si="64"/>
        <v>104</v>
      </c>
      <c r="G60" s="3764">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2626</v>
      </c>
      <c r="B61" s="2727">
        <f t="shared" si="63"/>
        <v>112.48648648648648</v>
      </c>
      <c r="C61" s="2727">
        <f t="shared" si="63"/>
        <v>115.21212121212122</v>
      </c>
      <c r="D61" s="2727">
        <f t="shared" si="29"/>
        <v>115.21212121212122</v>
      </c>
      <c r="E61" s="2727">
        <f t="shared" si="64"/>
        <v>110.4024024024024</v>
      </c>
      <c r="F61" s="2727">
        <f t="shared" si="64"/>
        <v>104</v>
      </c>
      <c r="G61" s="3765">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2627</v>
      </c>
      <c r="B62" s="2745">
        <v>111</v>
      </c>
      <c r="C62" s="2745">
        <v>114</v>
      </c>
      <c r="D62" s="2745">
        <f t="shared" si="29"/>
        <v>114</v>
      </c>
      <c r="E62" s="2745">
        <v>108</v>
      </c>
      <c r="F62" s="2746">
        <v>104</v>
      </c>
      <c r="G62" s="3763">
        <v>2003</v>
      </c>
      <c r="H62" s="2735">
        <v>4</v>
      </c>
      <c r="I62" s="2747"/>
      <c r="J62" s="2747"/>
      <c r="K62" s="2747"/>
      <c r="L62" s="2747"/>
      <c r="N62" s="2748"/>
      <c r="O62" s="2747"/>
      <c r="P62" s="2747"/>
      <c r="Q62" s="2747"/>
      <c r="S62" s="2748"/>
      <c r="T62" s="2747"/>
      <c r="U62" s="2747"/>
      <c r="V62" s="2747"/>
      <c r="X62" s="2739"/>
      <c r="Y62" s="2739"/>
      <c r="Z62" s="2739"/>
    </row>
    <row r="63" spans="1:26">
      <c r="A63" s="2680" t="s">
        <v>2628</v>
      </c>
      <c r="B63" s="2749">
        <f t="shared" ref="B63:C65" si="65">B64+(B$62-B$66)/4</f>
        <v>109.75</v>
      </c>
      <c r="C63" s="2749">
        <f t="shared" si="65"/>
        <v>112.25</v>
      </c>
      <c r="D63" s="2749">
        <f t="shared" si="29"/>
        <v>112.25</v>
      </c>
      <c r="E63" s="2749">
        <f t="shared" ref="E63:F65" si="66">E64+(E$62-E$66)/4</f>
        <v>107.25</v>
      </c>
      <c r="F63" s="2749">
        <f t="shared" si="66"/>
        <v>103.5</v>
      </c>
      <c r="G63" s="3764">
        <v>2003</v>
      </c>
      <c r="H63" s="2705">
        <v>3</v>
      </c>
      <c r="I63" s="2747"/>
      <c r="J63" s="2747"/>
      <c r="K63" s="2747"/>
      <c r="L63" s="2747"/>
      <c r="X63" s="2739"/>
      <c r="Y63" s="2739"/>
      <c r="Z63" s="2739"/>
    </row>
    <row r="64" spans="1:26">
      <c r="A64" s="2680" t="s">
        <v>2629</v>
      </c>
      <c r="B64" s="2749">
        <f t="shared" si="65"/>
        <v>108.5</v>
      </c>
      <c r="C64" s="2749">
        <f t="shared" si="65"/>
        <v>110.5</v>
      </c>
      <c r="D64" s="2749">
        <f t="shared" si="29"/>
        <v>110.5</v>
      </c>
      <c r="E64" s="2749">
        <f t="shared" si="66"/>
        <v>106.5</v>
      </c>
      <c r="F64" s="2749">
        <f t="shared" si="66"/>
        <v>103</v>
      </c>
      <c r="G64" s="3764">
        <v>2003</v>
      </c>
      <c r="H64" s="2685">
        <v>2</v>
      </c>
      <c r="I64" s="2747"/>
      <c r="J64" s="2747"/>
      <c r="K64" s="2747"/>
      <c r="L64" s="2747"/>
      <c r="X64" s="2739"/>
      <c r="Y64" s="2739"/>
      <c r="Z64" s="2739"/>
    </row>
    <row r="65" spans="1:26" ht="13.5" thickBot="1">
      <c r="A65" s="2680" t="s">
        <v>2630</v>
      </c>
      <c r="B65" s="2749">
        <f t="shared" si="65"/>
        <v>107.25</v>
      </c>
      <c r="C65" s="2749">
        <f t="shared" si="65"/>
        <v>108.75</v>
      </c>
      <c r="D65" s="2749">
        <f t="shared" si="29"/>
        <v>108.75</v>
      </c>
      <c r="E65" s="2749">
        <f t="shared" si="66"/>
        <v>105.75</v>
      </c>
      <c r="F65" s="2749">
        <f t="shared" si="66"/>
        <v>102.5</v>
      </c>
      <c r="G65" s="3765">
        <v>2003</v>
      </c>
      <c r="H65" s="2750">
        <v>1</v>
      </c>
      <c r="I65" s="2747"/>
      <c r="J65" s="2747"/>
      <c r="K65" s="2747"/>
      <c r="L65" s="2747"/>
      <c r="S65" s="2689"/>
      <c r="T65" s="2690"/>
      <c r="U65" s="2690"/>
      <c r="X65" s="2739"/>
      <c r="Y65" s="2739"/>
      <c r="Z65" s="2739"/>
    </row>
    <row r="66" spans="1:26" ht="13.5" thickBot="1">
      <c r="A66" s="2680" t="s">
        <v>2631</v>
      </c>
      <c r="B66" s="2751">
        <v>106</v>
      </c>
      <c r="C66" s="2751">
        <v>107</v>
      </c>
      <c r="D66" s="2751">
        <f t="shared" si="29"/>
        <v>107</v>
      </c>
      <c r="E66" s="2751">
        <v>105</v>
      </c>
      <c r="F66" s="2752">
        <v>102</v>
      </c>
      <c r="G66" s="3763">
        <v>2002</v>
      </c>
      <c r="H66" s="2700">
        <v>4</v>
      </c>
      <c r="I66" s="2747"/>
      <c r="J66" s="2747"/>
      <c r="K66" s="2747"/>
      <c r="L66" s="2747"/>
      <c r="N66" s="2748"/>
      <c r="O66" s="2747"/>
      <c r="P66" s="2747"/>
      <c r="Q66" s="2747"/>
      <c r="S66" s="2748"/>
      <c r="T66" s="2747"/>
      <c r="U66" s="2747"/>
      <c r="V66" s="2747"/>
      <c r="X66" s="2739"/>
      <c r="Y66" s="2739"/>
      <c r="Z66" s="2739"/>
    </row>
    <row r="67" spans="1:26">
      <c r="A67" s="2680" t="s">
        <v>2632</v>
      </c>
      <c r="B67" s="2749">
        <f t="shared" ref="B67:C69" si="67">B68+(B$66-B$70)/4</f>
        <v>105</v>
      </c>
      <c r="C67" s="2749">
        <f t="shared" si="67"/>
        <v>106</v>
      </c>
      <c r="D67" s="2749">
        <f t="shared" si="29"/>
        <v>106</v>
      </c>
      <c r="E67" s="2749">
        <f t="shared" ref="E67:F69" si="68">E68+(E$66-E$70)/4</f>
        <v>104.5</v>
      </c>
      <c r="F67" s="2749">
        <f t="shared" si="68"/>
        <v>101.5</v>
      </c>
      <c r="G67" s="3764">
        <v>2002</v>
      </c>
      <c r="H67" s="2705">
        <v>3</v>
      </c>
      <c r="I67" s="2747"/>
      <c r="J67" s="2747"/>
      <c r="K67" s="2747"/>
      <c r="L67" s="2747"/>
      <c r="X67" s="2739"/>
      <c r="Y67" s="2739"/>
      <c r="Z67" s="2739"/>
    </row>
    <row r="68" spans="1:26">
      <c r="A68" s="2680" t="s">
        <v>2633</v>
      </c>
      <c r="B68" s="2749">
        <f t="shared" si="67"/>
        <v>104</v>
      </c>
      <c r="C68" s="2749">
        <f t="shared" si="67"/>
        <v>105</v>
      </c>
      <c r="D68" s="2749">
        <f t="shared" si="29"/>
        <v>105</v>
      </c>
      <c r="E68" s="2749">
        <f t="shared" si="68"/>
        <v>104</v>
      </c>
      <c r="F68" s="2749">
        <f t="shared" si="68"/>
        <v>101</v>
      </c>
      <c r="G68" s="3764">
        <v>2002</v>
      </c>
      <c r="H68" s="2685">
        <v>2</v>
      </c>
      <c r="I68" s="2747"/>
      <c r="J68" s="2747"/>
      <c r="K68" s="2747"/>
      <c r="L68" s="2747"/>
      <c r="X68" s="2739"/>
      <c r="Y68" s="2739"/>
      <c r="Z68" s="2739"/>
    </row>
    <row r="69" spans="1:26" s="2716" customFormat="1" ht="13.5" thickBot="1">
      <c r="A69" s="2712" t="s">
        <v>2634</v>
      </c>
      <c r="B69" s="2753">
        <f t="shared" si="67"/>
        <v>103</v>
      </c>
      <c r="C69" s="2753">
        <f t="shared" si="67"/>
        <v>104</v>
      </c>
      <c r="D69" s="2753">
        <f t="shared" si="29"/>
        <v>104</v>
      </c>
      <c r="E69" s="2753">
        <f t="shared" si="68"/>
        <v>103.5</v>
      </c>
      <c r="F69" s="2753">
        <f t="shared" si="68"/>
        <v>100.5</v>
      </c>
      <c r="G69" s="3765">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2635</v>
      </c>
      <c r="G72" s="2763"/>
      <c r="N72" s="2763"/>
      <c r="S72" s="2763"/>
    </row>
    <row r="73" spans="1:26" s="2762" customFormat="1">
      <c r="A73" s="2762" t="s">
        <v>2636</v>
      </c>
      <c r="G73" s="2763"/>
      <c r="N73" s="2763"/>
      <c r="S73" s="2763"/>
    </row>
    <row r="74" spans="1:26" s="2762" customFormat="1">
      <c r="A74" s="2762" t="s">
        <v>2637</v>
      </c>
      <c r="G74" s="2763"/>
      <c r="I74" s="2764"/>
      <c r="J74" s="2764"/>
      <c r="K74" s="2764"/>
      <c r="L74" s="2764"/>
      <c r="N74" s="2765"/>
      <c r="O74" s="2764"/>
      <c r="P74" s="2764"/>
      <c r="Q74" s="2764"/>
      <c r="S74" s="2765"/>
      <c r="T74" s="2764"/>
      <c r="U74" s="2764"/>
      <c r="V74" s="2764"/>
    </row>
    <row r="75" spans="1:26" s="2762" customFormat="1">
      <c r="A75" s="2762" t="s">
        <v>2638</v>
      </c>
      <c r="G75" s="2763"/>
      <c r="N75" s="2763"/>
      <c r="S75" s="2763"/>
    </row>
    <row r="82" spans="7:22" ht="13.5" thickBot="1"/>
    <row r="83" spans="7:22">
      <c r="G83" s="2688"/>
      <c r="S83" s="2766" t="s">
        <v>2639</v>
      </c>
      <c r="T83" s="2767" t="s">
        <v>2640</v>
      </c>
      <c r="U83" s="2767" t="s">
        <v>2641</v>
      </c>
      <c r="V83" s="2767" t="s">
        <v>2642</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c r="D1" s="3157"/>
      <c r="E1" s="2411" t="s">
        <v>2376</v>
      </c>
      <c r="F1" s="2412" t="b">
        <f>J53</f>
        <v>0</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t="e">
        <f ca="1">C40+J29+L46</f>
        <v>#DIV/0!</v>
      </c>
      <c r="C2" s="2057"/>
      <c r="D2" s="2055"/>
      <c r="E2" s="2056"/>
      <c r="F2" s="2056"/>
      <c r="G2" s="1590"/>
      <c r="H2" s="2057"/>
      <c r="I2" s="2057"/>
      <c r="J2" s="2057"/>
      <c r="K2" s="2058"/>
      <c r="L2" s="2057"/>
      <c r="M2" s="2057"/>
    </row>
    <row r="3" spans="1:33" ht="18" customHeight="1" thickBot="1">
      <c r="A3" s="832" t="s">
        <v>1729</v>
      </c>
      <c r="B3" s="833">
        <f ca="1">IF(ISERROR(B2*10000/F43),0,ROUND(B2*10000/F43,0))</f>
        <v>0</v>
      </c>
      <c r="C3" s="2057"/>
      <c r="D3" s="2055"/>
      <c r="E3" s="2056"/>
      <c r="F3" s="2056"/>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2461</v>
      </c>
      <c r="C5" s="55">
        <f ca="1">C6+C10+C12</f>
        <v>0</v>
      </c>
      <c r="D5" s="2520" t="s">
        <v>2464</v>
      </c>
      <c r="E5" s="2514"/>
      <c r="F5" s="2515"/>
      <c r="G5" s="1592"/>
      <c r="H5" s="780">
        <v>1</v>
      </c>
      <c r="I5" s="781" t="s">
        <v>2461</v>
      </c>
      <c r="J5" s="55">
        <f ca="1">J6+J10+J12</f>
        <v>0</v>
      </c>
      <c r="K5" s="2520" t="s">
        <v>2464</v>
      </c>
      <c r="L5" s="2514"/>
      <c r="M5" s="2515"/>
    </row>
    <row r="6" spans="1:33" ht="18" customHeight="1">
      <c r="A6" s="1830" t="s">
        <v>1826</v>
      </c>
      <c r="B6" s="3757" t="s">
        <v>2466</v>
      </c>
      <c r="C6" s="782">
        <f ca="1">ROUND(F6*F8*F7*(1-F9)/10000,0)</f>
        <v>0</v>
      </c>
      <c r="D6" s="2521" t="s">
        <v>2465</v>
      </c>
      <c r="E6" s="783" t="s">
        <v>1740</v>
      </c>
      <c r="F6" s="784">
        <f ca="1">INDIRECT("'数据-取费表'!u"&amp;$G$1)</f>
        <v>0</v>
      </c>
      <c r="G6" s="1592"/>
      <c r="H6" s="2528" t="s">
        <v>2472</v>
      </c>
      <c r="I6" s="3757" t="s">
        <v>2466</v>
      </c>
      <c r="J6" s="782">
        <f ca="1">ROUND(M6*M8*M7*(1-M9)/10000,0)</f>
        <v>0</v>
      </c>
      <c r="K6" s="340" t="s">
        <v>1739</v>
      </c>
      <c r="L6" s="783" t="s">
        <v>1740</v>
      </c>
      <c r="M6" s="784">
        <f ca="1">INDIRECT("'数据-取费表'!z"&amp;$G$1)</f>
        <v>0</v>
      </c>
    </row>
    <row r="7" spans="1:33" ht="18" customHeight="1">
      <c r="A7" s="2524"/>
      <c r="B7" s="3758"/>
      <c r="C7" s="787"/>
      <c r="D7" s="788"/>
      <c r="E7" s="783" t="s">
        <v>1741</v>
      </c>
      <c r="F7" s="784">
        <f ca="1">IF(INDIRECT("'数据-取费表'!ah"&amp;$G$1)="",INDIRECT("'数据-取费表'!k"&amp;$G$1),INDIRECT("'数据-取费表'!ah"&amp;$G$1))</f>
        <v>0</v>
      </c>
      <c r="G7" s="1592"/>
      <c r="H7" s="2513"/>
      <c r="I7" s="3758"/>
      <c r="J7" s="787"/>
      <c r="K7" s="788"/>
      <c r="L7" s="783" t="s">
        <v>1741</v>
      </c>
      <c r="M7" s="784">
        <f ca="1">F7</f>
        <v>0</v>
      </c>
    </row>
    <row r="8" spans="1:33" ht="18" customHeight="1">
      <c r="A8" s="2517"/>
      <c r="B8" s="3759"/>
      <c r="C8" s="787"/>
      <c r="D8" s="788"/>
      <c r="E8" s="783" t="s">
        <v>1742</v>
      </c>
      <c r="F8" s="784">
        <f ca="1">INDIRECT("'数据-取费表'!ai"&amp;$G$1)</f>
        <v>0</v>
      </c>
      <c r="G8" s="1592"/>
      <c r="H8" s="2513"/>
      <c r="I8" s="3759"/>
      <c r="J8" s="787"/>
      <c r="K8" s="788"/>
      <c r="L8" s="783" t="s">
        <v>1742</v>
      </c>
      <c r="M8" s="784">
        <f ca="1">INDIRECT("'数据-取费表'!ai"&amp;$G$1)</f>
        <v>0</v>
      </c>
    </row>
    <row r="9" spans="1:33" ht="18" customHeight="1">
      <c r="A9" s="785"/>
      <c r="B9" s="3760"/>
      <c r="C9" s="787"/>
      <c r="D9" s="788"/>
      <c r="E9" s="783" t="s">
        <v>1743</v>
      </c>
      <c r="F9" s="793">
        <f ca="1">INDIRECT("'数据-取费表'!w"&amp;$G$1)</f>
        <v>0</v>
      </c>
      <c r="G9" s="1592"/>
      <c r="H9" s="2529"/>
      <c r="I9" s="3759"/>
      <c r="J9" s="787"/>
      <c r="K9" s="788"/>
      <c r="L9" s="794" t="s">
        <v>1743</v>
      </c>
      <c r="M9" s="795">
        <f ca="1">INDIRECT("'数据-取费表'!ab"&amp;$G$1)</f>
        <v>0</v>
      </c>
    </row>
    <row r="10" spans="1:33" ht="18" customHeight="1">
      <c r="A10" s="1830" t="s">
        <v>2470</v>
      </c>
      <c r="B10" s="2518" t="s">
        <v>2462</v>
      </c>
      <c r="C10" s="798">
        <f ca="1">ROUND(IF(F10="押一",F6*F8*F7/12*F11,IF(F10="押二",F6*F8*F7/12*2*F11,IF(F10="押三",F6*F8*F7/12*3*F11,C11*F11)))/10000,0)</f>
        <v>0</v>
      </c>
      <c r="D10" s="2525" t="s">
        <v>2469</v>
      </c>
      <c r="E10" s="2522" t="s">
        <v>2467</v>
      </c>
      <c r="F10" s="2645"/>
      <c r="G10" s="1592"/>
      <c r="H10" s="2585" t="s">
        <v>2473</v>
      </c>
      <c r="I10" s="2590" t="s">
        <v>2462</v>
      </c>
      <c r="J10" s="782">
        <f ca="1">ROUND(IF(M10="押一",M6*M8*M7/12*M11,IF(M10="押二",M6*M8*M7/12*2*M11,IF(M10="押三",M6*M8*M7/12*3*M11,J11*M11)))/10000,0)</f>
        <v>0</v>
      </c>
      <c r="K10" s="2525" t="s">
        <v>2469</v>
      </c>
      <c r="L10" s="2522" t="s">
        <v>2467</v>
      </c>
      <c r="M10" s="2645"/>
    </row>
    <row r="11" spans="1:33" ht="18" customHeight="1">
      <c r="A11" s="789"/>
      <c r="B11" s="2519" t="s">
        <v>2577</v>
      </c>
      <c r="C11" s="2523"/>
      <c r="D11" s="788"/>
      <c r="E11" s="2522" t="s">
        <v>2468</v>
      </c>
      <c r="F11" s="795">
        <f ca="1">'数据-取费表'!B39</f>
        <v>1.4999999999999999E-2</v>
      </c>
      <c r="G11" s="1592"/>
      <c r="H11" s="2586"/>
      <c r="I11" s="2519" t="s">
        <v>2577</v>
      </c>
      <c r="J11" s="2523"/>
      <c r="K11" s="2587"/>
      <c r="L11" s="2522" t="s">
        <v>2468</v>
      </c>
      <c r="M11" s="2516">
        <f ca="1">'数据-取费表'!B39</f>
        <v>1.4999999999999999E-2</v>
      </c>
    </row>
    <row r="12" spans="1:33" ht="18" customHeight="1" thickBot="1">
      <c r="A12" s="2561" t="s">
        <v>2471</v>
      </c>
      <c r="B12" s="2562" t="s">
        <v>2463</v>
      </c>
      <c r="C12" s="2563"/>
      <c r="D12" s="2564"/>
      <c r="E12" s="2565"/>
      <c r="F12" s="2566"/>
      <c r="G12" s="1592"/>
      <c r="H12" s="2575" t="s">
        <v>2474</v>
      </c>
      <c r="I12" s="2588" t="s">
        <v>2463</v>
      </c>
      <c r="J12" s="2589"/>
      <c r="K12" s="2564"/>
      <c r="L12" s="2565"/>
      <c r="M12" s="2578"/>
    </row>
    <row r="13" spans="1:33" ht="18" customHeight="1" thickTop="1">
      <c r="A13" s="1829">
        <v>2</v>
      </c>
      <c r="B13" s="1827" t="s">
        <v>1744</v>
      </c>
      <c r="C13" s="791">
        <f ca="1">ROUND(C29*F13,0)</f>
        <v>0</v>
      </c>
      <c r="D13" s="1834" t="s">
        <v>2299</v>
      </c>
      <c r="E13" s="1834" t="s">
        <v>1746</v>
      </c>
      <c r="F13" s="2560">
        <f ca="1">INDIRECT("'数据-取费表'!y"&amp;$G$1)</f>
        <v>0</v>
      </c>
      <c r="G13" s="1592"/>
      <c r="H13" s="1829">
        <v>2</v>
      </c>
      <c r="I13" s="1827" t="s">
        <v>1744</v>
      </c>
      <c r="J13" s="1819">
        <f ca="1">ROUND(J14*J15,0)</f>
        <v>0</v>
      </c>
      <c r="K13" s="1821" t="s">
        <v>1745</v>
      </c>
      <c r="L13" s="2576"/>
      <c r="M13" s="2577"/>
    </row>
    <row r="14" spans="1:33" ht="18" customHeight="1">
      <c r="A14" s="1648" t="s">
        <v>1886</v>
      </c>
      <c r="B14" s="783" t="s">
        <v>646</v>
      </c>
      <c r="C14" s="803">
        <f ca="1">INDIRECT("'数据-取费表'!m"&amp;$G$1)+INDIRECT("'数据-取费表'!t"&amp;$G$1)</f>
        <v>0</v>
      </c>
      <c r="D14" s="1979" t="s">
        <v>1747</v>
      </c>
      <c r="E14" s="1980"/>
      <c r="F14" s="804"/>
      <c r="G14" s="1592"/>
      <c r="H14" s="1649" t="s">
        <v>1832</v>
      </c>
      <c r="I14" s="2231" t="s">
        <v>2830</v>
      </c>
      <c r="J14" s="53">
        <f ca="1">C29</f>
        <v>0</v>
      </c>
      <c r="K14" s="26"/>
      <c r="L14" s="800"/>
      <c r="M14" s="801"/>
    </row>
    <row r="15" spans="1:33" s="2064" customFormat="1" ht="18" customHeight="1" thickBot="1">
      <c r="A15" s="1648" t="s">
        <v>1887</v>
      </c>
      <c r="B15" s="783" t="s">
        <v>648</v>
      </c>
      <c r="C15" s="53">
        <f ca="1">ROUND(C14*F15,0)</f>
        <v>0</v>
      </c>
      <c r="D15" s="805" t="s">
        <v>1748</v>
      </c>
      <c r="E15" s="805" t="s">
        <v>1749</v>
      </c>
      <c r="F15" s="806">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29" t="s">
        <v>1750</v>
      </c>
      <c r="I16" s="1827" t="s">
        <v>1751</v>
      </c>
      <c r="J16" s="791">
        <f ca="1">ROUND(J17+J22+J23+J24,0)</f>
        <v>0</v>
      </c>
      <c r="K16" s="1821" t="s">
        <v>1752</v>
      </c>
      <c r="L16" s="2510"/>
      <c r="M16" s="2515"/>
    </row>
    <row r="17" spans="1:33" s="2064" customFormat="1" ht="18" customHeight="1">
      <c r="A17" s="1648" t="s">
        <v>1889</v>
      </c>
      <c r="B17" s="783" t="s">
        <v>654</v>
      </c>
      <c r="C17" s="53">
        <f ca="1">ROUND(F17*(F43+INDIRECT("'数据-取费表'!S"&amp;$G$1))/10000,0)</f>
        <v>0</v>
      </c>
      <c r="D17" s="783" t="s">
        <v>1753</v>
      </c>
      <c r="E17" s="783" t="s">
        <v>1754</v>
      </c>
      <c r="F17" s="56">
        <f>'数据-取费表'!B35</f>
        <v>150</v>
      </c>
      <c r="G17" s="1593"/>
      <c r="H17" s="1649" t="s">
        <v>1832</v>
      </c>
      <c r="I17" s="783" t="s">
        <v>657</v>
      </c>
      <c r="J17" s="53">
        <f ca="1">ROUND(IF(项目基本情况!B11="自然人",J5*M17,J18+J19+J20),0)</f>
        <v>0</v>
      </c>
      <c r="K17" s="2509" t="s">
        <v>1755</v>
      </c>
      <c r="L17" s="2508" t="s">
        <v>1756</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0</v>
      </c>
      <c r="D18" s="783" t="s">
        <v>1748</v>
      </c>
      <c r="E18" s="783" t="s">
        <v>1749</v>
      </c>
      <c r="F18" s="808">
        <f>'数据-取费表'!B36</f>
        <v>1.4999999999999999E-2</v>
      </c>
      <c r="G18" s="1593"/>
      <c r="H18" s="1648" t="s">
        <v>1886</v>
      </c>
      <c r="I18" s="783" t="s">
        <v>1757</v>
      </c>
      <c r="J18" s="53">
        <f ca="1">ROUND(J5*M18/1.05,1)</f>
        <v>0</v>
      </c>
      <c r="K18" s="2508" t="s">
        <v>1758</v>
      </c>
      <c r="L18" s="783" t="s">
        <v>1749</v>
      </c>
      <c r="M18" s="808">
        <f>'数据-取费表'!B41</f>
        <v>6.2719999999999998E-2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3" t="s">
        <v>663</v>
      </c>
      <c r="C19" s="53">
        <f ca="1">SUM(C14:C18)</f>
        <v>0</v>
      </c>
      <c r="D19" s="260" t="s">
        <v>1759</v>
      </c>
      <c r="E19" s="1982"/>
      <c r="F19" s="56"/>
      <c r="G19" s="1592"/>
      <c r="H19" s="1648" t="s">
        <v>1887</v>
      </c>
      <c r="I19" s="783" t="s">
        <v>1760</v>
      </c>
      <c r="J19" s="53">
        <f ca="1">IF(K19="按租金收入计税",ROUND(J5*M19,1),ROUND(C29*F33*0.7,1))</f>
        <v>0</v>
      </c>
      <c r="K19" s="810" t="s">
        <v>666</v>
      </c>
      <c r="L19" s="783" t="s">
        <v>1749</v>
      </c>
      <c r="M19" s="808">
        <f>IF(K19="按租金收入计税",'数据-取费表'!B51,'数据-取费表'!B50)</f>
        <v>1.2E-2</v>
      </c>
    </row>
    <row r="20" spans="1:33" s="2064" customFormat="1" ht="18" customHeight="1">
      <c r="A20" s="1649" t="s">
        <v>1891</v>
      </c>
      <c r="B20" s="783" t="s">
        <v>667</v>
      </c>
      <c r="C20" s="53">
        <f ca="1">ROUND(C19*F20,0)</f>
        <v>0</v>
      </c>
      <c r="D20" s="811" t="s">
        <v>1761</v>
      </c>
      <c r="E20" s="783" t="s">
        <v>1749</v>
      </c>
      <c r="F20" s="808">
        <f>'数据-取费表'!B37</f>
        <v>0.01</v>
      </c>
      <c r="G20" s="1593"/>
      <c r="H20" s="1651" t="s">
        <v>1882</v>
      </c>
      <c r="I20" s="340" t="s">
        <v>1762</v>
      </c>
      <c r="J20" s="54">
        <f ca="1">ROUND(M20*M21/10000,0)</f>
        <v>0</v>
      </c>
      <c r="K20" s="813" t="s">
        <v>1763</v>
      </c>
      <c r="L20" s="783" t="s">
        <v>1764</v>
      </c>
      <c r="M20" s="639">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1765</v>
      </c>
      <c r="C21" s="53" t="s">
        <v>1766</v>
      </c>
      <c r="D21" s="811" t="s">
        <v>2300</v>
      </c>
      <c r="E21" s="783" t="s">
        <v>1767</v>
      </c>
      <c r="F21" s="808">
        <f>'数据-取费表'!B38</f>
        <v>0.01</v>
      </c>
      <c r="G21" s="1593"/>
      <c r="H21" s="2530"/>
      <c r="I21" s="792"/>
      <c r="J21" s="69"/>
      <c r="K21" s="815"/>
      <c r="L21" s="783" t="s">
        <v>1768</v>
      </c>
      <c r="M21" s="784">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1769</v>
      </c>
      <c r="C22" s="53"/>
      <c r="D22" s="2596" t="str">
        <f>IF(F23&lt;=1,"单利计息。","复利计息。")&amp;"建造成本、管理费用、销售费用产生的利息。"</f>
        <v>复利计息。建造成本、管理费用、销售费用产生的利息。</v>
      </c>
      <c r="E22" s="1982"/>
      <c r="F22" s="56"/>
      <c r="G22" s="1592"/>
      <c r="H22" s="1649" t="s">
        <v>1891</v>
      </c>
      <c r="I22" s="783" t="s">
        <v>1770</v>
      </c>
      <c r="J22" s="53">
        <f ca="1">ROUND(J14*M22,0)</f>
        <v>0</v>
      </c>
      <c r="K22" s="2508" t="s">
        <v>1771</v>
      </c>
      <c r="L22" s="783" t="s">
        <v>1749</v>
      </c>
      <c r="M22" s="816">
        <f ca="1">INDIRECT("'数据-取费表'!Ak"&amp;$G$1)</f>
        <v>0</v>
      </c>
    </row>
    <row r="23" spans="1:33" s="2064" customFormat="1" ht="18" customHeight="1">
      <c r="A23" s="1648" t="s">
        <v>1833</v>
      </c>
      <c r="B23" s="783" t="s">
        <v>2539</v>
      </c>
      <c r="C23" s="53">
        <f ca="1">ROUND(IF('数据-取费表'!B22&lt;=1,(C19+C20)*F24*F23/2,(C19+C20)*(POWER((1+F24),F23/2)-1)),0)</f>
        <v>0</v>
      </c>
      <c r="D23" s="2595" t="str">
        <f>IF(F23&lt;=1,"(建造成本+管理费用)×利率×(建设周期÷2)","(建造成本+管理费用)×((1+利率)^(建设周期÷2)-1)")</f>
        <v>(建造成本+管理费用)×((1+利率)^(建设周期÷2)-1)</v>
      </c>
      <c r="E23" s="783" t="s">
        <v>1772</v>
      </c>
      <c r="F23" s="639">
        <f>'数据-取费表'!B20</f>
        <v>2</v>
      </c>
      <c r="G23" s="1593"/>
      <c r="H23" s="1649" t="s">
        <v>1892</v>
      </c>
      <c r="I23" s="783" t="s">
        <v>680</v>
      </c>
      <c r="J23" s="53">
        <f ca="1">ROUND(J13*M23,0)</f>
        <v>0</v>
      </c>
      <c r="K23" s="2508" t="s">
        <v>1773</v>
      </c>
      <c r="L23" s="783" t="s">
        <v>1749</v>
      </c>
      <c r="M23" s="817">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1774</v>
      </c>
      <c r="C24" s="53">
        <f ca="1">ROUND(IF('数据-取费表'!B22&lt;=1,F21*F24*F23/2,F21*(POWER((1+F24),F23/2)-1)),4)</f>
        <v>5.0000000000000001E-4</v>
      </c>
      <c r="D24" s="2595" t="str">
        <f>IF(F23&lt;=1,"销售费用×利率×(建设周期÷2)","销售费用×((1+利率)^(建设周期÷2)-1)")</f>
        <v>销售费用×((1+利率)^(建设周期÷2)-1)</v>
      </c>
      <c r="E24" s="783" t="s">
        <v>1775</v>
      </c>
      <c r="F24" s="818">
        <f ca="1">'数据-取费表'!B40</f>
        <v>4.7500000000000001E-2</v>
      </c>
      <c r="G24" s="1593"/>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1777</v>
      </c>
      <c r="E25" s="1982"/>
      <c r="F25" s="56"/>
      <c r="G25" s="1592"/>
      <c r="H25" s="1829" t="s">
        <v>1778</v>
      </c>
      <c r="I25" s="3035" t="s">
        <v>2826</v>
      </c>
      <c r="J25" s="791">
        <f ca="1">J5-J16</f>
        <v>0</v>
      </c>
      <c r="K25" s="2572" t="s">
        <v>1779</v>
      </c>
      <c r="L25" s="2573"/>
      <c r="M25" s="2574"/>
    </row>
    <row r="26" spans="1:33" ht="18" customHeight="1">
      <c r="A26" s="1648" t="s">
        <v>1833</v>
      </c>
      <c r="B26" s="783" t="s">
        <v>2440</v>
      </c>
      <c r="C26" s="53">
        <f ca="1">ROUND((C19+C20)*F26,0)</f>
        <v>0</v>
      </c>
      <c r="D26" s="811" t="s">
        <v>1780</v>
      </c>
      <c r="E26" s="794" t="s">
        <v>1781</v>
      </c>
      <c r="F26" s="793">
        <f ca="1">INDIRECT("'数据-取费表'!q"&amp;$G$1)</f>
        <v>0</v>
      </c>
      <c r="G26" s="1592"/>
      <c r="H26" s="2526" t="s">
        <v>1782</v>
      </c>
      <c r="I26" s="2232" t="s">
        <v>2831</v>
      </c>
      <c r="J26" s="782">
        <f ca="1">IF(J5&lt;&gt;0,ROUND(J25*(1-((1+M28)/(1+M26))^M27)/(M26-M28),0),0)</f>
        <v>0</v>
      </c>
      <c r="K26" s="813" t="s">
        <v>1783</v>
      </c>
      <c r="L26" s="783" t="s">
        <v>2421</v>
      </c>
      <c r="M26" s="793">
        <f ca="1">INDIRECT("'数据-取费表'!I"&amp;$G$1)</f>
        <v>0</v>
      </c>
    </row>
    <row r="27" spans="1:33" ht="18" customHeight="1">
      <c r="A27" s="1648" t="s">
        <v>1834</v>
      </c>
      <c r="B27" s="783" t="s">
        <v>687</v>
      </c>
      <c r="C27" s="53">
        <f ca="1">ROUND(F21*F26,4)</f>
        <v>0</v>
      </c>
      <c r="D27" s="811" t="s">
        <v>1784</v>
      </c>
      <c r="E27" s="805"/>
      <c r="F27" s="806"/>
      <c r="G27" s="1592"/>
      <c r="H27" s="2527"/>
      <c r="I27" s="786"/>
      <c r="J27" s="787"/>
      <c r="K27" s="820" t="s">
        <v>1785</v>
      </c>
      <c r="L27" s="783" t="s">
        <v>1786</v>
      </c>
      <c r="M27" s="821">
        <f ca="1">INDIRECT("'数据-取费表'!ag"&amp;$G$1)</f>
        <v>0</v>
      </c>
    </row>
    <row r="28" spans="1:33" s="2064" customFormat="1" ht="18" customHeight="1">
      <c r="A28" s="1650" t="s">
        <v>1843</v>
      </c>
      <c r="B28" s="783" t="s">
        <v>688</v>
      </c>
      <c r="C28" s="53">
        <f>ROUND(F28/(1+'数据-取费表'!C42),4)</f>
        <v>5.9400000000000001E-2</v>
      </c>
      <c r="D28" s="811" t="s">
        <v>2301</v>
      </c>
      <c r="E28" s="783" t="s">
        <v>1787</v>
      </c>
      <c r="F28" s="808">
        <f>'数据-取费表'!B41</f>
        <v>6.2719999999999998E-2</v>
      </c>
      <c r="G28" s="1593"/>
      <c r="H28" s="1829"/>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2302</v>
      </c>
      <c r="C29" s="2568">
        <f ca="1">ROUND((C19+C20+C23+C26)/(1-F21-C24-C27-C28),0)</f>
        <v>0</v>
      </c>
      <c r="D29" s="2569"/>
      <c r="E29" s="2570"/>
      <c r="F29" s="2571"/>
      <c r="G29" s="1593"/>
      <c r="H29" s="822" t="s">
        <v>1789</v>
      </c>
      <c r="I29" s="823" t="s">
        <v>1790</v>
      </c>
      <c r="J29" s="824">
        <f ca="1">ROUND(J26/(1+F40)^F41,0)</f>
        <v>0</v>
      </c>
      <c r="K29" s="825" t="s">
        <v>1791</v>
      </c>
      <c r="L29" s="826"/>
      <c r="M29" s="827">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1">
        <f ca="1">ROUND(C31+C36+C37+C38,0)</f>
        <v>0</v>
      </c>
      <c r="D30" s="1821" t="s">
        <v>1793</v>
      </c>
      <c r="E30" s="2510"/>
      <c r="F30" s="2515"/>
      <c r="G30" s="2062"/>
      <c r="H30" s="2065"/>
      <c r="I30" s="2066"/>
      <c r="J30" s="2067"/>
      <c r="K30" s="2068"/>
      <c r="L30" s="2069"/>
      <c r="M30" s="2070"/>
    </row>
    <row r="31" spans="1:33" ht="18" customHeight="1">
      <c r="A31" s="1649" t="s">
        <v>1832</v>
      </c>
      <c r="B31" s="783" t="s">
        <v>657</v>
      </c>
      <c r="C31" s="53">
        <f ca="1">ROUND(IF(项目基本情况!B11="自然人",C5*F31,C32+C33+C34),1)</f>
        <v>0</v>
      </c>
      <c r="D31" s="1979" t="s">
        <v>1794</v>
      </c>
      <c r="E31" s="1977" t="s">
        <v>1795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1796</v>
      </c>
      <c r="C32" s="53">
        <f ca="1">ROUND(C5*F32/1.05,1)</f>
        <v>0</v>
      </c>
      <c r="D32" s="1977" t="s">
        <v>1797</v>
      </c>
      <c r="E32" s="783" t="s">
        <v>1798</v>
      </c>
      <c r="F32" s="808">
        <f>'数据-取费表'!B41</f>
        <v>6.2719999999999998E-2</v>
      </c>
      <c r="G32" s="2062"/>
      <c r="H32" s="2071"/>
      <c r="I32" s="2072"/>
      <c r="J32" s="2073"/>
      <c r="K32" s="2074"/>
      <c r="L32" s="2075"/>
      <c r="M32" s="2076"/>
    </row>
    <row r="33" spans="1:18" ht="18" customHeight="1">
      <c r="A33" s="1648" t="s">
        <v>1834</v>
      </c>
      <c r="B33" s="783" t="s">
        <v>1799</v>
      </c>
      <c r="C33" s="53">
        <f ca="1">IF(D33="按租金收入计税",ROUND(C5*F33,1),IF(D33="按房产原值计税",ROUND(C29*F33*0.7,1),INDIRECT("'数据-取费表'!Aj"&amp;$G$1)))</f>
        <v>0</v>
      </c>
      <c r="D33" s="810" t="s">
        <v>1682</v>
      </c>
      <c r="E33" s="783" t="s">
        <v>1798</v>
      </c>
      <c r="F33" s="808">
        <f>IF(D33="按租金收入计税",'数据-取费表'!B51,'数据-取费表'!B50)</f>
        <v>1.2E-2</v>
      </c>
      <c r="G33" s="2062"/>
      <c r="H33" s="2077"/>
      <c r="I33" s="2077"/>
      <c r="J33" s="2077"/>
      <c r="K33" s="2078"/>
      <c r="L33" s="2077"/>
      <c r="M33" s="2077"/>
    </row>
    <row r="34" spans="1:18" ht="18" customHeight="1">
      <c r="A34" s="1651" t="s">
        <v>1835</v>
      </c>
      <c r="B34" s="340" t="s">
        <v>1800</v>
      </c>
      <c r="C34" s="54">
        <f ca="1">ROUND(F34*F35/10000,1)</f>
        <v>0</v>
      </c>
      <c r="D34" s="813" t="s">
        <v>1801</v>
      </c>
      <c r="E34" s="783" t="s">
        <v>1802</v>
      </c>
      <c r="F34" s="639">
        <f>'数据-取费表'!B52</f>
        <v>0</v>
      </c>
      <c r="G34" s="2062"/>
      <c r="H34" s="2065"/>
      <c r="I34" s="834" t="s">
        <v>1815</v>
      </c>
      <c r="J34" s="835"/>
      <c r="K34" s="2080"/>
      <c r="L34" s="2079"/>
      <c r="M34" s="2079"/>
    </row>
    <row r="35" spans="1:18" ht="18" customHeight="1">
      <c r="A35" s="814"/>
      <c r="B35" s="792"/>
      <c r="C35" s="69"/>
      <c r="D35" s="815"/>
      <c r="E35" s="783" t="s">
        <v>1803</v>
      </c>
      <c r="F35" s="784">
        <f ca="1">INDIRECT("'数据-取费表'!r"&amp;$G$1)</f>
        <v>0</v>
      </c>
      <c r="G35" s="2062"/>
      <c r="H35" s="2065"/>
      <c r="I35" s="836" t="s">
        <v>1816</v>
      </c>
      <c r="J35" s="837">
        <f ca="1">ROUND(C13*J36,0)</f>
        <v>0</v>
      </c>
      <c r="K35" s="2078"/>
      <c r="L35" s="2077"/>
      <c r="M35" s="2077"/>
    </row>
    <row r="36" spans="1:18" ht="18" customHeight="1">
      <c r="A36" s="1649" t="s">
        <v>1891</v>
      </c>
      <c r="B36" s="783" t="s">
        <v>1804</v>
      </c>
      <c r="C36" s="53">
        <f ca="1">ROUND(C29*F36,1)</f>
        <v>0</v>
      </c>
      <c r="D36" s="1977" t="s">
        <v>1805</v>
      </c>
      <c r="E36" s="783" t="s">
        <v>1798</v>
      </c>
      <c r="F36" s="816">
        <f ca="1">INDIRECT("'数据-取费表'!Ak"&amp;$G$1)</f>
        <v>0</v>
      </c>
      <c r="G36" s="2062"/>
      <c r="H36" s="2077"/>
      <c r="I36" s="838" t="s">
        <v>1817</v>
      </c>
      <c r="J36" s="839">
        <f ca="1">INDIRECT("'数据-取费表'!j"&amp;$G$1)</f>
        <v>0</v>
      </c>
      <c r="K36" s="2082"/>
      <c r="L36" s="2077"/>
      <c r="M36" s="2077"/>
    </row>
    <row r="37" spans="1:18" ht="18" customHeight="1">
      <c r="A37" s="1649" t="s">
        <v>1892</v>
      </c>
      <c r="B37" s="783" t="s">
        <v>680</v>
      </c>
      <c r="C37" s="53">
        <f ca="1">ROUND(C13*F37,1)</f>
        <v>0</v>
      </c>
      <c r="D37" s="1977" t="s">
        <v>1806</v>
      </c>
      <c r="E37" s="783" t="s">
        <v>1798</v>
      </c>
      <c r="F37" s="817">
        <f ca="1">INDIRECT("'数据-取费表'!Al"&amp;$G$1)</f>
        <v>0</v>
      </c>
      <c r="G37" s="2062"/>
      <c r="H37" s="2077"/>
      <c r="I37" s="840" t="s">
        <v>1818</v>
      </c>
      <c r="J37" s="841"/>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2" t="s">
        <v>1819</v>
      </c>
      <c r="J38" s="843"/>
      <c r="K38" s="2083"/>
      <c r="L38" s="2077"/>
      <c r="M38" s="2077"/>
    </row>
    <row r="39" spans="1:18" ht="24.6" customHeight="1" thickTop="1">
      <c r="A39" s="1829" t="s">
        <v>1896</v>
      </c>
      <c r="B39" s="3035" t="s">
        <v>2826</v>
      </c>
      <c r="C39" s="791">
        <f ca="1">C5-C30</f>
        <v>0</v>
      </c>
      <c r="D39" s="2572" t="s">
        <v>1808</v>
      </c>
      <c r="E39" s="2573"/>
      <c r="F39" s="2574"/>
      <c r="G39" s="2062"/>
      <c r="H39" s="2077"/>
      <c r="I39" s="836" t="s">
        <v>1820</v>
      </c>
      <c r="J39" s="844" t="e">
        <f ca="1">ROUND(J35/C39,3)</f>
        <v>#DIV/0!</v>
      </c>
      <c r="K39" s="2083"/>
      <c r="L39" s="2077"/>
      <c r="M39" s="2077"/>
    </row>
    <row r="40" spans="1:18" ht="18" customHeight="1">
      <c r="A40" s="780" t="s">
        <v>1897</v>
      </c>
      <c r="B40" s="2232" t="s">
        <v>2303</v>
      </c>
      <c r="C40" s="782" t="e">
        <f ca="1">ROUND(C39*(1-((1+F42)/(1+F40))^F41)/(F40-F42),0)</f>
        <v>#DIV/0!</v>
      </c>
      <c r="D40" s="813" t="s">
        <v>1809</v>
      </c>
      <c r="E40" s="783" t="s">
        <v>2421</v>
      </c>
      <c r="F40" s="793">
        <f ca="1">INDIRECT("'数据-取费表'!I"&amp;$G$1)</f>
        <v>0</v>
      </c>
      <c r="G40" s="2062"/>
      <c r="H40" s="2062"/>
      <c r="I40" s="836" t="s">
        <v>1821</v>
      </c>
      <c r="J40" s="844" t="e">
        <f ca="1">1-J39</f>
        <v>#DIV/0!</v>
      </c>
      <c r="K40" s="2083"/>
      <c r="L40" s="2062"/>
      <c r="M40" s="2062"/>
    </row>
    <row r="41" spans="1:18" ht="18" customHeight="1">
      <c r="A41" s="785"/>
      <c r="B41" s="786"/>
      <c r="C41" s="787"/>
      <c r="D41" s="820" t="s">
        <v>1810</v>
      </c>
      <c r="E41" s="783" t="s">
        <v>2969</v>
      </c>
      <c r="F41" s="821">
        <f ca="1">IF(INDIRECT("'数据-取费表'!af"&amp;$G$1)=0,INDIRECT("'数据-取费表'!ae"&amp;$G$1),INDIRECT("'数据-取费表'!af"&amp;$G$1))</f>
        <v>0</v>
      </c>
      <c r="G41" s="2062"/>
      <c r="H41" s="1988"/>
      <c r="I41" s="842" t="s">
        <v>1822</v>
      </c>
      <c r="J41" s="845"/>
      <c r="K41" s="2082"/>
      <c r="L41" s="1988"/>
      <c r="M41" s="1988"/>
    </row>
    <row r="42" spans="1:18" ht="18" customHeight="1">
      <c r="A42" s="789"/>
      <c r="B42" s="790"/>
      <c r="C42" s="791"/>
      <c r="D42" s="815"/>
      <c r="E42" s="783" t="s">
        <v>1811</v>
      </c>
      <c r="F42" s="793">
        <f ca="1">INDIRECT("'数据-取费表'!v"&amp;$G$1)</f>
        <v>0</v>
      </c>
      <c r="G42" s="2062"/>
      <c r="H42" s="1988"/>
      <c r="I42" s="846" t="s">
        <v>1823</v>
      </c>
      <c r="J42" s="844" t="e">
        <f ca="1">ROUND(C13/C40,3)</f>
        <v>#DIV/0!</v>
      </c>
      <c r="K42" s="2082"/>
      <c r="L42" s="1988"/>
      <c r="M42" s="1988"/>
    </row>
    <row r="43" spans="1:18" ht="18" customHeight="1" thickBot="1">
      <c r="A43" s="822" t="s">
        <v>1789</v>
      </c>
      <c r="B43" s="823" t="s">
        <v>1812</v>
      </c>
      <c r="C43" s="824" t="e">
        <f ca="1">ROUND(C40*10000/F43,0)</f>
        <v>#DIV/0!</v>
      </c>
      <c r="D43" s="825" t="s">
        <v>1813</v>
      </c>
      <c r="E43" s="826" t="s">
        <v>1814</v>
      </c>
      <c r="F43" s="827">
        <f ca="1">INDIRECT("'数据-取费表'!k"&amp;$G$1)</f>
        <v>0</v>
      </c>
      <c r="G43" s="2062"/>
      <c r="H43" s="1988"/>
      <c r="I43" s="846" t="s">
        <v>1824</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t="e">
        <f ca="1">C67-C40</f>
        <v>#DIV/0!</v>
      </c>
      <c r="D46" s="2085"/>
      <c r="E46" s="2085"/>
      <c r="F46" s="2085"/>
      <c r="I46" s="2378" t="s">
        <v>2344</v>
      </c>
      <c r="J46" s="2379"/>
      <c r="K46" s="2380"/>
      <c r="L46" s="2381" t="str">
        <f ca="1">IF(M47="住宅",0,IF(L48&gt;J51,L60,J60))</f>
        <v>0</v>
      </c>
      <c r="O46" s="2418" t="s">
        <v>2412</v>
      </c>
      <c r="P46" s="1592"/>
      <c r="Q46" s="1604"/>
      <c r="R46" s="1592"/>
    </row>
    <row r="47" spans="1:18" s="2059" customFormat="1" ht="18" customHeight="1" thickBot="1">
      <c r="A47" s="2372">
        <v>1</v>
      </c>
      <c r="B47" s="2373" t="s">
        <v>636</v>
      </c>
      <c r="C47" s="2598">
        <f ca="1">C48+C52+C54</f>
        <v>0</v>
      </c>
      <c r="D47" s="2085"/>
      <c r="E47" s="2085"/>
      <c r="F47" s="2085"/>
      <c r="I47" s="2382" t="s">
        <v>2345</v>
      </c>
      <c r="J47" s="2387"/>
      <c r="K47" s="2388" t="s">
        <v>2351</v>
      </c>
      <c r="L47" s="2389">
        <f ca="1">INDIRECT("'数据-取费表'!d"&amp;$G$1)</f>
        <v>0</v>
      </c>
      <c r="M47" s="1604" t="str">
        <f>IF(ISNUMBER(FIND("住宅",C1)),"住宅","非住宅")</f>
        <v>非住宅</v>
      </c>
      <c r="O47" s="2419" t="s">
        <v>2377</v>
      </c>
      <c r="P47" s="2420" t="s">
        <v>2378</v>
      </c>
      <c r="Q47" s="2421" t="s">
        <v>2379</v>
      </c>
      <c r="R47" s="2420" t="s">
        <v>2380</v>
      </c>
    </row>
    <row r="48" spans="1:18" s="2059" customFormat="1" ht="18" customHeight="1" thickBot="1">
      <c r="A48" s="2667" t="s">
        <v>2541</v>
      </c>
      <c r="B48" s="2668" t="s">
        <v>2542</v>
      </c>
      <c r="C48" s="2374">
        <f ca="1">ROUND(F48*F50*F49*(1-F51)/10000,0)</f>
        <v>0</v>
      </c>
      <c r="D48" s="2375" t="s">
        <v>637</v>
      </c>
      <c r="E48" s="2376" t="s">
        <v>2298</v>
      </c>
      <c r="F48" s="2377"/>
      <c r="G48" s="2090"/>
      <c r="I48" s="2383" t="s">
        <v>2346</v>
      </c>
      <c r="J48" s="2390"/>
      <c r="K48" s="2391" t="s">
        <v>2353</v>
      </c>
      <c r="L48" s="2392">
        <f ca="1">INDIRECT("'数据-取费表'!f"&amp;$G$1)</f>
        <v>0</v>
      </c>
      <c r="O48" s="2422" t="s">
        <v>2381</v>
      </c>
      <c r="P48" s="2423" t="s">
        <v>2407</v>
      </c>
      <c r="Q48" s="2424" t="e">
        <f ca="1">C40+J29</f>
        <v>#DIV/0!</v>
      </c>
      <c r="R48" s="2423" t="s">
        <v>2382</v>
      </c>
    </row>
    <row r="49" spans="1:18" s="2059" customFormat="1" ht="18" customHeight="1" thickBot="1">
      <c r="A49" s="785"/>
      <c r="B49" s="786"/>
      <c r="C49" s="787"/>
      <c r="D49" s="788"/>
      <c r="E49" s="783" t="s">
        <v>1741</v>
      </c>
      <c r="F49" s="784">
        <f ca="1">F7</f>
        <v>0</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5"/>
      <c r="B50" s="786"/>
      <c r="C50" s="787"/>
      <c r="D50" s="788"/>
      <c r="E50" s="783" t="s">
        <v>1742</v>
      </c>
      <c r="F50" s="784">
        <f ca="1">F8</f>
        <v>0</v>
      </c>
      <c r="G50" s="2095"/>
      <c r="H50" s="2093"/>
      <c r="I50" s="2383" t="s">
        <v>2348</v>
      </c>
      <c r="J50" s="2396">
        <f>SUMPRODUCT((I63:I65=J47)*(J62:L62=J48)*(J63:L65))</f>
        <v>0</v>
      </c>
      <c r="K50" s="2394" t="s">
        <v>2355</v>
      </c>
      <c r="L50" s="2395"/>
      <c r="O50" s="2425" t="s">
        <v>2385</v>
      </c>
      <c r="P50" s="2423" t="s">
        <v>2409</v>
      </c>
      <c r="Q50" s="2424">
        <f ca="1">C29</f>
        <v>0</v>
      </c>
      <c r="R50" s="2423" t="s">
        <v>2382</v>
      </c>
    </row>
    <row r="51" spans="1:18" s="2059" customFormat="1" ht="18" customHeight="1" thickBot="1">
      <c r="A51" s="785"/>
      <c r="B51" s="786"/>
      <c r="C51" s="787"/>
      <c r="D51" s="788"/>
      <c r="E51" s="783" t="s">
        <v>641</v>
      </c>
      <c r="F51" s="2371"/>
      <c r="H51" s="2093"/>
      <c r="I51" s="2384" t="s">
        <v>2349</v>
      </c>
      <c r="J51" s="2397">
        <f>IF(J49="",J50,J49+J50-YEAR('数据-取费表'!B2))</f>
        <v>0</v>
      </c>
      <c r="K51" s="2383" t="s">
        <v>2356</v>
      </c>
      <c r="L51" s="2398">
        <f ca="1">ROUND(-PV(INDIRECT("'数据-取费表'!h"&amp;$G$1),L48,(C39-C13*J36),0),0)</f>
        <v>0</v>
      </c>
      <c r="O51" s="2425" t="s">
        <v>2386</v>
      </c>
      <c r="P51" s="2423" t="s">
        <v>2387</v>
      </c>
      <c r="Q51" s="2426" t="e">
        <f ca="1">J58</f>
        <v>#VALUE!</v>
      </c>
      <c r="R51" s="2427"/>
    </row>
    <row r="52" spans="1:18" s="2059" customFormat="1" ht="18" customHeight="1" thickBot="1">
      <c r="A52" s="780" t="s">
        <v>2540</v>
      </c>
      <c r="B52" s="2518" t="s">
        <v>2462</v>
      </c>
      <c r="C52" s="798">
        <f ca="1">ROUND(IF(F52="押一",F48*F50*F49/12*F11,IF(F52="押二",F48*F50*F49/12*2*F11,IF(F52="押三",F48*F50*F49/12*3*F11,C53*F11)))/10000,0)</f>
        <v>0</v>
      </c>
      <c r="D52" s="2525" t="s">
        <v>2469</v>
      </c>
      <c r="E52" s="2522" t="s">
        <v>2467</v>
      </c>
      <c r="F52" s="2645"/>
      <c r="I52" s="2385" t="s">
        <v>2423</v>
      </c>
      <c r="J52" s="2399"/>
      <c r="K52" s="2385" t="s">
        <v>2422</v>
      </c>
      <c r="L52" s="2399"/>
      <c r="O52" s="2425" t="s">
        <v>2388</v>
      </c>
      <c r="P52" s="2423" t="s">
        <v>2389</v>
      </c>
      <c r="Q52" s="2426">
        <f>J52</f>
        <v>0</v>
      </c>
      <c r="R52" s="2427"/>
    </row>
    <row r="53" spans="1:18" s="2059" customFormat="1" ht="39.75" customHeight="1" thickBot="1">
      <c r="A53" s="785"/>
      <c r="B53" s="2519" t="s">
        <v>2577</v>
      </c>
      <c r="C53" s="2523"/>
      <c r="D53" s="2525"/>
      <c r="E53" s="2522"/>
      <c r="F53" s="799"/>
      <c r="I53" s="2386" t="s">
        <v>2350</v>
      </c>
      <c r="J53" s="2400" t="b">
        <f>IF(M47="住宅",J51,IF(D1="——",MIN(J51,L48),IF(D1="土地（套用方法）",MIN(J51,L48-'数据-取费表'!B20))))</f>
        <v>0</v>
      </c>
      <c r="K53" s="3773" t="s">
        <v>2971</v>
      </c>
      <c r="L53" s="3774"/>
      <c r="O53" s="2425" t="s">
        <v>2390</v>
      </c>
      <c r="P53" s="2423" t="s">
        <v>2391</v>
      </c>
      <c r="Q53" s="2424" t="b">
        <f>J53</f>
        <v>0</v>
      </c>
      <c r="R53" s="2423" t="s">
        <v>2392</v>
      </c>
    </row>
    <row r="54" spans="1:18" s="2059" customFormat="1" ht="18" customHeight="1" thickBot="1">
      <c r="A54" s="2561" t="s">
        <v>2471</v>
      </c>
      <c r="B54" s="2562" t="s">
        <v>2463</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2393</v>
      </c>
      <c r="P54" s="2423" t="s">
        <v>2410</v>
      </c>
      <c r="Q54" s="2424" t="e">
        <f ca="1">Q48+Q49</f>
        <v>#DIV/0!</v>
      </c>
      <c r="R54" s="2427" t="s">
        <v>2394</v>
      </c>
    </row>
    <row r="55" spans="1:18" s="2059" customFormat="1" ht="18" customHeight="1" thickTop="1" thickBot="1">
      <c r="A55" s="796">
        <v>2</v>
      </c>
      <c r="B55" s="797" t="s">
        <v>645</v>
      </c>
      <c r="C55" s="798">
        <f ca="1">C13</f>
        <v>0</v>
      </c>
      <c r="D55" s="794"/>
      <c r="E55" s="794"/>
      <c r="F55" s="799"/>
      <c r="I55" s="3128" t="s">
        <v>2357</v>
      </c>
      <c r="J55" s="3127" t="e">
        <f ca="1">ROUND(IF(J47="钢混",J57/J50,1-(1-2%)*(J50-J57)/J50),3)</f>
        <v>#VALUE!</v>
      </c>
      <c r="K55" s="2401" t="s">
        <v>2358</v>
      </c>
      <c r="L55" s="2402"/>
      <c r="O55" s="2428" t="s">
        <v>2413</v>
      </c>
      <c r="P55" s="1592"/>
      <c r="Q55" s="1604"/>
      <c r="R55" s="1592"/>
    </row>
    <row r="56" spans="1:18" s="2059" customFormat="1" ht="42.75" customHeight="1" thickBot="1">
      <c r="A56" s="1650"/>
      <c r="B56" s="2231" t="s">
        <v>2304</v>
      </c>
      <c r="C56" s="53">
        <f ca="1">C29</f>
        <v>0</v>
      </c>
      <c r="D56" s="2664"/>
      <c r="E56" s="783"/>
      <c r="F56" s="808"/>
      <c r="I56" s="2403" t="s">
        <v>2359</v>
      </c>
      <c r="J56" s="3151" t="s">
        <v>1680</v>
      </c>
      <c r="K56" s="2383" t="s">
        <v>2364</v>
      </c>
      <c r="L56" s="2392">
        <f ca="1">IF(L48&lt;J51,"——",L48-J51)</f>
        <v>0</v>
      </c>
      <c r="O56" s="2419" t="s">
        <v>2377</v>
      </c>
      <c r="P56" s="2420" t="s">
        <v>2378</v>
      </c>
      <c r="Q56" s="2421" t="s">
        <v>2379</v>
      </c>
      <c r="R56" s="2420" t="s">
        <v>2380</v>
      </c>
    </row>
    <row r="57" spans="1:18" s="2059" customFormat="1" ht="28.5" customHeight="1" thickBot="1">
      <c r="A57" s="796" t="s">
        <v>1750</v>
      </c>
      <c r="B57" s="797" t="s">
        <v>652</v>
      </c>
      <c r="C57" s="798">
        <f ca="1">ROUND(C58+C63+C64+C65,0)</f>
        <v>0</v>
      </c>
      <c r="D57" s="26" t="s">
        <v>1752</v>
      </c>
      <c r="E57" s="2665"/>
      <c r="F57" s="56"/>
      <c r="I57" s="2404" t="s">
        <v>2360</v>
      </c>
      <c r="J57" s="2406" t="str">
        <f ca="1">IF(OR(M47="住宅",J51&lt;L48,J56="是"),"——",J51-L48)</f>
        <v>——</v>
      </c>
      <c r="K57" s="2383" t="s">
        <v>2365</v>
      </c>
      <c r="L57" s="2392">
        <f ca="1">IF(L48&lt;J51,"——",IF(L55="比较法",L49,IF(L55="基准地价",L50,L51)))</f>
        <v>0</v>
      </c>
      <c r="O57" s="2422" t="s">
        <v>2381</v>
      </c>
      <c r="P57" s="2423" t="s">
        <v>2411</v>
      </c>
      <c r="Q57" s="2424" t="e">
        <f ca="1">C40+J29</f>
        <v>#DIV/0!</v>
      </c>
      <c r="R57" s="2423" t="s">
        <v>2382</v>
      </c>
    </row>
    <row r="58" spans="1:18" s="2059" customFormat="1" ht="28.5" customHeight="1" thickBot="1">
      <c r="A58" s="1649" t="s">
        <v>1826</v>
      </c>
      <c r="B58" s="783" t="s">
        <v>657</v>
      </c>
      <c r="C58" s="53">
        <f ca="1">ROUND(IF(项目基本情况!B11="自然人",C47*F58,C59+C60+C61),1)</f>
        <v>0</v>
      </c>
      <c r="D58" s="2663" t="s">
        <v>658</v>
      </c>
      <c r="E58" s="2664" t="s">
        <v>691</v>
      </c>
      <c r="F58" s="809" t="str">
        <f ca="1">IF(项目基本情况!B11="企业","",IF(INDIRECT("'数据-取费表'!c"&amp;$G$1)="住宅",5%,IF(F48*F49*F50/12/(1+'数据-取费表'!C42)&gt;20000,12%,7%)))</f>
        <v/>
      </c>
      <c r="I58" s="2404" t="s">
        <v>2361</v>
      </c>
      <c r="J58" s="3129" t="e">
        <f ca="1">IF(J55&lt;0.4,0.4,J55)</f>
        <v>#VALUE!</v>
      </c>
      <c r="K58" s="2383" t="s">
        <v>2366</v>
      </c>
      <c r="L58" s="2392" t="e">
        <f ca="1">ROUND(POWER(1+L52,L47-L48)*(POWER(1+L52,L48)-1)/(POWER(1+L52,L47)-1),4)</f>
        <v>#DIV/0!</v>
      </c>
      <c r="O58" s="2422" t="s">
        <v>2383</v>
      </c>
      <c r="P58" s="2423" t="s">
        <v>2414</v>
      </c>
      <c r="Q58" s="2424" t="e">
        <f ca="1">L60</f>
        <v>#DIV/0!</v>
      </c>
      <c r="R58" s="2427" t="s">
        <v>2416</v>
      </c>
    </row>
    <row r="59" spans="1:18" s="2059" customFormat="1" ht="28.5" customHeight="1" thickBot="1">
      <c r="A59" s="1648" t="s">
        <v>1833</v>
      </c>
      <c r="B59" s="783" t="s">
        <v>661</v>
      </c>
      <c r="C59" s="53">
        <f ca="1">ROUND(C47*F59/1.05,1)</f>
        <v>0</v>
      </c>
      <c r="D59" s="2664" t="s">
        <v>1758</v>
      </c>
      <c r="E59" s="783" t="s">
        <v>1749</v>
      </c>
      <c r="F59" s="808">
        <f t="shared" ref="F59:F65" si="0">F32</f>
        <v>6.2719999999999998E-2</v>
      </c>
      <c r="I59" s="2404" t="s">
        <v>2362</v>
      </c>
      <c r="J59" s="2406"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8" t="s">
        <v>1834</v>
      </c>
      <c r="B60" s="783" t="s">
        <v>1760</v>
      </c>
      <c r="C60" s="53">
        <f ca="1">IF(D60="按租金收入计税",ROUND(C47*F60,1),IF(D60="按房产原值计税",ROUND(C56*F60*0.7,1),INDIRECT("'数据-取费表'!Aj"&amp;$G$1)))</f>
        <v>0</v>
      </c>
      <c r="D60" s="2664" t="str">
        <f>D33</f>
        <v>按房产原值计税</v>
      </c>
      <c r="E60" s="783" t="s">
        <v>1749</v>
      </c>
      <c r="F60" s="808">
        <f t="shared" si="0"/>
        <v>1.2E-2</v>
      </c>
      <c r="I60" s="2405" t="s">
        <v>2363</v>
      </c>
      <c r="J60" s="2407" t="str">
        <f ca="1">IF(OR(M47="住宅",J51&lt;L48,J56="是"),"0",ROUND(J59/(1+J52)^J53,0))</f>
        <v>0</v>
      </c>
      <c r="K60" s="2408" t="s">
        <v>2368</v>
      </c>
      <c r="L60" s="2407" t="e">
        <f ca="1">IF(OR(M47="住宅",L48&lt;J51),0,ROUND(L57*(L58/L59-1),0))</f>
        <v>#DIV/0!</v>
      </c>
      <c r="O60" s="2425" t="s">
        <v>2386</v>
      </c>
      <c r="P60" s="2423" t="s">
        <v>2395</v>
      </c>
      <c r="Q60" s="2426">
        <f>L52</f>
        <v>0</v>
      </c>
      <c r="R60" s="2427"/>
    </row>
    <row r="61" spans="1:18" s="2059" customFormat="1" ht="18" customHeight="1" thickBot="1">
      <c r="A61" s="1651" t="s">
        <v>1835</v>
      </c>
      <c r="B61" s="340" t="s">
        <v>669</v>
      </c>
      <c r="C61" s="54">
        <f ca="1">ROUND(F61*F62/10000,1)</f>
        <v>0</v>
      </c>
      <c r="D61" s="813" t="s">
        <v>670</v>
      </c>
      <c r="E61" s="783" t="s">
        <v>671</v>
      </c>
      <c r="F61" s="639">
        <f t="shared" si="0"/>
        <v>0</v>
      </c>
      <c r="K61" s="2086"/>
      <c r="O61" s="2425" t="s">
        <v>2388</v>
      </c>
      <c r="P61" s="2423" t="s">
        <v>2396</v>
      </c>
      <c r="Q61" s="2424" t="e">
        <f ca="1">L58</f>
        <v>#DIV/0!</v>
      </c>
      <c r="R61" s="2427" t="s">
        <v>2397</v>
      </c>
    </row>
    <row r="62" spans="1:18" s="2059" customFormat="1" ht="15.75" thickBot="1">
      <c r="A62" s="814"/>
      <c r="B62" s="792"/>
      <c r="C62" s="69"/>
      <c r="D62" s="815"/>
      <c r="E62" s="783" t="s">
        <v>675</v>
      </c>
      <c r="F62" s="784">
        <f t="shared" ca="1" si="0"/>
        <v>0</v>
      </c>
      <c r="I62" s="2409" t="s">
        <v>2369</v>
      </c>
      <c r="J62" s="2410" t="s">
        <v>2370</v>
      </c>
      <c r="K62" s="2410" t="s">
        <v>2371</v>
      </c>
      <c r="L62" s="2410" t="s">
        <v>2352</v>
      </c>
      <c r="M62" s="3130" t="s">
        <v>2946</v>
      </c>
      <c r="O62" s="2425" t="s">
        <v>2390</v>
      </c>
      <c r="P62" s="2423" t="str">
        <f>K59</f>
        <v>建设期及建筑物耐用年限下的土地年期修正系数Kn</v>
      </c>
      <c r="Q62" s="2424" t="e">
        <f ca="1">L59</f>
        <v>#DIV/0!</v>
      </c>
      <c r="R62" s="2427" t="s">
        <v>2399</v>
      </c>
    </row>
    <row r="63" spans="1:18" s="2059" customFormat="1" ht="15.75" thickBot="1">
      <c r="A63" s="1649" t="s">
        <v>1891</v>
      </c>
      <c r="B63" s="783" t="s">
        <v>677</v>
      </c>
      <c r="C63" s="53">
        <f ca="1">ROUND(C56*F63,1)</f>
        <v>0</v>
      </c>
      <c r="D63" s="2664" t="s">
        <v>1805</v>
      </c>
      <c r="E63" s="783" t="s">
        <v>1749</v>
      </c>
      <c r="F63" s="816">
        <f t="shared" ca="1" si="0"/>
        <v>0</v>
      </c>
      <c r="I63" s="2409" t="s">
        <v>2372</v>
      </c>
      <c r="J63" s="2410">
        <v>70</v>
      </c>
      <c r="K63" s="2410">
        <v>50</v>
      </c>
      <c r="L63" s="2410">
        <v>80</v>
      </c>
      <c r="M63" s="3131">
        <v>0.02</v>
      </c>
      <c r="O63" s="2422" t="s">
        <v>2393</v>
      </c>
      <c r="P63" s="2423" t="s">
        <v>2410</v>
      </c>
      <c r="Q63" s="2424" t="e">
        <f ca="1">Q57+Q58</f>
        <v>#DIV/0!</v>
      </c>
      <c r="R63" s="2427" t="s">
        <v>2394</v>
      </c>
    </row>
    <row r="64" spans="1:18" s="2059" customFormat="1" ht="16.5" thickBot="1">
      <c r="A64" s="1649" t="s">
        <v>1892</v>
      </c>
      <c r="B64" s="783" t="s">
        <v>680</v>
      </c>
      <c r="C64" s="53">
        <f ca="1">ROUND(C55*F64,1)</f>
        <v>0</v>
      </c>
      <c r="D64" s="2664" t="s">
        <v>681</v>
      </c>
      <c r="E64" s="783" t="s">
        <v>1749</v>
      </c>
      <c r="F64" s="817">
        <f t="shared" ca="1" si="0"/>
        <v>0</v>
      </c>
      <c r="I64" s="2409" t="s">
        <v>2373</v>
      </c>
      <c r="J64" s="2410">
        <v>50</v>
      </c>
      <c r="K64" s="2410">
        <v>35</v>
      </c>
      <c r="L64" s="2410">
        <v>60</v>
      </c>
      <c r="M64" s="3132">
        <v>0</v>
      </c>
      <c r="O64" s="2428" t="s">
        <v>2417</v>
      </c>
      <c r="P64" s="1592"/>
      <c r="Q64" s="1604"/>
      <c r="R64" s="1592"/>
    </row>
    <row r="65" spans="1:18" s="2059" customFormat="1" ht="15.75" thickBot="1">
      <c r="A65" s="1649" t="s">
        <v>1893</v>
      </c>
      <c r="B65" s="783" t="s">
        <v>667</v>
      </c>
      <c r="C65" s="53">
        <f ca="1">ROUND(C47*F65,1)</f>
        <v>0</v>
      </c>
      <c r="D65" s="2664" t="s">
        <v>684</v>
      </c>
      <c r="E65" s="783" t="s">
        <v>1749</v>
      </c>
      <c r="F65" s="793">
        <f t="shared" ca="1" si="0"/>
        <v>0</v>
      </c>
      <c r="I65" s="2409" t="s">
        <v>2374</v>
      </c>
      <c r="J65" s="2410">
        <v>40</v>
      </c>
      <c r="K65" s="2410">
        <v>30</v>
      </c>
      <c r="L65" s="2410">
        <v>50</v>
      </c>
      <c r="M65" s="3131">
        <v>0.02</v>
      </c>
      <c r="O65" s="2419" t="s">
        <v>2377</v>
      </c>
      <c r="P65" s="2420" t="s">
        <v>2378</v>
      </c>
      <c r="Q65" s="2421" t="s">
        <v>2379</v>
      </c>
      <c r="R65" s="2420" t="s">
        <v>2380</v>
      </c>
    </row>
    <row r="66" spans="1:18" s="2059" customFormat="1" ht="24.75" thickBot="1">
      <c r="A66" s="796" t="s">
        <v>1778</v>
      </c>
      <c r="B66" s="3036" t="s">
        <v>2826</v>
      </c>
      <c r="C66" s="798">
        <f ca="1">C47-C57</f>
        <v>0</v>
      </c>
      <c r="D66" s="2663" t="s">
        <v>701</v>
      </c>
      <c r="E66" s="2662"/>
      <c r="F66" s="819"/>
      <c r="K66" s="2086"/>
      <c r="O66" s="2422" t="s">
        <v>2381</v>
      </c>
      <c r="P66" s="2423" t="s">
        <v>2411</v>
      </c>
      <c r="Q66" s="2424" t="e">
        <f ca="1">C40+J29</f>
        <v>#DIV/0!</v>
      </c>
      <c r="R66" s="2423" t="s">
        <v>2382</v>
      </c>
    </row>
    <row r="67" spans="1:18" s="2059" customFormat="1" ht="20.25" thickBot="1">
      <c r="A67" s="780" t="s">
        <v>1782</v>
      </c>
      <c r="B67" s="2232" t="s">
        <v>2303</v>
      </c>
      <c r="C67" s="782" t="e">
        <f ca="1">ROUND(C66*(1-((1+F69)/(1+F67))^F68)/(F67-F69),0)</f>
        <v>#DIV/0!</v>
      </c>
      <c r="D67" s="813" t="s">
        <v>705</v>
      </c>
      <c r="E67" s="783" t="s">
        <v>706</v>
      </c>
      <c r="F67" s="793">
        <f ca="1">F40</f>
        <v>0</v>
      </c>
      <c r="K67" s="2086"/>
      <c r="O67" s="2422" t="s">
        <v>2383</v>
      </c>
      <c r="P67" s="2423" t="s">
        <v>2414</v>
      </c>
      <c r="Q67" s="2424" t="e">
        <f ca="1">L60</f>
        <v>#DIV/0!</v>
      </c>
      <c r="R67" s="2427" t="s">
        <v>2416</v>
      </c>
    </row>
    <row r="68" spans="1:18" ht="21.75" thickBot="1">
      <c r="A68" s="785"/>
      <c r="B68" s="786"/>
      <c r="C68" s="787"/>
      <c r="D68" s="820" t="s">
        <v>1810</v>
      </c>
      <c r="E68" s="783" t="s">
        <v>1786</v>
      </c>
      <c r="F68" s="821">
        <f ca="1">F41</f>
        <v>0</v>
      </c>
      <c r="O68" s="2425" t="s">
        <v>2385</v>
      </c>
      <c r="P68" s="2423" t="s">
        <v>2415</v>
      </c>
      <c r="Q68" s="2429">
        <f ca="1">L51</f>
        <v>0</v>
      </c>
      <c r="R68" s="2430" t="s">
        <v>2418</v>
      </c>
    </row>
    <row r="69" spans="1:18" ht="20.25" thickBot="1">
      <c r="A69" s="789"/>
      <c r="B69" s="790"/>
      <c r="C69" s="791"/>
      <c r="D69" s="815"/>
      <c r="E69" s="783" t="s">
        <v>711</v>
      </c>
      <c r="F69" s="2371"/>
      <c r="O69" s="2425" t="s">
        <v>2386</v>
      </c>
      <c r="P69" s="2431" t="s">
        <v>2400</v>
      </c>
      <c r="Q69" s="2424">
        <f ca="1">ROUND(Q70-Q71*Q72,0)</f>
        <v>0</v>
      </c>
      <c r="R69" s="2427"/>
    </row>
    <row r="70" spans="1:18" ht="15.75" thickBot="1">
      <c r="A70" s="822" t="s">
        <v>1789</v>
      </c>
      <c r="B70" s="823" t="s">
        <v>1812</v>
      </c>
      <c r="C70" s="824" t="e">
        <f ca="1">ROUND(C67*10000/F70,0)</f>
        <v>#DIV/0!</v>
      </c>
      <c r="D70" s="825" t="s">
        <v>1813</v>
      </c>
      <c r="E70" s="826" t="s">
        <v>1814</v>
      </c>
      <c r="F70" s="827">
        <f ca="1">F43</f>
        <v>0</v>
      </c>
      <c r="O70" s="2425" t="s">
        <v>2401</v>
      </c>
      <c r="P70" s="2431" t="s">
        <v>2402</v>
      </c>
      <c r="Q70" s="2424">
        <f ca="1">C39</f>
        <v>0</v>
      </c>
      <c r="R70" s="2423" t="s">
        <v>2382</v>
      </c>
    </row>
    <row r="71" spans="1:18" ht="15.75" thickBot="1">
      <c r="O71" s="2425" t="s">
        <v>2403</v>
      </c>
      <c r="P71" s="2431" t="s">
        <v>2404</v>
      </c>
      <c r="Q71" s="2424">
        <f ca="1">C13</f>
        <v>0</v>
      </c>
      <c r="R71" s="2423" t="s">
        <v>2382</v>
      </c>
    </row>
    <row r="72" spans="1:18" ht="15.75" thickBot="1">
      <c r="O72" s="2425" t="s">
        <v>2405</v>
      </c>
      <c r="P72" s="2431" t="s">
        <v>2406</v>
      </c>
      <c r="Q72" s="2426">
        <f ca="1">J36</f>
        <v>0</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建设期及建筑物耐用年限下的土地年期修正系数Kn</v>
      </c>
      <c r="Q75" s="2424" t="e">
        <f ca="1">L59</f>
        <v>#DIV/0!</v>
      </c>
      <c r="R75" s="2427" t="s">
        <v>2399</v>
      </c>
    </row>
    <row r="76" spans="1:18" ht="15.75" thickBot="1">
      <c r="O76" s="2422" t="s">
        <v>2393</v>
      </c>
      <c r="P76" s="2423" t="s">
        <v>2410</v>
      </c>
      <c r="Q76" s="2424" t="e">
        <f ca="1">Q66+Q67</f>
        <v>#DIV/0!</v>
      </c>
      <c r="R76" s="242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5" t="s">
        <v>2475</v>
      </c>
      <c r="B1" s="3776"/>
      <c r="C1" s="3777"/>
      <c r="D1" s="3778">
        <f>SUM(I10,I15,I20,I21,I23)</f>
        <v>0</v>
      </c>
      <c r="E1" s="3778"/>
      <c r="F1" s="3778"/>
      <c r="G1" s="3778"/>
      <c r="H1" s="3778"/>
      <c r="I1" s="3779"/>
    </row>
    <row r="2" spans="1:9">
      <c r="A2" s="3780" t="s">
        <v>2476</v>
      </c>
      <c r="B2" s="3781" t="s">
        <v>2477</v>
      </c>
      <c r="C2" s="3781"/>
      <c r="D2" s="2531" t="s">
        <v>2478</v>
      </c>
      <c r="E2" s="2531" t="s">
        <v>2479</v>
      </c>
      <c r="F2" s="2531" t="s">
        <v>2480</v>
      </c>
      <c r="G2" s="2531" t="s">
        <v>2481</v>
      </c>
      <c r="H2" s="2531" t="s">
        <v>2482</v>
      </c>
      <c r="I2" s="2532" t="s">
        <v>2483</v>
      </c>
    </row>
    <row r="3" spans="1:9">
      <c r="A3" s="3780"/>
      <c r="B3" s="3781" t="s">
        <v>2484</v>
      </c>
      <c r="C3" s="3781"/>
      <c r="D3" s="2533"/>
      <c r="E3" s="2531"/>
      <c r="F3" s="2534"/>
      <c r="G3" s="2534"/>
      <c r="H3" s="2535"/>
      <c r="I3" s="2536">
        <f>ROUND(D3*E3*F3*G3*H3/10000,0)</f>
        <v>0</v>
      </c>
    </row>
    <row r="4" spans="1:9">
      <c r="A4" s="3780"/>
      <c r="B4" s="3781" t="s">
        <v>2485</v>
      </c>
      <c r="C4" s="3781"/>
      <c r="D4" s="2533"/>
      <c r="E4" s="2531"/>
      <c r="F4" s="2534"/>
      <c r="G4" s="2534"/>
      <c r="H4" s="2535"/>
      <c r="I4" s="2536">
        <f t="shared" ref="I4:I9" si="0">ROUND(D4*E4*F4*G4*H4/10000,0)</f>
        <v>0</v>
      </c>
    </row>
    <row r="5" spans="1:9">
      <c r="A5" s="3780"/>
      <c r="B5" s="3781" t="s">
        <v>2486</v>
      </c>
      <c r="C5" s="3781"/>
      <c r="D5" s="2533"/>
      <c r="E5" s="2531"/>
      <c r="F5" s="2534"/>
      <c r="G5" s="2534"/>
      <c r="H5" s="2535"/>
      <c r="I5" s="2536">
        <f t="shared" si="0"/>
        <v>0</v>
      </c>
    </row>
    <row r="6" spans="1:9">
      <c r="A6" s="3780"/>
      <c r="B6" s="3781" t="s">
        <v>2487</v>
      </c>
      <c r="C6" s="3781"/>
      <c r="D6" s="2533"/>
      <c r="E6" s="2531"/>
      <c r="F6" s="2534"/>
      <c r="G6" s="2534"/>
      <c r="H6" s="2535"/>
      <c r="I6" s="2536">
        <f t="shared" si="0"/>
        <v>0</v>
      </c>
    </row>
    <row r="7" spans="1:9">
      <c r="A7" s="3780"/>
      <c r="B7" s="3781" t="s">
        <v>2488</v>
      </c>
      <c r="C7" s="3781"/>
      <c r="D7" s="2533"/>
      <c r="E7" s="2531"/>
      <c r="F7" s="2534"/>
      <c r="G7" s="2534"/>
      <c r="H7" s="2535"/>
      <c r="I7" s="2536">
        <f t="shared" si="0"/>
        <v>0</v>
      </c>
    </row>
    <row r="8" spans="1:9">
      <c r="A8" s="3780"/>
      <c r="B8" s="3781" t="s">
        <v>2489</v>
      </c>
      <c r="C8" s="3781"/>
      <c r="D8" s="2533"/>
      <c r="E8" s="2531"/>
      <c r="F8" s="2534"/>
      <c r="G8" s="2534"/>
      <c r="H8" s="2535"/>
      <c r="I8" s="2536">
        <f t="shared" si="0"/>
        <v>0</v>
      </c>
    </row>
    <row r="9" spans="1:9">
      <c r="A9" s="3780"/>
      <c r="B9" s="3781" t="s">
        <v>2490</v>
      </c>
      <c r="C9" s="3781"/>
      <c r="D9" s="2533"/>
      <c r="E9" s="2531"/>
      <c r="F9" s="2534"/>
      <c r="G9" s="2534"/>
      <c r="H9" s="2535"/>
      <c r="I9" s="2536">
        <f t="shared" si="0"/>
        <v>0</v>
      </c>
    </row>
    <row r="10" spans="1:9">
      <c r="A10" s="3780"/>
      <c r="B10" s="3782" t="s">
        <v>2491</v>
      </c>
      <c r="C10" s="3782"/>
      <c r="D10" s="2537">
        <v>527</v>
      </c>
      <c r="E10" s="2537" t="e">
        <f>ROUND(D1*10000/D10/H9,0)</f>
        <v>#DIV/0!</v>
      </c>
      <c r="F10" s="2538"/>
      <c r="G10" s="2538"/>
      <c r="H10" s="2539"/>
      <c r="I10" s="2540">
        <f>SUM(I3:I9)</f>
        <v>0</v>
      </c>
    </row>
    <row r="11" spans="1:9" ht="14.25">
      <c r="A11" s="3780" t="s">
        <v>2492</v>
      </c>
      <c r="B11" s="3781" t="s">
        <v>2493</v>
      </c>
      <c r="C11" s="3781"/>
      <c r="D11" s="2533" t="s">
        <v>2494</v>
      </c>
      <c r="E11" s="2533" t="s">
        <v>2495</v>
      </c>
      <c r="F11" s="2534" t="s">
        <v>2496</v>
      </c>
      <c r="G11" s="2534" t="s">
        <v>2497</v>
      </c>
      <c r="H11" s="2541" t="s">
        <v>2498</v>
      </c>
      <c r="I11" s="2532" t="s">
        <v>2499</v>
      </c>
    </row>
    <row r="12" spans="1:9">
      <c r="A12" s="3780"/>
      <c r="B12" s="3781" t="s">
        <v>2500</v>
      </c>
      <c r="C12" s="3781"/>
      <c r="D12" s="2533"/>
      <c r="E12" s="2533"/>
      <c r="F12" s="2534"/>
      <c r="G12" s="2535"/>
      <c r="H12" s="2542"/>
      <c r="I12" s="2532">
        <f>ROUND(D12*E12*F12*G12/10000,0)</f>
        <v>0</v>
      </c>
    </row>
    <row r="13" spans="1:9">
      <c r="A13" s="3780"/>
      <c r="B13" s="3781" t="s">
        <v>2501</v>
      </c>
      <c r="C13" s="3781"/>
      <c r="D13" s="2533"/>
      <c r="E13" s="2533"/>
      <c r="F13" s="2534"/>
      <c r="G13" s="2535"/>
      <c r="H13" s="2542"/>
      <c r="I13" s="2532">
        <f>ROUND(D13*E13*F13*G13/10000,0)</f>
        <v>0</v>
      </c>
    </row>
    <row r="14" spans="1:9">
      <c r="A14" s="3780"/>
      <c r="B14" s="3781" t="s">
        <v>2502</v>
      </c>
      <c r="C14" s="3781"/>
      <c r="D14" s="2533"/>
      <c r="E14" s="2533"/>
      <c r="F14" s="2534"/>
      <c r="G14" s="2535"/>
      <c r="H14" s="2542"/>
      <c r="I14" s="2532">
        <f>ROUND(D14*E14*F14*G14/10000,0)</f>
        <v>0</v>
      </c>
    </row>
    <row r="15" spans="1:9">
      <c r="A15" s="3780"/>
      <c r="B15" s="3782" t="s">
        <v>2491</v>
      </c>
      <c r="C15" s="3782"/>
      <c r="D15" s="2537"/>
      <c r="E15" s="2537">
        <f>SUM(E12:E14)</f>
        <v>0</v>
      </c>
      <c r="F15" s="2538"/>
      <c r="G15" s="2535"/>
      <c r="H15" s="2542"/>
      <c r="I15" s="2543">
        <f>SUM(I12:I14)</f>
        <v>0</v>
      </c>
    </row>
    <row r="16" spans="1:9" ht="24">
      <c r="A16" s="3780" t="s">
        <v>2503</v>
      </c>
      <c r="B16" s="3781" t="s">
        <v>2504</v>
      </c>
      <c r="C16" s="3781"/>
      <c r="D16" s="2533" t="s">
        <v>2505</v>
      </c>
      <c r="E16" s="2544" t="s">
        <v>2506</v>
      </c>
      <c r="F16" s="2534" t="s">
        <v>2507</v>
      </c>
      <c r="G16" s="2535" t="s">
        <v>2497</v>
      </c>
      <c r="H16" s="2541" t="s">
        <v>2498</v>
      </c>
      <c r="I16" s="2532" t="s">
        <v>2499</v>
      </c>
    </row>
    <row r="17" spans="1:9" ht="14.25">
      <c r="A17" s="3780"/>
      <c r="B17" s="3781" t="s">
        <v>2508</v>
      </c>
      <c r="C17" s="3781"/>
      <c r="D17" s="2533"/>
      <c r="E17" s="2533"/>
      <c r="F17" s="2534"/>
      <c r="G17" s="2535"/>
      <c r="H17" s="2545"/>
      <c r="I17" s="2546">
        <f>ROUND(D17*E17*F17*G17/10000,0)</f>
        <v>0</v>
      </c>
    </row>
    <row r="18" spans="1:9" ht="14.25">
      <c r="A18" s="3780"/>
      <c r="B18" s="3781" t="s">
        <v>2509</v>
      </c>
      <c r="C18" s="3781"/>
      <c r="D18" s="2533"/>
      <c r="E18" s="2533"/>
      <c r="F18" s="2534"/>
      <c r="G18" s="2535"/>
      <c r="H18" s="2545"/>
      <c r="I18" s="2546">
        <f>ROUND(D18*E18*F18*G18/10000,0)</f>
        <v>0</v>
      </c>
    </row>
    <row r="19" spans="1:9" ht="14.25">
      <c r="A19" s="3780"/>
      <c r="B19" s="3781" t="s">
        <v>2510</v>
      </c>
      <c r="C19" s="3781"/>
      <c r="D19" s="2533"/>
      <c r="E19" s="2533"/>
      <c r="F19" s="2534"/>
      <c r="G19" s="2535"/>
      <c r="H19" s="2545"/>
      <c r="I19" s="2546">
        <f>ROUND(D19*E19*F19*G19/10000,0)</f>
        <v>0</v>
      </c>
    </row>
    <row r="20" spans="1:9">
      <c r="A20" s="3780"/>
      <c r="B20" s="3782" t="s">
        <v>2491</v>
      </c>
      <c r="C20" s="3782"/>
      <c r="D20" s="2537">
        <f>SUM(D17:D19)</f>
        <v>0</v>
      </c>
      <c r="E20" s="2537"/>
      <c r="F20" s="2538"/>
      <c r="G20" s="2535"/>
      <c r="H20" s="2542"/>
      <c r="I20" s="2543">
        <f>SUM(I17:I19)</f>
        <v>0</v>
      </c>
    </row>
    <row r="21" spans="1:9">
      <c r="A21" s="3780" t="s">
        <v>2511</v>
      </c>
      <c r="B21" s="3784"/>
      <c r="C21" s="3784"/>
      <c r="D21" s="3784"/>
      <c r="E21" s="3784"/>
      <c r="F21" s="3784"/>
      <c r="G21" s="3784"/>
      <c r="H21" s="2547">
        <v>0.1</v>
      </c>
      <c r="I21" s="2540">
        <f>ROUND(I10*H21,0)</f>
        <v>0</v>
      </c>
    </row>
    <row r="22" spans="1:9" ht="14.25">
      <c r="A22" s="3785" t="s">
        <v>2512</v>
      </c>
      <c r="B22" s="3786"/>
      <c r="C22" s="3787"/>
      <c r="D22" s="2548" t="s">
        <v>2513</v>
      </c>
      <c r="E22" s="2548" t="s">
        <v>2514</v>
      </c>
      <c r="F22" s="2549" t="s">
        <v>2515</v>
      </c>
      <c r="G22" s="2549" t="s">
        <v>2516</v>
      </c>
      <c r="H22" s="2541" t="s">
        <v>2517</v>
      </c>
      <c r="I22" s="2532" t="s">
        <v>2518</v>
      </c>
    </row>
    <row r="23" spans="1:9" ht="14.25" thickBot="1">
      <c r="A23" s="3788"/>
      <c r="B23" s="3789"/>
      <c r="C23" s="3790"/>
      <c r="D23" s="2550"/>
      <c r="E23" s="2550"/>
      <c r="F23" s="2550"/>
      <c r="G23" s="2551"/>
      <c r="H23" s="2552"/>
      <c r="I23" s="2553">
        <f>ROUND(E23*D23*F23*(1-G23)/10000,0)</f>
        <v>0</v>
      </c>
    </row>
    <row r="26" spans="1:9">
      <c r="A26" s="2554" t="s">
        <v>2519</v>
      </c>
      <c r="B26" s="2554"/>
      <c r="C26" s="2554"/>
      <c r="D26" s="2554"/>
      <c r="E26" s="3791">
        <f>C27-C30-C31-C32</f>
        <v>0</v>
      </c>
      <c r="F26" s="3791"/>
      <c r="G26" s="3791"/>
      <c r="H26" s="3069" t="s">
        <v>2847</v>
      </c>
    </row>
    <row r="27" spans="1:9">
      <c r="A27" s="2555">
        <v>1</v>
      </c>
      <c r="B27" s="2556" t="s">
        <v>2520</v>
      </c>
      <c r="C27" s="2556"/>
      <c r="D27" s="2556"/>
      <c r="E27" s="3792"/>
      <c r="F27" s="3792"/>
      <c r="G27" s="3792"/>
    </row>
    <row r="28" spans="1:9">
      <c r="A28" s="2557" t="s">
        <v>2521</v>
      </c>
      <c r="B28" s="2556" t="s">
        <v>2522</v>
      </c>
      <c r="C28" s="2556"/>
      <c r="D28" s="2556"/>
      <c r="E28" s="3792"/>
      <c r="F28" s="3792"/>
      <c r="G28" s="3792"/>
    </row>
    <row r="29" spans="1:9">
      <c r="A29" s="2557" t="s">
        <v>2523</v>
      </c>
      <c r="B29" s="2556" t="s">
        <v>2463</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783"/>
      <c r="F32" s="3783"/>
      <c r="G32" s="3783"/>
    </row>
    <row r="33" spans="1:7" hidden="1">
      <c r="A33" s="3793" t="s">
        <v>2530</v>
      </c>
      <c r="B33" s="3794"/>
      <c r="C33" s="3794"/>
      <c r="D33" s="3795"/>
      <c r="E33" s="3791"/>
      <c r="F33" s="3791"/>
      <c r="G33" s="3791"/>
    </row>
    <row r="34" spans="1:7" hidden="1">
      <c r="A34" s="2559">
        <v>1</v>
      </c>
      <c r="B34" s="2556" t="s">
        <v>2531</v>
      </c>
      <c r="C34" s="2556"/>
      <c r="D34" s="2556"/>
      <c r="E34" s="3792"/>
      <c r="F34" s="3792"/>
      <c r="G34" s="3792"/>
    </row>
    <row r="35" spans="1:7" hidden="1">
      <c r="A35" s="2559">
        <v>2</v>
      </c>
      <c r="B35" s="2556" t="s">
        <v>2532</v>
      </c>
      <c r="C35" s="2556"/>
      <c r="D35" s="2556"/>
      <c r="E35" s="3792"/>
      <c r="F35" s="3792"/>
      <c r="G35" s="3792"/>
    </row>
    <row r="36" spans="1:7" hidden="1">
      <c r="A36" s="2559">
        <v>3</v>
      </c>
      <c r="B36" s="2556" t="s">
        <v>2533</v>
      </c>
      <c r="C36" s="2556"/>
      <c r="D36" s="2556"/>
      <c r="E36" s="3792"/>
      <c r="F36" s="3792"/>
      <c r="G36" s="3792"/>
    </row>
    <row r="37" spans="1:7" hidden="1">
      <c r="A37" s="2559">
        <v>4</v>
      </c>
      <c r="B37" s="2556" t="s">
        <v>2534</v>
      </c>
      <c r="C37" s="2556"/>
      <c r="D37" s="2556"/>
      <c r="E37" s="3792"/>
      <c r="F37" s="3792"/>
      <c r="G37" s="3792"/>
    </row>
    <row r="38" spans="1:7" hidden="1">
      <c r="A38" s="3793" t="s">
        <v>2535</v>
      </c>
      <c r="B38" s="3794"/>
      <c r="C38" s="3794"/>
      <c r="D38" s="3795"/>
      <c r="E38" s="3791"/>
      <c r="F38" s="3791"/>
      <c r="G38" s="37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2442</v>
      </c>
      <c r="B8" s="2496" t="s">
        <v>2444</v>
      </c>
      <c r="C8" s="2497"/>
      <c r="D8" s="748"/>
      <c r="E8" s="749"/>
      <c r="F8" s="749"/>
      <c r="G8" s="750"/>
    </row>
    <row r="9" spans="1:25" s="2183" customFormat="1" ht="13.5" customHeight="1">
      <c r="A9" s="2493" t="s">
        <v>2443</v>
      </c>
      <c r="B9" s="2496" t="s">
        <v>2445</v>
      </c>
      <c r="C9" s="2497"/>
      <c r="D9" s="748"/>
      <c r="E9" s="749"/>
      <c r="F9" s="749"/>
      <c r="G9" s="750"/>
    </row>
    <row r="10" spans="1:25" s="2183" customFormat="1" ht="36">
      <c r="A10" s="2493">
        <v>2</v>
      </c>
      <c r="B10" s="747" t="s">
        <v>614</v>
      </c>
      <c r="C10" s="748">
        <f>C11+C14+C15</f>
        <v>0</v>
      </c>
      <c r="D10" s="759">
        <f>'数据-汇总表'!E3</f>
        <v>146307.88</v>
      </c>
      <c r="E10" s="748">
        <f>'数据-取费表'!B31</f>
        <v>200</v>
      </c>
      <c r="F10" s="760"/>
      <c r="G10" s="758" t="s">
        <v>615</v>
      </c>
    </row>
    <row r="11" spans="1:25" s="2183" customFormat="1" ht="13.5" customHeight="1">
      <c r="A11" s="2493" t="s">
        <v>2442</v>
      </c>
      <c r="B11" s="751" t="s">
        <v>611</v>
      </c>
      <c r="C11" s="752">
        <f>'数据-取费表'!B29</f>
        <v>0</v>
      </c>
      <c r="D11" s="753"/>
      <c r="E11" s="752"/>
      <c r="F11" s="754"/>
      <c r="G11" s="2502" t="s">
        <v>2453</v>
      </c>
    </row>
    <row r="12" spans="1:25" s="2183" customFormat="1" ht="13.5" customHeight="1">
      <c r="A12" s="2500" t="s">
        <v>2450</v>
      </c>
      <c r="B12" s="755" t="s">
        <v>612</v>
      </c>
      <c r="C12" s="756">
        <f>ROUND(D12*E12/10000,0)</f>
        <v>1756</v>
      </c>
      <c r="D12" s="757">
        <f>'数据-汇总表'!E5</f>
        <v>146307.88</v>
      </c>
      <c r="E12" s="756">
        <f>'数据-取费表'!B27</f>
        <v>120</v>
      </c>
      <c r="F12" s="754"/>
      <c r="G12" s="758"/>
    </row>
    <row r="13" spans="1:25" s="2183" customFormat="1" ht="13.5" customHeight="1">
      <c r="A13" s="2500" t="s">
        <v>2449</v>
      </c>
      <c r="B13" s="755" t="s">
        <v>613</v>
      </c>
      <c r="C13" s="756">
        <f>ROUND(D13*E13/10000,0)</f>
        <v>0</v>
      </c>
      <c r="D13" s="757">
        <f>'数据-汇总表'!E6</f>
        <v>0</v>
      </c>
      <c r="E13" s="756">
        <f>'数据-取费表'!B28</f>
        <v>120</v>
      </c>
      <c r="F13" s="754"/>
      <c r="G13" s="758"/>
    </row>
    <row r="14" spans="1:25" s="2183" customFormat="1" ht="13.5" customHeight="1">
      <c r="A14" s="2493" t="s">
        <v>2443</v>
      </c>
      <c r="B14" s="2499" t="s">
        <v>2446</v>
      </c>
      <c r="C14" s="2497"/>
      <c r="D14" s="757"/>
      <c r="E14" s="756"/>
      <c r="F14" s="2498"/>
      <c r="G14" s="2501" t="s">
        <v>2451</v>
      </c>
    </row>
    <row r="15" spans="1:25" s="2183" customFormat="1" ht="13.5" customHeight="1">
      <c r="A15" s="2493" t="s">
        <v>2448</v>
      </c>
      <c r="B15" s="2499" t="s">
        <v>2447</v>
      </c>
      <c r="C15" s="2497"/>
      <c r="D15" s="757"/>
      <c r="E15" s="756"/>
      <c r="F15" s="2498"/>
      <c r="G15" s="2501" t="s">
        <v>2452</v>
      </c>
    </row>
    <row r="16" spans="1:25" s="2184" customFormat="1" ht="48">
      <c r="A16" s="2493">
        <v>3</v>
      </c>
      <c r="B16" s="747" t="s">
        <v>616</v>
      </c>
      <c r="C16" s="2497"/>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0.15</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0.95199999999999996</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42" zoomScale="80" zoomScaleNormal="80" workbookViewId="0">
      <selection activeCell="M50" sqref="M5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t="s">
        <v>924</v>
      </c>
      <c r="E1" s="2650"/>
      <c r="F1" s="2832" t="s">
        <v>3278</v>
      </c>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f>ROUND(B3*D3/10000,0)</f>
        <v>235161</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520</v>
      </c>
      <c r="B3" s="850">
        <f>C49</f>
        <v>16073</v>
      </c>
      <c r="C3" s="851" t="s">
        <v>723</v>
      </c>
      <c r="D3" s="850">
        <f>SUMIF('数据-汇总表'!$C19:$C33,D1,'数据-汇总表'!$E19:$E33)</f>
        <v>146307.88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522</v>
      </c>
      <c r="B4" s="512"/>
      <c r="C4" s="3687" t="s">
        <v>523</v>
      </c>
      <c r="D4" s="3688"/>
      <c r="E4" s="3724" t="s">
        <v>524</v>
      </c>
      <c r="F4" s="3725"/>
      <c r="G4" s="3687" t="s">
        <v>525</v>
      </c>
      <c r="H4" s="3688"/>
      <c r="I4" s="3687" t="s">
        <v>526</v>
      </c>
      <c r="J4" s="3688"/>
      <c r="K4" s="852" t="s">
        <v>527</v>
      </c>
      <c r="L4" s="2133"/>
      <c r="M4" s="2134"/>
      <c r="N4" s="2134"/>
      <c r="O4" s="2134"/>
      <c r="P4" s="3689" t="s">
        <v>528</v>
      </c>
      <c r="Q4" s="3690"/>
      <c r="R4" s="3695" t="s">
        <v>524</v>
      </c>
      <c r="S4" s="3696"/>
      <c r="T4" s="3695" t="s">
        <v>525</v>
      </c>
      <c r="U4" s="3696"/>
      <c r="V4" s="3682" t="s">
        <v>526</v>
      </c>
      <c r="W4" s="3682"/>
      <c r="X4" s="1567"/>
      <c r="Y4" s="3695" t="s">
        <v>528</v>
      </c>
      <c r="Z4" s="3696"/>
      <c r="AA4" s="3684" t="s">
        <v>524</v>
      </c>
      <c r="AB4" s="3684" t="s">
        <v>525</v>
      </c>
      <c r="AC4" s="3684" t="s">
        <v>526</v>
      </c>
    </row>
    <row r="5" spans="1:29" ht="15">
      <c r="A5" s="514"/>
      <c r="B5" s="515"/>
      <c r="C5" s="3705" t="s">
        <v>2931</v>
      </c>
      <c r="D5" s="3704"/>
      <c r="E5" s="3800" t="s">
        <v>3318</v>
      </c>
      <c r="F5" s="3727"/>
      <c r="G5" s="3703" t="s">
        <v>3320</v>
      </c>
      <c r="H5" s="3704"/>
      <c r="I5" s="3703" t="s">
        <v>3321</v>
      </c>
      <c r="J5" s="3704"/>
      <c r="K5" s="853"/>
      <c r="L5" s="2133"/>
      <c r="M5" s="2134"/>
      <c r="N5" s="2134"/>
      <c r="O5" s="2134"/>
      <c r="P5" s="3691"/>
      <c r="Q5" s="3692"/>
      <c r="R5" s="3697"/>
      <c r="S5" s="3698"/>
      <c r="T5" s="3697"/>
      <c r="U5" s="3698"/>
      <c r="V5" s="3682"/>
      <c r="W5" s="3682"/>
      <c r="X5" s="1567"/>
      <c r="Y5" s="3697"/>
      <c r="Z5" s="3698"/>
      <c r="AA5" s="3685"/>
      <c r="AB5" s="3685"/>
      <c r="AC5" s="3685"/>
    </row>
    <row r="6" spans="1:29" ht="15.75" thickBot="1">
      <c r="A6" s="516"/>
      <c r="B6" s="517"/>
      <c r="C6" s="3721" t="s">
        <v>2935</v>
      </c>
      <c r="D6" s="3702"/>
      <c r="E6" s="3799" t="s">
        <v>3319</v>
      </c>
      <c r="F6" s="3723"/>
      <c r="G6" s="3701" t="s">
        <v>3322</v>
      </c>
      <c r="H6" s="3702"/>
      <c r="I6" s="3701" t="s">
        <v>3323</v>
      </c>
      <c r="J6" s="3702"/>
      <c r="K6" s="853" t="s">
        <v>529</v>
      </c>
      <c r="L6" s="2133"/>
      <c r="M6" s="2134"/>
      <c r="N6" s="2134"/>
      <c r="O6" s="2134"/>
      <c r="P6" s="3693"/>
      <c r="Q6" s="3694"/>
      <c r="R6" s="3697"/>
      <c r="S6" s="3698"/>
      <c r="T6" s="3699"/>
      <c r="U6" s="3700"/>
      <c r="V6" s="3682"/>
      <c r="W6" s="3682"/>
      <c r="X6" s="1567"/>
      <c r="Y6" s="3699"/>
      <c r="Z6" s="3700"/>
      <c r="AA6" s="3686"/>
      <c r="AB6" s="3686"/>
      <c r="AC6" s="3686"/>
    </row>
    <row r="7" spans="1:29" s="1219" customFormat="1" ht="15.75" thickBot="1">
      <c r="A7" s="2937"/>
      <c r="B7" s="2944" t="s">
        <v>530</v>
      </c>
      <c r="C7" s="518">
        <f>'数据-取费表'!B2</f>
        <v>43131</v>
      </c>
      <c r="D7" s="519">
        <v>100</v>
      </c>
      <c r="E7" s="520">
        <v>43101</v>
      </c>
      <c r="F7" s="521">
        <f>SUMIF(58:58,YEAR(E7)&amp;"-"&amp;MONTH(E7),59:59)</f>
        <v>100</v>
      </c>
      <c r="G7" s="520">
        <v>43101</v>
      </c>
      <c r="H7" s="519">
        <f>SUMIF(58:58,YEAR(G7)&amp;"-"&amp;MONTH(G7),59:59)</f>
        <v>100</v>
      </c>
      <c r="I7" s="520">
        <v>43101</v>
      </c>
      <c r="J7" s="519">
        <f>SUMIF(58:58,YEAR(I7)&amp;"-"&amp;MONTH(I7),59:59)</f>
        <v>100</v>
      </c>
      <c r="K7" s="854"/>
      <c r="L7" s="2135"/>
      <c r="M7" s="2136"/>
      <c r="N7" s="2136"/>
      <c r="O7" s="2136"/>
      <c r="P7" s="3714" t="s">
        <v>531</v>
      </c>
      <c r="Q7" s="3716"/>
      <c r="R7" s="1568" t="s">
        <v>13</v>
      </c>
      <c r="S7" s="1569">
        <f t="shared" ref="S7:S15" si="0">F7</f>
        <v>100</v>
      </c>
      <c r="T7" s="1568" t="s">
        <v>13</v>
      </c>
      <c r="U7" s="1569">
        <f t="shared" ref="U7:U15" si="1">H7</f>
        <v>100</v>
      </c>
      <c r="V7" s="1568" t="s">
        <v>13</v>
      </c>
      <c r="W7" s="1569">
        <f t="shared" ref="W7:W15" si="2">J7</f>
        <v>100</v>
      </c>
      <c r="X7" s="1570"/>
      <c r="Y7" s="3714" t="s">
        <v>531</v>
      </c>
      <c r="Z7" s="3715"/>
      <c r="AA7" s="1571">
        <f>D7/F7</f>
        <v>1</v>
      </c>
      <c r="AB7" s="1571">
        <f>D7/H7</f>
        <v>1</v>
      </c>
      <c r="AC7" s="1571">
        <f>D7/J7</f>
        <v>1</v>
      </c>
    </row>
    <row r="8" spans="1:29" s="1219" customFormat="1" ht="15.75" thickBot="1">
      <c r="A8" s="2938"/>
      <c r="B8" s="2945" t="s">
        <v>532</v>
      </c>
      <c r="C8" s="524" t="s">
        <v>577</v>
      </c>
      <c r="D8" s="519">
        <v>100</v>
      </c>
      <c r="E8" s="855" t="s">
        <v>3231</v>
      </c>
      <c r="F8" s="521">
        <f>SUMIF(61:61,E8,62:62)-SUMIF(61:61,C8,62:62)+100</f>
        <v>100</v>
      </c>
      <c r="G8" s="524" t="s">
        <v>3231</v>
      </c>
      <c r="H8" s="519">
        <f>SUMIF(61:61,G8,62:62)-SUMIF(61:61,C8,62:62)+100</f>
        <v>100</v>
      </c>
      <c r="I8" s="855" t="s">
        <v>3231</v>
      </c>
      <c r="J8" s="519">
        <f>SUMIF(61:61,I8,62:62)-SUMIF(61:61,C8,62:62)+100</f>
        <v>100</v>
      </c>
      <c r="K8" s="854"/>
      <c r="L8" s="2135"/>
      <c r="M8" s="2136"/>
      <c r="N8" s="2136"/>
      <c r="O8" s="2136"/>
      <c r="P8" s="3714" t="s">
        <v>534</v>
      </c>
      <c r="Q8" s="3715"/>
      <c r="R8" s="1568" t="s">
        <v>13</v>
      </c>
      <c r="S8" s="1569">
        <f t="shared" si="0"/>
        <v>100</v>
      </c>
      <c r="T8" s="1568" t="s">
        <v>13</v>
      </c>
      <c r="U8" s="1569">
        <f t="shared" si="1"/>
        <v>100</v>
      </c>
      <c r="V8" s="1568" t="s">
        <v>13</v>
      </c>
      <c r="W8" s="1569">
        <f t="shared" si="2"/>
        <v>100</v>
      </c>
      <c r="X8" s="1570"/>
      <c r="Y8" s="3714" t="s">
        <v>534</v>
      </c>
      <c r="Z8" s="3715"/>
      <c r="AA8" s="1571">
        <f t="shared" ref="AA8:AA46" si="3">D8/F8</f>
        <v>1</v>
      </c>
      <c r="AB8" s="1571">
        <f t="shared" ref="AB8:AB46" si="4">D8/H8</f>
        <v>1</v>
      </c>
      <c r="AC8" s="1571">
        <f t="shared" ref="AC8:AC46" si="5">D8/J8</f>
        <v>1</v>
      </c>
    </row>
    <row r="9" spans="1:29" s="1219" customFormat="1" ht="15">
      <c r="A9" s="2939"/>
      <c r="B9" s="2946" t="s">
        <v>2760</v>
      </c>
      <c r="C9" s="3493" t="s">
        <v>3279</v>
      </c>
      <c r="D9" s="253">
        <v>100</v>
      </c>
      <c r="E9" s="857" t="s">
        <v>924</v>
      </c>
      <c r="F9" s="858">
        <f>SUMIF(63:63,E9,64:64)-SUMIF(63:63,C9,64:64)+100</f>
        <v>100</v>
      </c>
      <c r="G9" s="859" t="s">
        <v>924</v>
      </c>
      <c r="H9" s="253">
        <f>SUMIF(63:63,G9,64:64)-SUMIF(63:63,C9,64:64)+100</f>
        <v>100</v>
      </c>
      <c r="I9" s="859" t="s">
        <v>924</v>
      </c>
      <c r="J9" s="253">
        <f>SUMIF(63:63,I9,64:64)-SUMIF(63:63,C9,64:64)+100</f>
        <v>100</v>
      </c>
      <c r="K9" s="854"/>
      <c r="L9" s="2135"/>
      <c r="M9" s="2136"/>
      <c r="N9" s="2136"/>
      <c r="O9" s="2137"/>
      <c r="P9" s="3681" t="s">
        <v>536</v>
      </c>
      <c r="Q9" s="1150" t="str">
        <f t="shared" ref="Q9:Q15" si="6">B9</f>
        <v>用途</v>
      </c>
      <c r="R9" s="1568" t="s">
        <v>8</v>
      </c>
      <c r="S9" s="1569">
        <f t="shared" si="0"/>
        <v>100</v>
      </c>
      <c r="T9" s="1568" t="s">
        <v>8</v>
      </c>
      <c r="U9" s="1569">
        <f t="shared" si="1"/>
        <v>100</v>
      </c>
      <c r="V9" s="1568" t="s">
        <v>8</v>
      </c>
      <c r="W9" s="1569">
        <f t="shared" si="2"/>
        <v>100</v>
      </c>
      <c r="X9" s="1570"/>
      <c r="Y9" s="3627" t="s">
        <v>537</v>
      </c>
      <c r="Z9" s="1149" t="str">
        <f t="shared" ref="Z9:Z15" si="7">Q9</f>
        <v>用途</v>
      </c>
      <c r="AA9" s="1571">
        <f t="shared" si="3"/>
        <v>1</v>
      </c>
      <c r="AB9" s="1571">
        <f t="shared" si="4"/>
        <v>1</v>
      </c>
      <c r="AC9" s="1571">
        <f t="shared" si="5"/>
        <v>1</v>
      </c>
    </row>
    <row r="10" spans="1:29" s="1337" customFormat="1" ht="27">
      <c r="A10" s="2940"/>
      <c r="B10" s="2945" t="s">
        <v>2761</v>
      </c>
      <c r="C10" s="860" t="s">
        <v>3280</v>
      </c>
      <c r="D10" s="254">
        <v>100</v>
      </c>
      <c r="E10" s="861" t="s">
        <v>3280</v>
      </c>
      <c r="F10" s="862">
        <f>SUMIF(65:65,E10,66:66)-SUMIF(65:65,C10,66:66)+100</f>
        <v>100</v>
      </c>
      <c r="G10" s="860" t="s">
        <v>3280</v>
      </c>
      <c r="H10" s="254">
        <f>SUMIF(65:65,G10,66:66)-SUMIF(65:65,C10,66:66)+100</f>
        <v>100</v>
      </c>
      <c r="I10" s="860" t="s">
        <v>3280</v>
      </c>
      <c r="J10" s="254">
        <f>SUMIF(65:65,I10,66:66)-SUMIF(65:65,C10,66:66)+100</f>
        <v>100</v>
      </c>
      <c r="K10" s="863"/>
      <c r="L10" s="2138"/>
      <c r="M10" s="2178"/>
      <c r="N10" s="2178"/>
      <c r="O10" s="2139"/>
      <c r="P10" s="3681"/>
      <c r="Q10" s="1150" t="str">
        <f t="shared" si="6"/>
        <v>土地使用年限（年）</v>
      </c>
      <c r="R10" s="1568" t="s">
        <v>8</v>
      </c>
      <c r="S10" s="1569">
        <f t="shared" si="0"/>
        <v>100</v>
      </c>
      <c r="T10" s="1568" t="s">
        <v>8</v>
      </c>
      <c r="U10" s="1569">
        <f t="shared" si="1"/>
        <v>100</v>
      </c>
      <c r="V10" s="1568" t="s">
        <v>8</v>
      </c>
      <c r="W10" s="1569">
        <f t="shared" si="2"/>
        <v>100</v>
      </c>
      <c r="X10" s="1570"/>
      <c r="Y10" s="3627"/>
      <c r="Z10" s="1149" t="str">
        <f t="shared" si="7"/>
        <v>土地使用年限（年）</v>
      </c>
      <c r="AA10" s="1571">
        <f t="shared" si="3"/>
        <v>1</v>
      </c>
      <c r="AB10" s="1571">
        <f t="shared" si="4"/>
        <v>1</v>
      </c>
      <c r="AC10" s="1571">
        <f t="shared" si="5"/>
        <v>1</v>
      </c>
    </row>
    <row r="11" spans="1:29" ht="15.75" thickBot="1">
      <c r="A11" s="2941"/>
      <c r="B11" s="2945" t="s">
        <v>2762</v>
      </c>
      <c r="C11" s="532">
        <v>2.2999999999999998</v>
      </c>
      <c r="D11" s="254">
        <v>100</v>
      </c>
      <c r="E11" s="533">
        <v>3.5</v>
      </c>
      <c r="F11" s="862">
        <f>LOOKUP(E11,68:68,69:69)-LOOKUP(C11,68:68,69:69)+100</f>
        <v>98</v>
      </c>
      <c r="G11" s="532">
        <v>2.35</v>
      </c>
      <c r="H11" s="254">
        <f>LOOKUP(G11,68:68,69:69)-LOOKUP(C11,68:68,69:69)+100</f>
        <v>100</v>
      </c>
      <c r="I11" s="532">
        <v>2.63</v>
      </c>
      <c r="J11" s="254">
        <f>LOOKUP(I11,68:68,69:69)-LOOKUP(C11,68:68,69:69)+100</f>
        <v>100</v>
      </c>
      <c r="K11" s="863">
        <v>2</v>
      </c>
      <c r="L11" s="2140"/>
      <c r="M11" s="2134"/>
      <c r="N11" s="2134"/>
      <c r="O11" s="2141"/>
      <c r="P11" s="3681"/>
      <c r="Q11" s="1150" t="str">
        <f t="shared" si="6"/>
        <v>容积率</v>
      </c>
      <c r="R11" s="1568" t="s">
        <v>11</v>
      </c>
      <c r="S11" s="1569">
        <f t="shared" si="0"/>
        <v>98</v>
      </c>
      <c r="T11" s="1568" t="s">
        <v>11</v>
      </c>
      <c r="U11" s="1569">
        <f t="shared" si="1"/>
        <v>100</v>
      </c>
      <c r="V11" s="1568" t="s">
        <v>11</v>
      </c>
      <c r="W11" s="1569">
        <f t="shared" si="2"/>
        <v>100</v>
      </c>
      <c r="X11" s="1570"/>
      <c r="Y11" s="3627"/>
      <c r="Z11" s="1149" t="str">
        <f t="shared" si="7"/>
        <v>容积率</v>
      </c>
      <c r="AA11" s="1571">
        <f t="shared" si="3"/>
        <v>1.0204081632653061</v>
      </c>
      <c r="AB11" s="1571">
        <f t="shared" si="4"/>
        <v>1</v>
      </c>
      <c r="AC11" s="1571">
        <f t="shared" si="5"/>
        <v>1</v>
      </c>
    </row>
    <row r="12" spans="1:29" s="1219" customFormat="1" ht="15" hidden="1">
      <c r="A12" s="2942"/>
      <c r="B12" s="2948">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681"/>
      <c r="Q12" s="1150">
        <f t="shared" si="6"/>
        <v>111</v>
      </c>
      <c r="R12" s="1568" t="s">
        <v>11</v>
      </c>
      <c r="S12" s="1569">
        <f t="shared" si="0"/>
        <v>100</v>
      </c>
      <c r="T12" s="1568" t="s">
        <v>11</v>
      </c>
      <c r="U12" s="1569">
        <f t="shared" si="1"/>
        <v>100</v>
      </c>
      <c r="V12" s="1568" t="s">
        <v>11</v>
      </c>
      <c r="W12" s="1569">
        <f t="shared" si="2"/>
        <v>100</v>
      </c>
      <c r="X12" s="1570"/>
      <c r="Y12" s="3627"/>
      <c r="Z12" s="1149">
        <f t="shared" si="7"/>
        <v>111</v>
      </c>
      <c r="AA12" s="1571">
        <f>D12/F12</f>
        <v>1</v>
      </c>
      <c r="AB12" s="1571">
        <f>D12/H12</f>
        <v>1</v>
      </c>
      <c r="AC12" s="1571">
        <f>D12/J12</f>
        <v>1</v>
      </c>
    </row>
    <row r="13" spans="1:29" ht="15" hidden="1">
      <c r="A13" s="2942"/>
      <c r="B13" s="2948">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681"/>
      <c r="Q13" s="1150">
        <f t="shared" si="6"/>
        <v>111</v>
      </c>
      <c r="R13" s="1568" t="s">
        <v>11</v>
      </c>
      <c r="S13" s="1569">
        <f t="shared" si="0"/>
        <v>100</v>
      </c>
      <c r="T13" s="1568" t="s">
        <v>11</v>
      </c>
      <c r="U13" s="1569">
        <f t="shared" si="1"/>
        <v>100</v>
      </c>
      <c r="V13" s="1568" t="s">
        <v>11</v>
      </c>
      <c r="W13" s="1569">
        <f t="shared" si="2"/>
        <v>100</v>
      </c>
      <c r="X13" s="1570"/>
      <c r="Y13" s="3627"/>
      <c r="Z13" s="1149">
        <f t="shared" si="7"/>
        <v>111</v>
      </c>
      <c r="AA13" s="1571">
        <f t="shared" si="3"/>
        <v>1</v>
      </c>
      <c r="AB13" s="1571">
        <f t="shared" si="4"/>
        <v>1</v>
      </c>
      <c r="AC13" s="1571">
        <f t="shared" si="5"/>
        <v>1</v>
      </c>
    </row>
    <row r="14" spans="1:29" ht="15.75" hidden="1" thickBot="1">
      <c r="A14" s="2943"/>
      <c r="B14" s="2949">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681"/>
      <c r="Q14" s="1150">
        <f t="shared" si="6"/>
        <v>111</v>
      </c>
      <c r="R14" s="1568" t="s">
        <v>11</v>
      </c>
      <c r="S14" s="1569">
        <f t="shared" si="0"/>
        <v>100</v>
      </c>
      <c r="T14" s="1568" t="s">
        <v>11</v>
      </c>
      <c r="U14" s="1569">
        <f t="shared" si="1"/>
        <v>100</v>
      </c>
      <c r="V14" s="1568" t="s">
        <v>11</v>
      </c>
      <c r="W14" s="1569">
        <f t="shared" si="2"/>
        <v>100</v>
      </c>
      <c r="X14" s="1570"/>
      <c r="Y14" s="3627"/>
      <c r="Z14" s="1149">
        <f t="shared" si="7"/>
        <v>111</v>
      </c>
      <c r="AA14" s="1571">
        <f t="shared" si="3"/>
        <v>1</v>
      </c>
      <c r="AB14" s="1571">
        <f t="shared" si="4"/>
        <v>1</v>
      </c>
      <c r="AC14" s="1571">
        <f t="shared" si="5"/>
        <v>1</v>
      </c>
    </row>
    <row r="15" spans="1:29" ht="99.75">
      <c r="A15" s="2935" t="s">
        <v>2758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100</v>
      </c>
      <c r="K15" s="867">
        <v>2</v>
      </c>
      <c r="L15" s="2142"/>
      <c r="M15" s="2134"/>
      <c r="N15" s="2134"/>
      <c r="O15" s="2141"/>
      <c r="P15" s="3717" t="s">
        <v>541</v>
      </c>
      <c r="Q15" s="1572" t="str">
        <f t="shared" si="6"/>
        <v>居住社区成熟度</v>
      </c>
      <c r="R15" s="1573" t="s">
        <v>11</v>
      </c>
      <c r="S15" s="1574">
        <f t="shared" si="0"/>
        <v>102</v>
      </c>
      <c r="T15" s="1573" t="s">
        <v>11</v>
      </c>
      <c r="U15" s="1574">
        <f t="shared" si="1"/>
        <v>102</v>
      </c>
      <c r="V15" s="1573" t="s">
        <v>11</v>
      </c>
      <c r="W15" s="1574">
        <f t="shared" si="2"/>
        <v>100</v>
      </c>
      <c r="X15" s="1567"/>
      <c r="Y15" s="3717" t="s">
        <v>541</v>
      </c>
      <c r="Z15" s="1575" t="str">
        <f t="shared" si="7"/>
        <v>居住社区成熟度</v>
      </c>
      <c r="AA15" s="1576">
        <f t="shared" si="3"/>
        <v>0.98039215686274506</v>
      </c>
      <c r="AB15" s="1576">
        <f t="shared" si="4"/>
        <v>0.98039215686274506</v>
      </c>
      <c r="AC15" s="1576">
        <f t="shared" si="5"/>
        <v>1</v>
      </c>
    </row>
    <row r="16" spans="1:29" ht="15">
      <c r="A16" s="531"/>
      <c r="B16" s="868"/>
      <c r="C16" s="575" t="s">
        <v>3249</v>
      </c>
      <c r="D16" s="554"/>
      <c r="E16" s="555" t="s">
        <v>3247</v>
      </c>
      <c r="F16" s="556"/>
      <c r="G16" s="557" t="s">
        <v>3247</v>
      </c>
      <c r="H16" s="558"/>
      <c r="I16" s="555" t="s">
        <v>3249</v>
      </c>
      <c r="J16" s="554"/>
      <c r="K16" s="869"/>
      <c r="L16" s="2142"/>
      <c r="M16" s="2134"/>
      <c r="N16" s="2134"/>
      <c r="O16" s="2141"/>
      <c r="P16" s="3718"/>
      <c r="Q16" s="1572"/>
      <c r="R16" s="1573"/>
      <c r="S16" s="1574"/>
      <c r="T16" s="1573"/>
      <c r="U16" s="1574"/>
      <c r="V16" s="1573"/>
      <c r="W16" s="1574"/>
      <c r="X16" s="1567"/>
      <c r="Y16" s="371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718"/>
      <c r="Q17" s="1572" t="str">
        <f>B17</f>
        <v>交通便捷度</v>
      </c>
      <c r="R17" s="1573" t="s">
        <v>11</v>
      </c>
      <c r="S17" s="1574">
        <f>F17</f>
        <v>100</v>
      </c>
      <c r="T17" s="1573" t="s">
        <v>11</v>
      </c>
      <c r="U17" s="1574">
        <f>H17</f>
        <v>100</v>
      </c>
      <c r="V17" s="1573" t="s">
        <v>11</v>
      </c>
      <c r="W17" s="1574">
        <f>J17</f>
        <v>100</v>
      </c>
      <c r="X17" s="1567"/>
      <c r="Y17" s="3718"/>
      <c r="Z17" s="1575" t="str">
        <f>Q17</f>
        <v>交通便捷度</v>
      </c>
      <c r="AA17" s="1576">
        <f t="shared" si="3"/>
        <v>1</v>
      </c>
      <c r="AB17" s="1576">
        <f t="shared" si="4"/>
        <v>1</v>
      </c>
      <c r="AC17" s="1576">
        <f t="shared" si="5"/>
        <v>1</v>
      </c>
    </row>
    <row r="18" spans="1:29" ht="15">
      <c r="A18" s="531"/>
      <c r="B18" s="594"/>
      <c r="C18" s="872" t="s">
        <v>3247</v>
      </c>
      <c r="D18" s="558"/>
      <c r="E18" s="567" t="s">
        <v>3247</v>
      </c>
      <c r="F18" s="562"/>
      <c r="G18" s="568" t="s">
        <v>3247</v>
      </c>
      <c r="H18" s="554"/>
      <c r="I18" s="567" t="s">
        <v>3247</v>
      </c>
      <c r="J18" s="554"/>
      <c r="K18" s="869"/>
      <c r="L18" s="2142"/>
      <c r="M18" s="2134"/>
      <c r="N18" s="2134"/>
      <c r="O18" s="2141"/>
      <c r="P18" s="3718"/>
      <c r="Q18" s="1572"/>
      <c r="R18" s="1573"/>
      <c r="S18" s="1574"/>
      <c r="T18" s="1573"/>
      <c r="U18" s="1574"/>
      <c r="V18" s="1573"/>
      <c r="W18" s="1574"/>
      <c r="X18" s="1567"/>
      <c r="Y18" s="3718"/>
      <c r="Z18" s="1575"/>
      <c r="AA18" s="1576">
        <v>1</v>
      </c>
      <c r="AB18" s="1576">
        <v>1</v>
      </c>
      <c r="AC18" s="1576">
        <v>1</v>
      </c>
    </row>
    <row r="19" spans="1:29" ht="42.75">
      <c r="A19" s="531"/>
      <c r="B19" s="2624" t="s">
        <v>2550</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42"/>
      <c r="M19" s="2134"/>
      <c r="N19" s="2134"/>
      <c r="O19" s="2141"/>
      <c r="P19" s="3718"/>
      <c r="Q19" s="1572" t="str">
        <f>B19</f>
        <v>公共配套设施</v>
      </c>
      <c r="R19" s="1573" t="s">
        <v>11</v>
      </c>
      <c r="S19" s="1574">
        <f>F19</f>
        <v>102</v>
      </c>
      <c r="T19" s="1573" t="s">
        <v>11</v>
      </c>
      <c r="U19" s="1574">
        <f>H19</f>
        <v>102</v>
      </c>
      <c r="V19" s="1573" t="s">
        <v>11</v>
      </c>
      <c r="W19" s="1574">
        <f>J19</f>
        <v>100</v>
      </c>
      <c r="X19" s="1567"/>
      <c r="Y19" s="3718"/>
      <c r="Z19" s="1575" t="str">
        <f>Q19</f>
        <v>公共配套设施</v>
      </c>
      <c r="AA19" s="1576">
        <f t="shared" si="3"/>
        <v>0.98039215686274506</v>
      </c>
      <c r="AB19" s="1576">
        <f t="shared" si="4"/>
        <v>0.98039215686274506</v>
      </c>
      <c r="AC19" s="1576">
        <f t="shared" si="5"/>
        <v>1</v>
      </c>
    </row>
    <row r="20" spans="1:29" ht="15">
      <c r="A20" s="531"/>
      <c r="B20" s="594"/>
      <c r="C20" s="575" t="s">
        <v>3249</v>
      </c>
      <c r="D20" s="554"/>
      <c r="E20" s="555" t="s">
        <v>3247</v>
      </c>
      <c r="F20" s="556"/>
      <c r="G20" s="557" t="s">
        <v>3247</v>
      </c>
      <c r="H20" s="554"/>
      <c r="I20" s="555" t="s">
        <v>3249</v>
      </c>
      <c r="J20" s="554"/>
      <c r="K20" s="869"/>
      <c r="L20" s="2142"/>
      <c r="M20" s="2134"/>
      <c r="N20" s="2134"/>
      <c r="O20" s="2141"/>
      <c r="P20" s="3718"/>
      <c r="Q20" s="1572"/>
      <c r="R20" s="1573"/>
      <c r="S20" s="1574"/>
      <c r="T20" s="1573"/>
      <c r="U20" s="1574"/>
      <c r="V20" s="1573"/>
      <c r="W20" s="1574"/>
      <c r="X20" s="1567"/>
      <c r="Y20" s="3718"/>
      <c r="Z20" s="1575"/>
      <c r="AA20" s="1576">
        <v>1</v>
      </c>
      <c r="AB20" s="1576">
        <v>1</v>
      </c>
      <c r="AC20" s="1576">
        <v>1</v>
      </c>
    </row>
    <row r="21" spans="1:29" ht="28.5">
      <c r="A21" s="531"/>
      <c r="B21" s="2617" t="s">
        <v>2562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718"/>
      <c r="Q21" s="2603" t="str">
        <f>B21</f>
        <v>基础设施水平</v>
      </c>
      <c r="R21" s="1573" t="s">
        <v>11</v>
      </c>
      <c r="S21" s="1574">
        <f>F21</f>
        <v>100</v>
      </c>
      <c r="T21" s="1573" t="s">
        <v>11</v>
      </c>
      <c r="U21" s="1574">
        <f>H21</f>
        <v>100</v>
      </c>
      <c r="V21" s="1573" t="s">
        <v>11</v>
      </c>
      <c r="W21" s="1574">
        <f>J21</f>
        <v>100</v>
      </c>
      <c r="X21" s="2605"/>
      <c r="Y21" s="3718"/>
      <c r="Z21" s="2604" t="str">
        <f>Q21</f>
        <v>基础设施水平</v>
      </c>
      <c r="AA21" s="1576">
        <f t="shared" ref="AA21" si="8">D21/F21</f>
        <v>1</v>
      </c>
      <c r="AB21" s="1576">
        <f t="shared" ref="AB21" si="9">D21/H21</f>
        <v>1</v>
      </c>
      <c r="AC21" s="1576">
        <f t="shared" ref="AC21" si="10">D21/J21</f>
        <v>1</v>
      </c>
    </row>
    <row r="22" spans="1:29" ht="15">
      <c r="A22" s="531"/>
      <c r="B22" s="921"/>
      <c r="C22" s="872" t="s">
        <v>3254</v>
      </c>
      <c r="D22" s="554"/>
      <c r="E22" s="575" t="s">
        <v>3254</v>
      </c>
      <c r="F22" s="556"/>
      <c r="G22" s="575" t="s">
        <v>3254</v>
      </c>
      <c r="H22" s="554"/>
      <c r="I22" s="575" t="s">
        <v>3254</v>
      </c>
      <c r="J22" s="554"/>
      <c r="K22" s="2623"/>
      <c r="L22" s="2142"/>
      <c r="M22" s="2134"/>
      <c r="N22" s="2134"/>
      <c r="O22" s="2141"/>
      <c r="P22" s="3718"/>
      <c r="Q22" s="2603"/>
      <c r="R22" s="1573"/>
      <c r="S22" s="1574"/>
      <c r="T22" s="1573"/>
      <c r="U22" s="1574"/>
      <c r="V22" s="1573"/>
      <c r="W22" s="1574"/>
      <c r="X22" s="2605"/>
      <c r="Y22" s="3718"/>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718"/>
      <c r="Q23" s="1572" t="str">
        <f>B23</f>
        <v>自然及人文环境</v>
      </c>
      <c r="R23" s="1573" t="s">
        <v>11</v>
      </c>
      <c r="S23" s="1574">
        <f>F23</f>
        <v>100</v>
      </c>
      <c r="T23" s="1573" t="s">
        <v>11</v>
      </c>
      <c r="U23" s="1574">
        <f>H23</f>
        <v>100</v>
      </c>
      <c r="V23" s="1573" t="s">
        <v>11</v>
      </c>
      <c r="W23" s="1574">
        <f>J23</f>
        <v>100</v>
      </c>
      <c r="X23" s="1567"/>
      <c r="Y23" s="3718"/>
      <c r="Z23" s="1575" t="str">
        <f>Q23</f>
        <v>自然及人文环境</v>
      </c>
      <c r="AA23" s="1576">
        <f t="shared" si="3"/>
        <v>1</v>
      </c>
      <c r="AB23" s="1576">
        <f t="shared" si="4"/>
        <v>1</v>
      </c>
      <c r="AC23" s="1576">
        <f t="shared" si="5"/>
        <v>1</v>
      </c>
    </row>
    <row r="24" spans="1:29" ht="15">
      <c r="A24" s="531"/>
      <c r="B24" s="594"/>
      <c r="C24" s="575" t="s">
        <v>3247</v>
      </c>
      <c r="D24" s="554"/>
      <c r="E24" s="555" t="s">
        <v>3247</v>
      </c>
      <c r="F24" s="556"/>
      <c r="G24" s="557" t="s">
        <v>3247</v>
      </c>
      <c r="H24" s="554"/>
      <c r="I24" s="555" t="s">
        <v>3247</v>
      </c>
      <c r="J24" s="554"/>
      <c r="K24" s="869"/>
      <c r="L24" s="2142"/>
      <c r="M24" s="2134"/>
      <c r="N24" s="2134"/>
      <c r="O24" s="2141"/>
      <c r="P24" s="3718"/>
      <c r="Q24" s="1572"/>
      <c r="R24" s="1573"/>
      <c r="S24" s="1574"/>
      <c r="T24" s="1573"/>
      <c r="U24" s="1574"/>
      <c r="V24" s="1573"/>
      <c r="W24" s="1574"/>
      <c r="X24" s="1567"/>
      <c r="Y24" s="3718"/>
      <c r="Z24" s="1575"/>
      <c r="AA24" s="1576">
        <v>1</v>
      </c>
      <c r="AB24" s="1576">
        <v>1</v>
      </c>
      <c r="AC24" s="1576">
        <v>1</v>
      </c>
    </row>
    <row r="25" spans="1:29" ht="15" hidden="1">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718"/>
      <c r="Q25" s="1572" t="str">
        <f t="shared" ref="Q25:Q46" si="11">B25</f>
        <v>楼层-1</v>
      </c>
      <c r="R25" s="1573" t="s">
        <v>11</v>
      </c>
      <c r="S25" s="1574">
        <f>F25</f>
        <v>100</v>
      </c>
      <c r="T25" s="1573" t="s">
        <v>11</v>
      </c>
      <c r="U25" s="1574">
        <f>H25</f>
        <v>100</v>
      </c>
      <c r="V25" s="1573" t="s">
        <v>11</v>
      </c>
      <c r="W25" s="1574">
        <f>J25</f>
        <v>100</v>
      </c>
      <c r="X25" s="1567"/>
      <c r="Y25" s="3718"/>
      <c r="Z25" s="1575" t="str">
        <f>Q25</f>
        <v>楼层-1</v>
      </c>
      <c r="AA25" s="1576">
        <f t="shared" si="3"/>
        <v>1</v>
      </c>
      <c r="AB25" s="1576">
        <f t="shared" si="4"/>
        <v>1</v>
      </c>
      <c r="AC25" s="1576">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718"/>
      <c r="Q26" s="1572" t="str">
        <f t="shared" si="11"/>
        <v>朝向</v>
      </c>
      <c r="R26" s="1573" t="s">
        <v>11</v>
      </c>
      <c r="S26" s="1574">
        <f>F26</f>
        <v>100</v>
      </c>
      <c r="T26" s="1573" t="s">
        <v>11</v>
      </c>
      <c r="U26" s="1574">
        <f>H26</f>
        <v>100</v>
      </c>
      <c r="V26" s="1573" t="s">
        <v>11</v>
      </c>
      <c r="W26" s="1574">
        <f>J26</f>
        <v>100</v>
      </c>
      <c r="X26" s="1567"/>
      <c r="Y26" s="3718"/>
      <c r="Z26" s="1575" t="str">
        <f>Q26</f>
        <v>朝向</v>
      </c>
      <c r="AA26" s="1576">
        <f t="shared" si="3"/>
        <v>1</v>
      </c>
      <c r="AB26" s="1576">
        <f t="shared" si="4"/>
        <v>1</v>
      </c>
      <c r="AC26" s="1576">
        <f t="shared" si="5"/>
        <v>1</v>
      </c>
    </row>
    <row r="27" spans="1:29" s="1219" customFormat="1" ht="15.75" thickBot="1">
      <c r="A27" s="535"/>
      <c r="B27" s="536" t="s">
        <v>725</v>
      </c>
      <c r="C27" s="3494" t="s">
        <v>3288</v>
      </c>
      <c r="D27" s="874">
        <v>100</v>
      </c>
      <c r="E27" s="3495" t="s">
        <v>3289</v>
      </c>
      <c r="F27" s="875">
        <f>SUMIF(90:90,E27,91:91)-SUMIF(90:90,C27,91:91)+100</f>
        <v>99</v>
      </c>
      <c r="G27" s="3496" t="s">
        <v>3290</v>
      </c>
      <c r="H27" s="874">
        <f>SUMIF(90:90,G27,91:91)-SUMIF(90:90,C27,91:91)+100</f>
        <v>98</v>
      </c>
      <c r="I27" s="3495" t="s">
        <v>3288</v>
      </c>
      <c r="J27" s="874">
        <f>SUMIF(90:90,I27,91:91)-SUMIF(90:90,C27,91:91)+100</f>
        <v>100</v>
      </c>
      <c r="K27" s="864"/>
      <c r="L27" s="2135"/>
      <c r="M27" s="2136"/>
      <c r="N27" s="2136"/>
      <c r="O27" s="2137"/>
      <c r="P27" s="3718"/>
      <c r="Q27" s="1150" t="str">
        <f t="shared" si="11"/>
        <v>道路级别</v>
      </c>
      <c r="R27" s="1568" t="s">
        <v>11</v>
      </c>
      <c r="S27" s="1569">
        <f>F27</f>
        <v>99</v>
      </c>
      <c r="T27" s="1568" t="s">
        <v>11</v>
      </c>
      <c r="U27" s="1569">
        <f>H27</f>
        <v>98</v>
      </c>
      <c r="V27" s="1568" t="s">
        <v>11</v>
      </c>
      <c r="W27" s="1569">
        <f>J27</f>
        <v>100</v>
      </c>
      <c r="X27" s="1570"/>
      <c r="Y27" s="3718"/>
      <c r="Z27" s="1149" t="str">
        <f>Q27</f>
        <v>道路级别</v>
      </c>
      <c r="AA27" s="1576">
        <f>D27/F27</f>
        <v>1.0101010101010102</v>
      </c>
      <c r="AB27" s="1576">
        <f>D27/H27</f>
        <v>1.0204081632653061</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718"/>
      <c r="Q28" s="1572">
        <f t="shared" si="11"/>
        <v>111</v>
      </c>
      <c r="R28" s="1573" t="s">
        <v>11</v>
      </c>
      <c r="S28" s="1574">
        <f t="shared" ref="S28:S46" si="12">F28</f>
        <v>100</v>
      </c>
      <c r="T28" s="1573" t="s">
        <v>11</v>
      </c>
      <c r="U28" s="1574">
        <f t="shared" ref="U28:U46" si="13">H28</f>
        <v>100</v>
      </c>
      <c r="V28" s="1573" t="s">
        <v>11</v>
      </c>
      <c r="W28" s="1574">
        <f t="shared" ref="W28:W46" si="14">J28</f>
        <v>100</v>
      </c>
      <c r="X28" s="1567"/>
      <c r="Y28" s="3718"/>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718"/>
      <c r="Q29" s="1572">
        <f t="shared" si="11"/>
        <v>111</v>
      </c>
      <c r="R29" s="1573" t="s">
        <v>11</v>
      </c>
      <c r="S29" s="1574">
        <f t="shared" si="12"/>
        <v>100</v>
      </c>
      <c r="T29" s="1573" t="s">
        <v>11</v>
      </c>
      <c r="U29" s="1574">
        <f t="shared" si="13"/>
        <v>100</v>
      </c>
      <c r="V29" s="1573" t="s">
        <v>11</v>
      </c>
      <c r="W29" s="1574">
        <f t="shared" si="14"/>
        <v>100</v>
      </c>
      <c r="X29" s="1567"/>
      <c r="Y29" s="3718"/>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718"/>
      <c r="Q30" s="1572">
        <f t="shared" si="11"/>
        <v>111</v>
      </c>
      <c r="R30" s="1573" t="s">
        <v>11</v>
      </c>
      <c r="S30" s="1574">
        <f t="shared" si="12"/>
        <v>100</v>
      </c>
      <c r="T30" s="1573" t="s">
        <v>11</v>
      </c>
      <c r="U30" s="1574">
        <f t="shared" si="13"/>
        <v>100</v>
      </c>
      <c r="V30" s="1573" t="s">
        <v>11</v>
      </c>
      <c r="W30" s="1574">
        <f t="shared" si="14"/>
        <v>100</v>
      </c>
      <c r="X30" s="1567"/>
      <c r="Y30" s="3718"/>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718"/>
      <c r="Q31" s="1572">
        <f t="shared" si="11"/>
        <v>111</v>
      </c>
      <c r="R31" s="1573" t="s">
        <v>11</v>
      </c>
      <c r="S31" s="1574">
        <f t="shared" si="12"/>
        <v>100</v>
      </c>
      <c r="T31" s="1573" t="s">
        <v>11</v>
      </c>
      <c r="U31" s="1574">
        <f t="shared" si="13"/>
        <v>100</v>
      </c>
      <c r="V31" s="1573" t="s">
        <v>11</v>
      </c>
      <c r="W31" s="1574">
        <f t="shared" si="14"/>
        <v>100</v>
      </c>
      <c r="X31" s="1567"/>
      <c r="Y31" s="3718"/>
      <c r="Z31" s="1575">
        <f t="shared" si="15"/>
        <v>111</v>
      </c>
      <c r="AA31" s="1576">
        <f t="shared" si="3"/>
        <v>1</v>
      </c>
      <c r="AB31" s="1576">
        <f t="shared" si="4"/>
        <v>1</v>
      </c>
      <c r="AC31" s="1576">
        <f t="shared" si="5"/>
        <v>1</v>
      </c>
    </row>
    <row r="32" spans="1:29" ht="15">
      <c r="A32" s="2932" t="s">
        <v>2759</v>
      </c>
      <c r="B32" s="172" t="s">
        <v>726</v>
      </c>
      <c r="C32" s="877" t="s">
        <v>3284</v>
      </c>
      <c r="D32" s="596">
        <v>100</v>
      </c>
      <c r="E32" s="878" t="s">
        <v>3284</v>
      </c>
      <c r="F32" s="574">
        <f>SUMIF(100:100,E32,101:101)-SUMIF(100:100,C32,101:101)+100</f>
        <v>100</v>
      </c>
      <c r="G32" s="877" t="s">
        <v>3284</v>
      </c>
      <c r="H32" s="596">
        <f>SUMIF(100:100,G32,101:101)-SUMIF(100:100,C32,101:101)+100</f>
        <v>100</v>
      </c>
      <c r="I32" s="878" t="s">
        <v>3284</v>
      </c>
      <c r="J32" s="539">
        <f>SUMIF(100:100,I32,101:101)-SUMIF(100:100,C32,101:101)+100</f>
        <v>100</v>
      </c>
      <c r="K32" s="863"/>
      <c r="L32" s="2142"/>
      <c r="M32" s="2134"/>
      <c r="N32" s="2134"/>
      <c r="O32" s="2141"/>
      <c r="P32" s="3719" t="s">
        <v>551</v>
      </c>
      <c r="Q32" s="1572" t="str">
        <f t="shared" si="11"/>
        <v>建筑类型</v>
      </c>
      <c r="R32" s="1573" t="s">
        <v>11</v>
      </c>
      <c r="S32" s="1574">
        <f t="shared" si="12"/>
        <v>100</v>
      </c>
      <c r="T32" s="1573" t="s">
        <v>11</v>
      </c>
      <c r="U32" s="1574">
        <f t="shared" si="13"/>
        <v>100</v>
      </c>
      <c r="V32" s="1573" t="s">
        <v>11</v>
      </c>
      <c r="W32" s="1574">
        <f t="shared" si="14"/>
        <v>100</v>
      </c>
      <c r="X32" s="1567"/>
      <c r="Y32" s="3720" t="s">
        <v>551</v>
      </c>
      <c r="Z32" s="1575" t="str">
        <f t="shared" si="15"/>
        <v>建筑类型</v>
      </c>
      <c r="AA32" s="1576">
        <f t="shared" si="3"/>
        <v>1</v>
      </c>
      <c r="AB32" s="1576">
        <f t="shared" si="4"/>
        <v>1</v>
      </c>
      <c r="AC32" s="1576">
        <f t="shared" si="5"/>
        <v>1</v>
      </c>
    </row>
    <row r="33" spans="1:29" s="1338" customFormat="1" ht="15">
      <c r="A33" s="602"/>
      <c r="B33" s="526" t="s">
        <v>727</v>
      </c>
      <c r="C33" s="879">
        <f>'数据-基础表'!B3</f>
        <v>146307.88</v>
      </c>
      <c r="D33" s="254">
        <v>100</v>
      </c>
      <c r="E33" s="533">
        <v>200970</v>
      </c>
      <c r="F33" s="3500">
        <f>LOOKUP(E33,103:103,104:104)-LOOKUP(C33,103:103,104:104)+100</f>
        <v>100</v>
      </c>
      <c r="G33" s="532">
        <v>500000</v>
      </c>
      <c r="H33" s="3501">
        <f>LOOKUP(G33,103:103,104:104)-LOOKUP(C33,103:103,104:104)+100</f>
        <v>101</v>
      </c>
      <c r="I33" s="533">
        <v>1500000</v>
      </c>
      <c r="J33" s="3501">
        <f>LOOKUP(I33,103:103,104:104)-LOOKUP(C33,103:103,104:104)+100</f>
        <v>103</v>
      </c>
      <c r="K33" s="864"/>
      <c r="L33" s="2140"/>
      <c r="M33" s="2171"/>
      <c r="N33" s="2171"/>
      <c r="O33" s="2143"/>
      <c r="P33" s="3720"/>
      <c r="Q33" s="1605" t="str">
        <f t="shared" si="11"/>
        <v>项目建筑规模</v>
      </c>
      <c r="R33" s="1577" t="s">
        <v>11</v>
      </c>
      <c r="S33" s="1578">
        <f t="shared" si="12"/>
        <v>100</v>
      </c>
      <c r="T33" s="1577" t="s">
        <v>11</v>
      </c>
      <c r="U33" s="1578">
        <f t="shared" si="13"/>
        <v>101</v>
      </c>
      <c r="V33" s="1577" t="s">
        <v>11</v>
      </c>
      <c r="W33" s="1578">
        <f t="shared" si="14"/>
        <v>103</v>
      </c>
      <c r="X33" s="1579"/>
      <c r="Y33" s="3720"/>
      <c r="Z33" s="1580" t="str">
        <f t="shared" si="15"/>
        <v>项目建筑规模</v>
      </c>
      <c r="AA33" s="1576">
        <f t="shared" si="3"/>
        <v>1</v>
      </c>
      <c r="AB33" s="1576">
        <f t="shared" si="4"/>
        <v>0.99009900990099009</v>
      </c>
      <c r="AC33" s="1576">
        <f t="shared" si="5"/>
        <v>0.970873786407767</v>
      </c>
    </row>
    <row r="34" spans="1:29" ht="15">
      <c r="A34" s="593"/>
      <c r="B34" s="526" t="s">
        <v>728</v>
      </c>
      <c r="C34" s="880" t="s">
        <v>3291</v>
      </c>
      <c r="D34" s="539">
        <v>100</v>
      </c>
      <c r="E34" s="881" t="s">
        <v>3291</v>
      </c>
      <c r="F34" s="574">
        <f>SUMIF(105:105,E34,106:106)-SUMIF(105:105,C34,106:106)+100</f>
        <v>100</v>
      </c>
      <c r="G34" s="880" t="s">
        <v>3291</v>
      </c>
      <c r="H34" s="539">
        <f>SUMIF(105:105,G34,106:106)-SUMIF(105:105,C34,106:106)+100</f>
        <v>100</v>
      </c>
      <c r="I34" s="881" t="s">
        <v>3291</v>
      </c>
      <c r="J34" s="539">
        <f>SUMIF(105:105,I34,106:106)-SUMIF(105:105,C34,106:106)+100</f>
        <v>100</v>
      </c>
      <c r="K34" s="863"/>
      <c r="L34" s="2142"/>
      <c r="M34" s="2134"/>
      <c r="N34" s="2134"/>
      <c r="O34" s="2141"/>
      <c r="P34" s="3720"/>
      <c r="Q34" s="1572" t="str">
        <f t="shared" si="11"/>
        <v>建筑结构</v>
      </c>
      <c r="R34" s="1573" t="s">
        <v>11</v>
      </c>
      <c r="S34" s="1574">
        <f t="shared" si="12"/>
        <v>100</v>
      </c>
      <c r="T34" s="1573" t="s">
        <v>11</v>
      </c>
      <c r="U34" s="1574">
        <f t="shared" si="13"/>
        <v>100</v>
      </c>
      <c r="V34" s="1573" t="s">
        <v>11</v>
      </c>
      <c r="W34" s="1574">
        <f t="shared" si="14"/>
        <v>100</v>
      </c>
      <c r="X34" s="1567"/>
      <c r="Y34" s="3720"/>
      <c r="Z34" s="1575" t="str">
        <f t="shared" si="15"/>
        <v>建筑结构</v>
      </c>
      <c r="AA34" s="1576">
        <f t="shared" si="3"/>
        <v>1</v>
      </c>
      <c r="AB34" s="1576">
        <f t="shared" si="4"/>
        <v>1</v>
      </c>
      <c r="AC34" s="1576">
        <f t="shared" si="5"/>
        <v>1</v>
      </c>
    </row>
    <row r="35" spans="1:29" ht="15">
      <c r="A35" s="593"/>
      <c r="B35" s="526" t="s">
        <v>729</v>
      </c>
      <c r="C35" s="598" t="s">
        <v>3296</v>
      </c>
      <c r="D35" s="539">
        <v>100</v>
      </c>
      <c r="E35" s="873" t="s">
        <v>3296</v>
      </c>
      <c r="F35" s="574">
        <f>SUMIF(107:107,E35,108:108)-SUMIF(107:107,C35,108:108)+100</f>
        <v>100</v>
      </c>
      <c r="G35" s="598" t="s">
        <v>3296</v>
      </c>
      <c r="H35" s="539">
        <f>SUMIF(107:107,G35,108:108)-SUMIF(107:107,C35,108:108)+100</f>
        <v>100</v>
      </c>
      <c r="I35" s="873" t="s">
        <v>3296</v>
      </c>
      <c r="J35" s="539">
        <f>SUMIF(107:107,I35,108:108)-SUMIF(107:107,C35,108:108)+100</f>
        <v>100</v>
      </c>
      <c r="K35" s="863"/>
      <c r="L35" s="2142"/>
      <c r="M35" s="2134"/>
      <c r="N35" s="2134"/>
      <c r="O35" s="2141"/>
      <c r="P35" s="3720"/>
      <c r="Q35" s="1572" t="str">
        <f t="shared" si="11"/>
        <v>建筑品质</v>
      </c>
      <c r="R35" s="1573" t="s">
        <v>11</v>
      </c>
      <c r="S35" s="1574">
        <f t="shared" si="12"/>
        <v>100</v>
      </c>
      <c r="T35" s="1573" t="s">
        <v>11</v>
      </c>
      <c r="U35" s="1574">
        <f t="shared" si="13"/>
        <v>100</v>
      </c>
      <c r="V35" s="1573" t="s">
        <v>11</v>
      </c>
      <c r="W35" s="1574">
        <f t="shared" si="14"/>
        <v>100</v>
      </c>
      <c r="X35" s="1567"/>
      <c r="Y35" s="3720"/>
      <c r="Z35" s="1575" t="str">
        <f t="shared" si="15"/>
        <v>建筑品质</v>
      </c>
      <c r="AA35" s="1576">
        <f t="shared" si="3"/>
        <v>1</v>
      </c>
      <c r="AB35" s="1576">
        <f t="shared" si="4"/>
        <v>1</v>
      </c>
      <c r="AC35" s="1576">
        <f t="shared" si="5"/>
        <v>1</v>
      </c>
    </row>
    <row r="36" spans="1:29" ht="15">
      <c r="A36" s="593"/>
      <c r="B36" s="526" t="s">
        <v>730</v>
      </c>
      <c r="C36" s="598" t="s">
        <v>3299</v>
      </c>
      <c r="D36" s="539">
        <v>100</v>
      </c>
      <c r="E36" s="873" t="s">
        <v>3299</v>
      </c>
      <c r="F36" s="574">
        <f>SUMIF(109:109,E36,110:110)-SUMIF(109:109,C36,110:110)+100</f>
        <v>100</v>
      </c>
      <c r="G36" s="598" t="s">
        <v>3299</v>
      </c>
      <c r="H36" s="539">
        <f>SUMIF(109:109,G36,110:110)-SUMIF(109:109,C36,110:110)+100</f>
        <v>100</v>
      </c>
      <c r="I36" s="873" t="s">
        <v>3299</v>
      </c>
      <c r="J36" s="539">
        <f>SUMIF(109:109,I36,110:110)-SUMIF(109:109,C36,110:110)+100</f>
        <v>100</v>
      </c>
      <c r="K36" s="863">
        <v>5</v>
      </c>
      <c r="L36" s="2142"/>
      <c r="M36" s="2134"/>
      <c r="N36" s="2134"/>
      <c r="O36" s="2141"/>
      <c r="P36" s="3720"/>
      <c r="Q36" s="1572" t="str">
        <f t="shared" si="11"/>
        <v>公共部分装修</v>
      </c>
      <c r="R36" s="1573" t="s">
        <v>11</v>
      </c>
      <c r="S36" s="1574">
        <f t="shared" si="12"/>
        <v>100</v>
      </c>
      <c r="T36" s="1573" t="s">
        <v>11</v>
      </c>
      <c r="U36" s="1574">
        <f t="shared" si="13"/>
        <v>100</v>
      </c>
      <c r="V36" s="1573" t="s">
        <v>11</v>
      </c>
      <c r="W36" s="1574">
        <f t="shared" si="14"/>
        <v>100</v>
      </c>
      <c r="X36" s="1567"/>
      <c r="Y36" s="3720"/>
      <c r="Z36" s="1575" t="str">
        <f t="shared" si="15"/>
        <v>公共部分装修</v>
      </c>
      <c r="AA36" s="1576">
        <f t="shared" si="3"/>
        <v>1</v>
      </c>
      <c r="AB36" s="1576">
        <f t="shared" si="4"/>
        <v>1</v>
      </c>
      <c r="AC36" s="1576">
        <f t="shared" si="5"/>
        <v>1</v>
      </c>
    </row>
    <row r="37" spans="1:29" s="1219" customFormat="1" ht="15" hidden="1">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5"/>
      <c r="M37" s="2136"/>
      <c r="N37" s="2136"/>
      <c r="O37" s="2137"/>
      <c r="P37" s="3720"/>
      <c r="Q37" s="1150" t="str">
        <f t="shared" si="11"/>
        <v>成新度</v>
      </c>
      <c r="R37" s="1568" t="s">
        <v>11</v>
      </c>
      <c r="S37" s="1569">
        <f t="shared" si="12"/>
        <v>100</v>
      </c>
      <c r="T37" s="1568" t="s">
        <v>11</v>
      </c>
      <c r="U37" s="1569">
        <f t="shared" si="13"/>
        <v>100</v>
      </c>
      <c r="V37" s="1568" t="s">
        <v>11</v>
      </c>
      <c r="W37" s="1569">
        <f t="shared" si="14"/>
        <v>100</v>
      </c>
      <c r="X37" s="1570"/>
      <c r="Y37" s="3720"/>
      <c r="Z37" s="1149" t="str">
        <f t="shared" si="15"/>
        <v>成新度</v>
      </c>
      <c r="AA37" s="1571">
        <f t="shared" si="3"/>
        <v>1</v>
      </c>
      <c r="AB37" s="1571">
        <f t="shared" si="4"/>
        <v>1</v>
      </c>
      <c r="AC37" s="1571">
        <f t="shared" si="5"/>
        <v>1</v>
      </c>
    </row>
    <row r="38" spans="1:29" ht="15">
      <c r="A38" s="593"/>
      <c r="B38" s="526" t="s">
        <v>732</v>
      </c>
      <c r="C38" s="598" t="s">
        <v>3304</v>
      </c>
      <c r="D38" s="539">
        <v>100</v>
      </c>
      <c r="E38" s="873" t="s">
        <v>3304</v>
      </c>
      <c r="F38" s="574">
        <f>SUMIF(114:114,E38,115:115)-SUMIF(114:114,C38,115:115)+100</f>
        <v>100</v>
      </c>
      <c r="G38" s="598" t="s">
        <v>3304</v>
      </c>
      <c r="H38" s="539">
        <f>SUMIF(114:114,G38,115:115)-SUMIF(114:114,C38,115:115)+100</f>
        <v>100</v>
      </c>
      <c r="I38" s="873" t="s">
        <v>3304</v>
      </c>
      <c r="J38" s="539">
        <f>SUMIF(114:114,I38,115:115)-SUMIF(114:114,C38,115:115)+100</f>
        <v>100</v>
      </c>
      <c r="K38" s="863"/>
      <c r="L38" s="2142"/>
      <c r="M38" s="2134"/>
      <c r="N38" s="2134"/>
      <c r="O38" s="2141"/>
      <c r="P38" s="3720" t="s">
        <v>551</v>
      </c>
      <c r="Q38" s="1572" t="str">
        <f t="shared" si="11"/>
        <v>物业管理</v>
      </c>
      <c r="R38" s="1573" t="s">
        <v>11</v>
      </c>
      <c r="S38" s="1574">
        <f t="shared" si="12"/>
        <v>100</v>
      </c>
      <c r="T38" s="1573" t="s">
        <v>11</v>
      </c>
      <c r="U38" s="1574">
        <f t="shared" si="13"/>
        <v>100</v>
      </c>
      <c r="V38" s="1573" t="s">
        <v>11</v>
      </c>
      <c r="W38" s="1574">
        <f t="shared" si="14"/>
        <v>100</v>
      </c>
      <c r="X38" s="1567"/>
      <c r="Y38" s="3720" t="s">
        <v>551</v>
      </c>
      <c r="Z38" s="1575" t="str">
        <f t="shared" si="15"/>
        <v>物业管理</v>
      </c>
      <c r="AA38" s="1576">
        <f t="shared" si="3"/>
        <v>1</v>
      </c>
      <c r="AB38" s="1576">
        <f t="shared" si="4"/>
        <v>1</v>
      </c>
      <c r="AC38" s="1576">
        <f t="shared" si="5"/>
        <v>1</v>
      </c>
    </row>
    <row r="39" spans="1:29" ht="15">
      <c r="A39" s="593"/>
      <c r="B39" s="1895" t="s">
        <v>2568</v>
      </c>
      <c r="C39" s="598" t="s">
        <v>3254</v>
      </c>
      <c r="D39" s="539">
        <v>100</v>
      </c>
      <c r="E39" s="873" t="s">
        <v>3254</v>
      </c>
      <c r="F39" s="574">
        <f>SUMIF(116:116,E39,117:117)-SUMIF(116:116,C39,117:117)+100</f>
        <v>100</v>
      </c>
      <c r="G39" s="598" t="s">
        <v>3254</v>
      </c>
      <c r="H39" s="539">
        <f>SUMIF(116:116,G39,117:117)-SUMIF(116:116,C39,117:117)+100</f>
        <v>100</v>
      </c>
      <c r="I39" s="873" t="s">
        <v>3254</v>
      </c>
      <c r="J39" s="539">
        <f>SUMIF(116:116,I39,117:117)-SUMIF(116:116,C39,117:117)+100</f>
        <v>100</v>
      </c>
      <c r="K39" s="863"/>
      <c r="L39" s="2142"/>
      <c r="M39" s="2134"/>
      <c r="N39" s="2134"/>
      <c r="O39" s="2141"/>
      <c r="P39" s="3720"/>
      <c r="Q39" s="1572" t="str">
        <f t="shared" si="11"/>
        <v>市政基础设施</v>
      </c>
      <c r="R39" s="1573" t="s">
        <v>11</v>
      </c>
      <c r="S39" s="1574">
        <f t="shared" si="12"/>
        <v>100</v>
      </c>
      <c r="T39" s="1573" t="s">
        <v>11</v>
      </c>
      <c r="U39" s="1574">
        <f t="shared" si="13"/>
        <v>100</v>
      </c>
      <c r="V39" s="1573" t="s">
        <v>11</v>
      </c>
      <c r="W39" s="1574">
        <f t="shared" si="14"/>
        <v>100</v>
      </c>
      <c r="X39" s="1567"/>
      <c r="Y39" s="3720"/>
      <c r="Z39" s="1575" t="str">
        <f t="shared" si="15"/>
        <v>市政基础设施</v>
      </c>
      <c r="AA39" s="1576">
        <f t="shared" si="3"/>
        <v>1</v>
      </c>
      <c r="AB39" s="1576">
        <f t="shared" si="4"/>
        <v>1</v>
      </c>
      <c r="AC39" s="1576">
        <f t="shared" si="5"/>
        <v>1</v>
      </c>
    </row>
    <row r="40" spans="1:29" ht="15" hidden="1">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720"/>
      <c r="Q40" s="1572" t="str">
        <f t="shared" si="11"/>
        <v>房型</v>
      </c>
      <c r="R40" s="1573" t="s">
        <v>11</v>
      </c>
      <c r="S40" s="1574">
        <f t="shared" si="12"/>
        <v>100</v>
      </c>
      <c r="T40" s="1573" t="s">
        <v>11</v>
      </c>
      <c r="U40" s="1574">
        <f t="shared" si="13"/>
        <v>100</v>
      </c>
      <c r="V40" s="1573" t="s">
        <v>11</v>
      </c>
      <c r="W40" s="1574">
        <f t="shared" si="14"/>
        <v>100</v>
      </c>
      <c r="X40" s="1567"/>
      <c r="Y40" s="3720"/>
      <c r="Z40" s="1575" t="str">
        <f t="shared" si="15"/>
        <v>房型</v>
      </c>
      <c r="AA40" s="1576">
        <f t="shared" si="3"/>
        <v>1</v>
      </c>
      <c r="AB40" s="1576">
        <f t="shared" si="4"/>
        <v>1</v>
      </c>
      <c r="AC40" s="1576">
        <f t="shared" si="5"/>
        <v>1</v>
      </c>
    </row>
    <row r="41" spans="1:29" s="1338" customFormat="1" ht="28.5">
      <c r="A41" s="602"/>
      <c r="B41" s="526" t="s">
        <v>734</v>
      </c>
      <c r="C41" s="879" t="s">
        <v>3312</v>
      </c>
      <c r="D41" s="254">
        <v>100</v>
      </c>
      <c r="E41" s="533" t="s">
        <v>3312</v>
      </c>
      <c r="F41" s="862">
        <f>SUMIF(120:120,E41,121:121)-SUMIF(120:120,C41,121:121)+100</f>
        <v>100</v>
      </c>
      <c r="G41" s="532" t="s">
        <v>3312</v>
      </c>
      <c r="H41" s="254">
        <f>SUMIF(120:120,G41,121:121)-SUMIF(120:120,C41,121:121)+100</f>
        <v>100</v>
      </c>
      <c r="I41" s="585" t="s">
        <v>3312</v>
      </c>
      <c r="J41" s="539">
        <f>SUMIF(120:120,I41,121:121)-SUMIF(120:120,C41,121:121)+100</f>
        <v>100</v>
      </c>
      <c r="K41" s="864"/>
      <c r="L41" s="2140"/>
      <c r="M41" s="2171"/>
      <c r="N41" s="2171"/>
      <c r="O41" s="2143"/>
      <c r="P41" s="3720"/>
      <c r="Q41" s="1605" t="str">
        <f t="shared" si="11"/>
        <v>单套/主力户型建筑面积</v>
      </c>
      <c r="R41" s="1577" t="s">
        <v>11</v>
      </c>
      <c r="S41" s="1578">
        <f t="shared" si="12"/>
        <v>100</v>
      </c>
      <c r="T41" s="1577" t="s">
        <v>11</v>
      </c>
      <c r="U41" s="1578">
        <f t="shared" si="13"/>
        <v>100</v>
      </c>
      <c r="V41" s="1577" t="s">
        <v>11</v>
      </c>
      <c r="W41" s="1578">
        <f t="shared" si="14"/>
        <v>100</v>
      </c>
      <c r="X41" s="1579"/>
      <c r="Y41" s="3720"/>
      <c r="Z41" s="1580" t="str">
        <f t="shared" si="15"/>
        <v>单套/主力户型建筑面积</v>
      </c>
      <c r="AA41" s="1576">
        <f t="shared" si="3"/>
        <v>1</v>
      </c>
      <c r="AB41" s="1576">
        <f t="shared" si="4"/>
        <v>1</v>
      </c>
      <c r="AC41" s="1576">
        <f t="shared" si="5"/>
        <v>1</v>
      </c>
    </row>
    <row r="42" spans="1:29" ht="15.75" thickBot="1">
      <c r="A42" s="593"/>
      <c r="B42" s="526" t="s">
        <v>735</v>
      </c>
      <c r="C42" s="598" t="s">
        <v>3299</v>
      </c>
      <c r="D42" s="539">
        <v>100</v>
      </c>
      <c r="E42" s="873" t="s">
        <v>3302</v>
      </c>
      <c r="F42" s="574">
        <f>SUMIF(122:122,E42,123:123)-SUMIF(122:122,C42,123:123)+100</f>
        <v>90</v>
      </c>
      <c r="G42" s="598" t="s">
        <v>3299</v>
      </c>
      <c r="H42" s="539">
        <f>SUMIF(122:122,G42,123:123)-SUMIF(122:122,C42,123:123)+100</f>
        <v>100</v>
      </c>
      <c r="I42" s="873" t="s">
        <v>3317</v>
      </c>
      <c r="J42" s="539">
        <f>SUMIF(122:122,I42,123:123)-SUMIF(122:122,C42,123:123)+100</f>
        <v>95</v>
      </c>
      <c r="K42" s="863">
        <v>5</v>
      </c>
      <c r="L42" s="2142"/>
      <c r="M42" s="2134"/>
      <c r="N42" s="2134"/>
      <c r="O42" s="2141"/>
      <c r="P42" s="3720"/>
      <c r="Q42" s="1572" t="str">
        <f t="shared" si="11"/>
        <v>内部装修</v>
      </c>
      <c r="R42" s="1573" t="s">
        <v>11</v>
      </c>
      <c r="S42" s="1574">
        <f t="shared" si="12"/>
        <v>90</v>
      </c>
      <c r="T42" s="1573" t="s">
        <v>11</v>
      </c>
      <c r="U42" s="1574">
        <f t="shared" si="13"/>
        <v>100</v>
      </c>
      <c r="V42" s="1573" t="s">
        <v>11</v>
      </c>
      <c r="W42" s="1574">
        <f t="shared" si="14"/>
        <v>95</v>
      </c>
      <c r="X42" s="1567"/>
      <c r="Y42" s="3720"/>
      <c r="Z42" s="1575" t="str">
        <f t="shared" si="15"/>
        <v>内部装修</v>
      </c>
      <c r="AA42" s="1576">
        <f t="shared" si="3"/>
        <v>1.1111111111111112</v>
      </c>
      <c r="AB42" s="1576">
        <f t="shared" si="4"/>
        <v>1</v>
      </c>
      <c r="AC42" s="1576">
        <f t="shared" si="5"/>
        <v>1.0526315789473684</v>
      </c>
    </row>
    <row r="43" spans="1:29" ht="27" hidden="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720"/>
      <c r="Q43" s="1572" t="str">
        <f t="shared" si="11"/>
        <v>内部装修维护情况</v>
      </c>
      <c r="R43" s="1573" t="s">
        <v>11</v>
      </c>
      <c r="S43" s="1574">
        <f t="shared" si="12"/>
        <v>100</v>
      </c>
      <c r="T43" s="1573" t="s">
        <v>11</v>
      </c>
      <c r="U43" s="1574">
        <f t="shared" si="13"/>
        <v>100</v>
      </c>
      <c r="V43" s="1573" t="s">
        <v>11</v>
      </c>
      <c r="W43" s="1574">
        <f t="shared" si="14"/>
        <v>100</v>
      </c>
      <c r="X43" s="1567"/>
      <c r="Y43" s="3720"/>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720"/>
      <c r="Q44" s="1150">
        <f t="shared" si="11"/>
        <v>111</v>
      </c>
      <c r="R44" s="1568" t="s">
        <v>11</v>
      </c>
      <c r="S44" s="1569">
        <f t="shared" si="12"/>
        <v>100</v>
      </c>
      <c r="T44" s="1568" t="s">
        <v>11</v>
      </c>
      <c r="U44" s="1569">
        <f t="shared" si="13"/>
        <v>100</v>
      </c>
      <c r="V44" s="1568" t="s">
        <v>11</v>
      </c>
      <c r="W44" s="1569">
        <f t="shared" si="14"/>
        <v>100</v>
      </c>
      <c r="X44" s="1570"/>
      <c r="Y44" s="3720"/>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720"/>
      <c r="Q45" s="1572">
        <f t="shared" si="11"/>
        <v>111</v>
      </c>
      <c r="R45" s="1573" t="s">
        <v>11</v>
      </c>
      <c r="S45" s="1574">
        <f t="shared" si="12"/>
        <v>100</v>
      </c>
      <c r="T45" s="1573" t="s">
        <v>11</v>
      </c>
      <c r="U45" s="1574">
        <f t="shared" si="13"/>
        <v>100</v>
      </c>
      <c r="V45" s="1573" t="s">
        <v>11</v>
      </c>
      <c r="W45" s="1574">
        <f t="shared" si="14"/>
        <v>100</v>
      </c>
      <c r="X45" s="1567"/>
      <c r="Y45" s="3720"/>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798"/>
      <c r="Q46" s="1572">
        <f t="shared" si="11"/>
        <v>111</v>
      </c>
      <c r="R46" s="1573" t="s">
        <v>10</v>
      </c>
      <c r="S46" s="1574">
        <f t="shared" si="12"/>
        <v>100</v>
      </c>
      <c r="T46" s="1573" t="s">
        <v>10</v>
      </c>
      <c r="U46" s="1574">
        <f t="shared" si="13"/>
        <v>100</v>
      </c>
      <c r="V46" s="1573" t="s">
        <v>10</v>
      </c>
      <c r="W46" s="1574">
        <f t="shared" si="14"/>
        <v>100</v>
      </c>
      <c r="X46" s="1567"/>
      <c r="Y46" s="3798"/>
      <c r="Z46" s="1575">
        <f t="shared" si="15"/>
        <v>111</v>
      </c>
      <c r="AA46" s="1576">
        <f t="shared" si="3"/>
        <v>1</v>
      </c>
      <c r="AB46" s="1576">
        <f t="shared" si="4"/>
        <v>1</v>
      </c>
      <c r="AC46" s="1576">
        <f t="shared" si="5"/>
        <v>1</v>
      </c>
    </row>
    <row r="47" spans="1:29" ht="15">
      <c r="A47" s="606" t="s">
        <v>737</v>
      </c>
      <c r="B47" s="886"/>
      <c r="C47" s="2651" t="s">
        <v>9</v>
      </c>
      <c r="D47" s="2652"/>
      <c r="E47" s="2653">
        <f>ROUND(15800*0.98,0)</f>
        <v>15484</v>
      </c>
      <c r="F47" s="2654"/>
      <c r="G47" s="2655">
        <f>ROUND(17500*0.98,0)</f>
        <v>17150</v>
      </c>
      <c r="H47" s="2656"/>
      <c r="I47" s="2653">
        <f>ROUND(14500*0.98,0)</f>
        <v>14210</v>
      </c>
      <c r="J47" s="2656"/>
      <c r="K47" s="1606"/>
      <c r="L47" s="2144"/>
      <c r="M47" s="2145"/>
      <c r="N47" s="2134"/>
      <c r="O47" s="2145"/>
      <c r="P47" s="3681" t="str">
        <f>A47</f>
        <v>成交单价（元/平方米）</v>
      </c>
      <c r="Q47" s="3681"/>
      <c r="R47" s="3797">
        <f>E47</f>
        <v>15484</v>
      </c>
      <c r="S47" s="3797"/>
      <c r="T47" s="3797">
        <f>G47</f>
        <v>17150</v>
      </c>
      <c r="U47" s="3797"/>
      <c r="V47" s="3797">
        <f>I47</f>
        <v>14210</v>
      </c>
      <c r="W47" s="3797"/>
      <c r="X47" s="1559"/>
      <c r="Y47" s="1581"/>
      <c r="Z47" s="1559"/>
      <c r="AA47" s="1559"/>
      <c r="AB47" s="1559"/>
      <c r="AC47" s="1559"/>
    </row>
    <row r="48" spans="1:29" ht="15.75" thickBot="1">
      <c r="A48" s="614" t="s">
        <v>2764</v>
      </c>
      <c r="B48" s="887"/>
      <c r="C48" s="2657">
        <f>R49</f>
        <v>16073</v>
      </c>
      <c r="D48" s="2658"/>
      <c r="E48" s="2659">
        <f>R48</f>
        <v>17044</v>
      </c>
      <c r="F48" s="2659"/>
      <c r="G48" s="2657">
        <f>T48</f>
        <v>16654</v>
      </c>
      <c r="H48" s="2658"/>
      <c r="I48" s="2659">
        <f>V48</f>
        <v>14522</v>
      </c>
      <c r="J48" s="2658"/>
      <c r="K48" s="1607"/>
      <c r="L48" s="2144"/>
      <c r="M48" s="2145"/>
      <c r="N48" s="2145"/>
      <c r="O48" s="2145"/>
      <c r="P48" s="3681" t="str">
        <f>A48</f>
        <v>比较价格（元/平方米）</v>
      </c>
      <c r="Q48" s="3681"/>
      <c r="R48" s="3797">
        <f>IF(F1="售价",ROUND(PRODUCT(R47,AA7:AA46),0),ROUND(PRODUCT(R47,AA7:AA46),1))</f>
        <v>17044</v>
      </c>
      <c r="S48" s="3797"/>
      <c r="T48" s="3797">
        <f>IF(F1="售价",ROUND(PRODUCT(T47,AB7:AB46),0),ROUND(PRODUCT(T47,AB7:AB46),1))</f>
        <v>16654</v>
      </c>
      <c r="U48" s="3797"/>
      <c r="V48" s="3797">
        <f>IF(F1="售价",ROUND(PRODUCT(V47,AC7:AC46),0),ROUND(PRODUCT(V47,AC7:AC46),1))</f>
        <v>14522</v>
      </c>
      <c r="W48" s="3797"/>
      <c r="X48" s="1559"/>
      <c r="Y48" s="1559"/>
      <c r="Z48" s="1559"/>
      <c r="AA48" s="1559"/>
      <c r="AB48" s="1559"/>
      <c r="AC48" s="1559"/>
    </row>
    <row r="49" spans="1:29" ht="15.75" thickBot="1">
      <c r="A49" s="620" t="s">
        <v>2937</v>
      </c>
      <c r="B49" s="621"/>
      <c r="C49" s="2660">
        <f>R49</f>
        <v>16073</v>
      </c>
      <c r="D49" s="2660"/>
      <c r="E49" s="2660"/>
      <c r="F49" s="2660"/>
      <c r="G49" s="2660"/>
      <c r="H49" s="2660"/>
      <c r="I49" s="2660"/>
      <c r="J49" s="2660"/>
      <c r="K49" s="1608"/>
      <c r="L49" s="2144"/>
      <c r="M49" s="2145"/>
      <c r="N49" s="2145"/>
      <c r="O49" s="2145"/>
      <c r="P49" s="3678" t="str">
        <f>A49</f>
        <v>估价对象XX用房的比较价格（楼面单价，元/平方米）</v>
      </c>
      <c r="Q49" s="3679"/>
      <c r="R49" s="3796">
        <f>IF(F1="售价",ROUND(AVERAGE(R48:V48),0),ROUND(AVERAGE(R48:V48),1))</f>
        <v>16073</v>
      </c>
      <c r="S49" s="3796"/>
      <c r="T49" s="3796"/>
      <c r="U49" s="3796"/>
      <c r="V49" s="3796"/>
      <c r="W49" s="379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f>IF(E47&lt;E48,E48/E47-1,E47/E48-1)</f>
        <v>0.10074916042366322</v>
      </c>
      <c r="F52" s="626" t="str">
        <f>IF(OR(E52&gt;=0.3,E52&lt;=-0.3),"超过30%","")</f>
        <v/>
      </c>
      <c r="G52" s="625">
        <f>IF(G47&lt;G48,G48/G47-1,G47/G48-1)</f>
        <v>2.9782634802449914E-2</v>
      </c>
      <c r="H52" s="626" t="str">
        <f>IF(OR(G52&gt;=0.3,G52&lt;=-0.3),"超过30%","")</f>
        <v/>
      </c>
      <c r="I52" s="625">
        <f>IF(I47&lt;I48,I48/I47-1,I47/I48-1)</f>
        <v>2.1956368754398214E-2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f>IF(E48&lt;G48,G48/E48-1,E48/G48-1)</f>
        <v>2.3417797526119832E-2</v>
      </c>
      <c r="F53" s="626" t="str">
        <f>IF(OR(E53&gt;=0.2,E53&lt;=-0.2),"超过20%","")</f>
        <v/>
      </c>
      <c r="G53" s="625">
        <f>IF(G48&lt;I48,I48/G48-1,G48/I48-1)</f>
        <v>0.1468117339209476</v>
      </c>
      <c r="H53" s="626" t="str">
        <f>IF(OR(G53&gt;=0.2,G53&lt;=-0.2),"超过20%","")</f>
        <v/>
      </c>
      <c r="I53" s="625">
        <f>IF(I48&lt;E48,E48/I48-1,I48/E48-1)</f>
        <v>0.17366753890648678</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f>IF(E47&lt;G47,G47/E47-1,E47/G47-1)</f>
        <v>0.10759493670886067</v>
      </c>
      <c r="F54" s="626" t="str">
        <f>IF(OR(E54&gt;=0.3,E54&lt;=-0.3),"超过30%","")</f>
        <v/>
      </c>
      <c r="G54" s="625">
        <f>IF(G47&lt;I47,I47/G47-1,G47/I47-1)</f>
        <v>0.2068965517241379</v>
      </c>
      <c r="H54" s="626" t="str">
        <f>IF(OR(G54&gt;=0.3,G54&lt;=-0.3),"超过30%","")</f>
        <v/>
      </c>
      <c r="I54" s="625">
        <f>IF(I47&lt;E47,E47/I47-1,I47/E47-1)</f>
        <v>8.9655172413793061E-2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9"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hidden="1"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hidden="1"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hidden="1"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hidden="1"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hidden="1"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480" t="s">
        <v>3286</v>
      </c>
      <c r="D90" s="3480" t="s">
        <v>3287</v>
      </c>
      <c r="E90" s="3480" t="s">
        <v>3288</v>
      </c>
      <c r="F90" s="3480" t="s">
        <v>3289</v>
      </c>
      <c r="G90" s="3480" t="s">
        <v>3290</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552</v>
      </c>
      <c r="B100" s="664" t="s">
        <v>748</v>
      </c>
      <c r="C100" s="3479" t="s">
        <v>3281</v>
      </c>
      <c r="D100" s="3479" t="s">
        <v>3282</v>
      </c>
      <c r="E100" s="3479" t="s">
        <v>3283</v>
      </c>
      <c r="F100" s="3479" t="s">
        <v>3285</v>
      </c>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749</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2000000(含)-2500000</v>
      </c>
      <c r="H102" s="707" t="str">
        <f t="shared" si="23"/>
        <v>2500000(含)-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500000</v>
      </c>
      <c r="E103" s="729">
        <v>1000000</v>
      </c>
      <c r="F103" s="729">
        <v>1500000</v>
      </c>
      <c r="G103" s="729">
        <v>2000000</v>
      </c>
      <c r="H103" s="729">
        <v>2500000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3480" t="s">
        <v>3292</v>
      </c>
      <c r="D105" s="3480" t="s">
        <v>3293</v>
      </c>
      <c r="E105" s="3481" t="s">
        <v>3294</v>
      </c>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481" t="s">
        <v>3295</v>
      </c>
      <c r="D107" s="3481" t="s">
        <v>3297</v>
      </c>
      <c r="E107" s="3481" t="s">
        <v>3298</v>
      </c>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3480" t="s">
        <v>3300</v>
      </c>
      <c r="D109" s="687" t="s">
        <v>3301</v>
      </c>
      <c r="E109" s="3480" t="s">
        <v>3303</v>
      </c>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95</v>
      </c>
      <c r="E110" s="678">
        <f t="shared" si="26"/>
        <v>90</v>
      </c>
      <c r="F110" s="678">
        <f t="shared" si="26"/>
        <v>85</v>
      </c>
      <c r="G110" s="678">
        <f t="shared" si="26"/>
        <v>80</v>
      </c>
      <c r="H110" s="678">
        <f t="shared" si="26"/>
        <v>75</v>
      </c>
      <c r="I110" s="678">
        <f t="shared" si="26"/>
        <v>70</v>
      </c>
      <c r="J110" s="678">
        <f t="shared" si="26"/>
        <v>65</v>
      </c>
      <c r="K110" s="678">
        <f t="shared" si="26"/>
        <v>60</v>
      </c>
      <c r="L110" s="678">
        <f t="shared" si="26"/>
        <v>55</v>
      </c>
      <c r="M110" s="678">
        <f t="shared" si="26"/>
        <v>50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3480" t="s">
        <v>3305</v>
      </c>
      <c r="D114" s="3480" t="s">
        <v>3306</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2560</v>
      </c>
      <c r="C116" s="3480" t="s">
        <v>3307</v>
      </c>
      <c r="D116" s="3480" t="s">
        <v>3308</v>
      </c>
      <c r="E116" s="3480" t="s">
        <v>3309</v>
      </c>
      <c r="F116" s="3480" t="s">
        <v>3310</v>
      </c>
      <c r="G116" s="3480" t="s">
        <v>3311</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8" hidden="1" customHeight="1" thickTop="1">
      <c r="A118" s="734"/>
      <c r="B118" s="672" t="s">
        <v>755</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t="s">
        <v>3312</v>
      </c>
      <c r="D120" s="687" t="s">
        <v>3313</v>
      </c>
      <c r="E120" s="687" t="s">
        <v>3314</v>
      </c>
      <c r="F120" s="687" t="s">
        <v>3315</v>
      </c>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v>102</v>
      </c>
      <c r="E121" s="670">
        <v>104</v>
      </c>
      <c r="F121" s="670">
        <v>106</v>
      </c>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3480" t="s">
        <v>3300</v>
      </c>
      <c r="D122" s="687" t="s">
        <v>3301</v>
      </c>
      <c r="E122" s="3480" t="s">
        <v>3316</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hidden="1"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522</v>
      </c>
      <c r="B4" s="512"/>
      <c r="C4" s="3687" t="s">
        <v>523</v>
      </c>
      <c r="D4" s="3688"/>
      <c r="E4" s="3724" t="s">
        <v>524</v>
      </c>
      <c r="F4" s="3725"/>
      <c r="G4" s="3687" t="s">
        <v>525</v>
      </c>
      <c r="H4" s="3688"/>
      <c r="I4" s="3687" t="s">
        <v>526</v>
      </c>
      <c r="J4" s="3688"/>
      <c r="K4" s="513" t="s">
        <v>527</v>
      </c>
      <c r="L4" s="2133"/>
      <c r="M4" s="2134"/>
      <c r="N4" s="2134"/>
      <c r="O4" s="2134"/>
      <c r="P4" s="3689" t="s">
        <v>528</v>
      </c>
      <c r="Q4" s="3690"/>
      <c r="R4" s="3695" t="s">
        <v>524</v>
      </c>
      <c r="S4" s="3696"/>
      <c r="T4" s="3695" t="s">
        <v>525</v>
      </c>
      <c r="U4" s="3696"/>
      <c r="V4" s="3682" t="s">
        <v>526</v>
      </c>
      <c r="W4" s="3682"/>
      <c r="X4" s="1567"/>
      <c r="Y4" s="3695" t="s">
        <v>528</v>
      </c>
      <c r="Z4" s="3696"/>
      <c r="AA4" s="3684" t="s">
        <v>524</v>
      </c>
      <c r="AB4" s="3682" t="s">
        <v>525</v>
      </c>
      <c r="AC4" s="3684" t="s">
        <v>526</v>
      </c>
    </row>
    <row r="5" spans="1:29" ht="15">
      <c r="A5" s="514"/>
      <c r="B5" s="515"/>
      <c r="C5" s="3705" t="s">
        <v>2931</v>
      </c>
      <c r="D5" s="3704"/>
      <c r="E5" s="3726" t="s">
        <v>2932</v>
      </c>
      <c r="F5" s="3727"/>
      <c r="G5" s="3705" t="s">
        <v>2933</v>
      </c>
      <c r="H5" s="3704"/>
      <c r="I5" s="3705" t="s">
        <v>2934</v>
      </c>
      <c r="J5" s="3704"/>
      <c r="K5" s="513"/>
      <c r="L5" s="2133"/>
      <c r="M5" s="2134"/>
      <c r="N5" s="2134"/>
      <c r="O5" s="2134"/>
      <c r="P5" s="3691"/>
      <c r="Q5" s="3692"/>
      <c r="R5" s="3697"/>
      <c r="S5" s="3698"/>
      <c r="T5" s="3697"/>
      <c r="U5" s="3698"/>
      <c r="V5" s="3682"/>
      <c r="W5" s="3682"/>
      <c r="X5" s="1567"/>
      <c r="Y5" s="3697"/>
      <c r="Z5" s="3698"/>
      <c r="AA5" s="3685"/>
      <c r="AB5" s="3682"/>
      <c r="AC5" s="3685"/>
    </row>
    <row r="6" spans="1:29" ht="15.75" thickBot="1">
      <c r="A6" s="516"/>
      <c r="B6" s="517"/>
      <c r="C6" s="3721" t="s">
        <v>2935</v>
      </c>
      <c r="D6" s="3702"/>
      <c r="E6" s="3722" t="s">
        <v>2935</v>
      </c>
      <c r="F6" s="3723"/>
      <c r="G6" s="3721" t="s">
        <v>2935</v>
      </c>
      <c r="H6" s="3702"/>
      <c r="I6" s="3721" t="s">
        <v>2935</v>
      </c>
      <c r="J6" s="3702"/>
      <c r="K6" s="513" t="s">
        <v>529</v>
      </c>
      <c r="L6" s="2133"/>
      <c r="M6" s="2134"/>
      <c r="N6" s="2134"/>
      <c r="O6" s="2134"/>
      <c r="P6" s="3693"/>
      <c r="Q6" s="3694"/>
      <c r="R6" s="3697"/>
      <c r="S6" s="3698"/>
      <c r="T6" s="3699"/>
      <c r="U6" s="3700"/>
      <c r="V6" s="3682"/>
      <c r="W6" s="3682"/>
      <c r="X6" s="1567"/>
      <c r="Y6" s="3699"/>
      <c r="Z6" s="3700"/>
      <c r="AA6" s="3686"/>
      <c r="AB6" s="3682"/>
      <c r="AC6" s="3686"/>
    </row>
    <row r="7" spans="1:29" s="1219" customFormat="1" ht="15.75" thickBot="1">
      <c r="A7" s="2937"/>
      <c r="B7" s="2944" t="s">
        <v>530</v>
      </c>
      <c r="C7" s="518">
        <f>'数据-取费表'!B2</f>
        <v>43131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714" t="s">
        <v>531</v>
      </c>
      <c r="Q7" s="3716"/>
      <c r="R7" s="1568" t="s">
        <v>8</v>
      </c>
      <c r="S7" s="1569">
        <f t="shared" ref="S7:S15" si="0">F7</f>
        <v>0</v>
      </c>
      <c r="T7" s="1568" t="s">
        <v>8</v>
      </c>
      <c r="U7" s="1569">
        <f t="shared" ref="U7:U15" si="1">H7</f>
        <v>0</v>
      </c>
      <c r="V7" s="1568" t="s">
        <v>8</v>
      </c>
      <c r="W7" s="1569">
        <f t="shared" ref="W7:W15" si="2">J7</f>
        <v>0</v>
      </c>
      <c r="X7" s="1570"/>
      <c r="Y7" s="3714" t="s">
        <v>531</v>
      </c>
      <c r="Z7" s="3715"/>
      <c r="AA7" s="1571" t="e">
        <f>D7/F7</f>
        <v>#DIV/0!</v>
      </c>
      <c r="AB7" s="1571" t="e">
        <f>D7/H7</f>
        <v>#DIV/0!</v>
      </c>
      <c r="AC7" s="1571" t="e">
        <f>D7/J7</f>
        <v>#DIV/0!</v>
      </c>
    </row>
    <row r="8" spans="1:29" s="1219" customFormat="1" ht="15.75" thickBot="1">
      <c r="A8" s="2938"/>
      <c r="B8" s="2945"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714" t="s">
        <v>534</v>
      </c>
      <c r="Q8" s="3715"/>
      <c r="R8" s="1568" t="s">
        <v>8</v>
      </c>
      <c r="S8" s="1569">
        <f t="shared" si="0"/>
        <v>0</v>
      </c>
      <c r="T8" s="1568" t="s">
        <v>8</v>
      </c>
      <c r="U8" s="1569">
        <f t="shared" si="1"/>
        <v>0</v>
      </c>
      <c r="V8" s="1568" t="s">
        <v>8</v>
      </c>
      <c r="W8" s="1569">
        <f t="shared" si="2"/>
        <v>0</v>
      </c>
      <c r="X8" s="1570"/>
      <c r="Y8" s="3714" t="s">
        <v>534</v>
      </c>
      <c r="Z8" s="3715"/>
      <c r="AA8" s="1571" t="e">
        <f t="shared" ref="AA8:AA46" si="3">D8/F8</f>
        <v>#DIV/0!</v>
      </c>
      <c r="AB8" s="1571" t="e">
        <f t="shared" ref="AB8:AB46" si="4">D8/H8</f>
        <v>#DIV/0!</v>
      </c>
      <c r="AC8" s="1571" t="e">
        <f t="shared" ref="AC8:AC46" si="5">D8/J8</f>
        <v>#DIV/0!</v>
      </c>
    </row>
    <row r="9" spans="1:29" s="1219" customFormat="1" ht="15">
      <c r="A9" s="2939"/>
      <c r="B9" s="2946" t="s">
        <v>2760</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681" t="s">
        <v>536</v>
      </c>
      <c r="Q9" s="1150" t="str">
        <f t="shared" ref="Q9:Q15" si="6">B9</f>
        <v>用途</v>
      </c>
      <c r="R9" s="1568" t="s">
        <v>8</v>
      </c>
      <c r="S9" s="1569">
        <f t="shared" si="0"/>
        <v>100</v>
      </c>
      <c r="T9" s="1568" t="s">
        <v>8</v>
      </c>
      <c r="U9" s="1569">
        <f t="shared" si="1"/>
        <v>100</v>
      </c>
      <c r="V9" s="1568" t="s">
        <v>8</v>
      </c>
      <c r="W9" s="1569">
        <f t="shared" si="2"/>
        <v>100</v>
      </c>
      <c r="X9" s="1570"/>
      <c r="Y9" s="3627"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681"/>
      <c r="Q10" s="1150" t="str">
        <f t="shared" si="6"/>
        <v>土地使用年限（年）</v>
      </c>
      <c r="R10" s="1568" t="s">
        <v>8</v>
      </c>
      <c r="S10" s="1569">
        <f t="shared" si="0"/>
        <v>100</v>
      </c>
      <c r="T10" s="1568" t="s">
        <v>8</v>
      </c>
      <c r="U10" s="1569">
        <f t="shared" si="1"/>
        <v>100</v>
      </c>
      <c r="V10" s="1568" t="s">
        <v>8</v>
      </c>
      <c r="W10" s="1569">
        <f t="shared" si="2"/>
        <v>100</v>
      </c>
      <c r="X10" s="1570"/>
      <c r="Y10" s="3627"/>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681"/>
      <c r="Q11" s="1150" t="str">
        <f t="shared" si="6"/>
        <v>容积率</v>
      </c>
      <c r="R11" s="1568" t="s">
        <v>8</v>
      </c>
      <c r="S11" s="1569" t="e">
        <f t="shared" si="0"/>
        <v>#N/A</v>
      </c>
      <c r="T11" s="1568" t="s">
        <v>8</v>
      </c>
      <c r="U11" s="1569" t="e">
        <f t="shared" si="1"/>
        <v>#N/A</v>
      </c>
      <c r="V11" s="1568" t="s">
        <v>8</v>
      </c>
      <c r="W11" s="1569" t="e">
        <f t="shared" si="2"/>
        <v>#N/A</v>
      </c>
      <c r="X11" s="1570"/>
      <c r="Y11" s="3627"/>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681"/>
      <c r="Q12" s="1150">
        <f t="shared" si="6"/>
        <v>111</v>
      </c>
      <c r="R12" s="1568" t="s">
        <v>8</v>
      </c>
      <c r="S12" s="1569">
        <f t="shared" si="0"/>
        <v>100</v>
      </c>
      <c r="T12" s="1568" t="s">
        <v>8</v>
      </c>
      <c r="U12" s="1569">
        <f t="shared" si="1"/>
        <v>100</v>
      </c>
      <c r="V12" s="1568" t="s">
        <v>8</v>
      </c>
      <c r="W12" s="1569">
        <f t="shared" si="2"/>
        <v>100</v>
      </c>
      <c r="X12" s="1570"/>
      <c r="Y12" s="3627"/>
      <c r="Z12" s="1149">
        <f t="shared" si="7"/>
        <v>111</v>
      </c>
      <c r="AA12" s="1571">
        <f>D12/F12</f>
        <v>1</v>
      </c>
      <c r="AB12" s="1571">
        <f>D12/H12</f>
        <v>1</v>
      </c>
      <c r="AC12" s="1571">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681"/>
      <c r="Q13" s="1150">
        <f t="shared" si="6"/>
        <v>111</v>
      </c>
      <c r="R13" s="1568" t="s">
        <v>8</v>
      </c>
      <c r="S13" s="1569">
        <f t="shared" si="0"/>
        <v>100</v>
      </c>
      <c r="T13" s="1568" t="s">
        <v>8</v>
      </c>
      <c r="U13" s="1569">
        <f t="shared" si="1"/>
        <v>100</v>
      </c>
      <c r="V13" s="1568" t="s">
        <v>8</v>
      </c>
      <c r="W13" s="1569">
        <f t="shared" si="2"/>
        <v>100</v>
      </c>
      <c r="X13" s="1570"/>
      <c r="Y13" s="3627"/>
      <c r="Z13" s="1149">
        <f t="shared" si="7"/>
        <v>111</v>
      </c>
      <c r="AA13" s="1571">
        <f t="shared" si="3"/>
        <v>1</v>
      </c>
      <c r="AB13" s="1571">
        <f t="shared" si="4"/>
        <v>1</v>
      </c>
      <c r="AC13" s="1571">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681"/>
      <c r="Q14" s="1150">
        <f t="shared" si="6"/>
        <v>111</v>
      </c>
      <c r="R14" s="1568" t="s">
        <v>8</v>
      </c>
      <c r="S14" s="1569">
        <f t="shared" si="0"/>
        <v>100</v>
      </c>
      <c r="T14" s="1568" t="s">
        <v>8</v>
      </c>
      <c r="U14" s="1569">
        <f t="shared" si="1"/>
        <v>100</v>
      </c>
      <c r="V14" s="1568" t="s">
        <v>8</v>
      </c>
      <c r="W14" s="1569">
        <f t="shared" si="2"/>
        <v>100</v>
      </c>
      <c r="X14" s="1570"/>
      <c r="Y14" s="3627"/>
      <c r="Z14" s="1149">
        <f t="shared" si="7"/>
        <v>111</v>
      </c>
      <c r="AA14" s="1571">
        <f t="shared" si="3"/>
        <v>1</v>
      </c>
      <c r="AB14" s="1571">
        <f t="shared" si="4"/>
        <v>1</v>
      </c>
      <c r="AC14" s="1571">
        <f t="shared" si="5"/>
        <v>1</v>
      </c>
    </row>
    <row r="15" spans="1:29" ht="71.25">
      <c r="A15" s="2935" t="s">
        <v>2758</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717" t="s">
        <v>541</v>
      </c>
      <c r="Q15" s="1572" t="str">
        <f t="shared" si="6"/>
        <v>商业繁华度</v>
      </c>
      <c r="R15" s="1573" t="s">
        <v>8</v>
      </c>
      <c r="S15" s="1574">
        <f t="shared" si="0"/>
        <v>100</v>
      </c>
      <c r="T15" s="1573" t="s">
        <v>8</v>
      </c>
      <c r="U15" s="1574">
        <f t="shared" si="1"/>
        <v>100</v>
      </c>
      <c r="V15" s="1573" t="s">
        <v>8</v>
      </c>
      <c r="W15" s="1574">
        <f t="shared" si="2"/>
        <v>100</v>
      </c>
      <c r="X15" s="1567"/>
      <c r="Y15" s="3717"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718"/>
      <c r="Q16" s="1572"/>
      <c r="R16" s="1573"/>
      <c r="S16" s="1574"/>
      <c r="T16" s="1573"/>
      <c r="U16" s="1574"/>
      <c r="V16" s="1573"/>
      <c r="W16" s="1574"/>
      <c r="X16" s="1567"/>
      <c r="Y16" s="3718"/>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718"/>
      <c r="Q17" s="1572" t="str">
        <f>B17</f>
        <v>交通便捷度</v>
      </c>
      <c r="R17" s="1573" t="s">
        <v>8</v>
      </c>
      <c r="S17" s="1574">
        <f>F17</f>
        <v>100</v>
      </c>
      <c r="T17" s="1573" t="s">
        <v>8</v>
      </c>
      <c r="U17" s="1574">
        <f>H17</f>
        <v>100</v>
      </c>
      <c r="V17" s="1573" t="s">
        <v>8</v>
      </c>
      <c r="W17" s="1574">
        <f>J17</f>
        <v>100</v>
      </c>
      <c r="X17" s="1567"/>
      <c r="Y17" s="371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718"/>
      <c r="Q18" s="1572"/>
      <c r="R18" s="1573"/>
      <c r="S18" s="1574"/>
      <c r="T18" s="1573"/>
      <c r="U18" s="1574"/>
      <c r="V18" s="1573"/>
      <c r="W18" s="1574"/>
      <c r="X18" s="1567"/>
      <c r="Y18" s="3718"/>
      <c r="Z18" s="1575"/>
      <c r="AA18" s="1576">
        <v>1</v>
      </c>
      <c r="AB18" s="1576">
        <v>1</v>
      </c>
      <c r="AC18" s="1576">
        <v>1</v>
      </c>
    </row>
    <row r="19" spans="1:29" ht="42.75">
      <c r="A19" s="531"/>
      <c r="B19" s="2624" t="s">
        <v>2550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718"/>
      <c r="Q19" s="1572" t="str">
        <f>B19</f>
        <v>公共配套设施</v>
      </c>
      <c r="R19" s="1573" t="s">
        <v>8</v>
      </c>
      <c r="S19" s="1574">
        <f>F19</f>
        <v>100</v>
      </c>
      <c r="T19" s="1573" t="s">
        <v>8</v>
      </c>
      <c r="U19" s="1574">
        <f>H19</f>
        <v>100</v>
      </c>
      <c r="V19" s="1573" t="s">
        <v>8</v>
      </c>
      <c r="W19" s="1574">
        <f>J19</f>
        <v>100</v>
      </c>
      <c r="X19" s="1567"/>
      <c r="Y19" s="371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3718"/>
      <c r="Q20" s="1572"/>
      <c r="R20" s="1573"/>
      <c r="S20" s="1574"/>
      <c r="T20" s="1573"/>
      <c r="U20" s="1574"/>
      <c r="V20" s="1573"/>
      <c r="W20" s="1574"/>
      <c r="X20" s="1567"/>
      <c r="Y20" s="3718"/>
      <c r="Z20" s="1575"/>
      <c r="AA20" s="1576">
        <v>1</v>
      </c>
      <c r="AB20" s="1576">
        <v>1</v>
      </c>
      <c r="AC20" s="1576">
        <v>1</v>
      </c>
    </row>
    <row r="21" spans="1:29" ht="28.5">
      <c r="A21" s="531"/>
      <c r="B21" s="2617" t="s">
        <v>2562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718"/>
      <c r="Q21" s="2603" t="str">
        <f>B21</f>
        <v>基础设施水平</v>
      </c>
      <c r="R21" s="1573" t="s">
        <v>8</v>
      </c>
      <c r="S21" s="1574">
        <f>F21</f>
        <v>100</v>
      </c>
      <c r="T21" s="1573" t="s">
        <v>8</v>
      </c>
      <c r="U21" s="1574">
        <f>H21</f>
        <v>100</v>
      </c>
      <c r="V21" s="1573" t="s">
        <v>8</v>
      </c>
      <c r="W21" s="1574">
        <f>J21</f>
        <v>100</v>
      </c>
      <c r="X21" s="2605"/>
      <c r="Y21" s="3718"/>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6"/>
      <c r="L22" s="2142"/>
      <c r="M22" s="2134"/>
      <c r="N22" s="2134"/>
      <c r="O22" s="2141"/>
      <c r="P22" s="3718"/>
      <c r="Q22" s="2603"/>
      <c r="R22" s="1573"/>
      <c r="S22" s="1574"/>
      <c r="T22" s="1573"/>
      <c r="U22" s="1574"/>
      <c r="V22" s="1573"/>
      <c r="W22" s="1574"/>
      <c r="X22" s="2605"/>
      <c r="Y22" s="3718"/>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718"/>
      <c r="Q23" s="1572" t="str">
        <f>B23</f>
        <v>自然及人文环境</v>
      </c>
      <c r="R23" s="1573" t="s">
        <v>8</v>
      </c>
      <c r="S23" s="1574">
        <f>F23</f>
        <v>100</v>
      </c>
      <c r="T23" s="1573" t="s">
        <v>8</v>
      </c>
      <c r="U23" s="1574">
        <f>H23</f>
        <v>100</v>
      </c>
      <c r="V23" s="1573" t="s">
        <v>8</v>
      </c>
      <c r="W23" s="1574">
        <f>J23</f>
        <v>100</v>
      </c>
      <c r="X23" s="1567"/>
      <c r="Y23" s="371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3718"/>
      <c r="Q24" s="1572"/>
      <c r="R24" s="1573"/>
      <c r="S24" s="1574"/>
      <c r="T24" s="1573"/>
      <c r="U24" s="1574"/>
      <c r="V24" s="1573"/>
      <c r="W24" s="1574"/>
      <c r="X24" s="1567"/>
      <c r="Y24" s="3718"/>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718"/>
      <c r="Q25" s="1572" t="str">
        <f t="shared" ref="Q25:Q46" si="11">B25</f>
        <v>临街状况</v>
      </c>
      <c r="R25" s="1573" t="s">
        <v>8</v>
      </c>
      <c r="S25" s="1574">
        <f>F25</f>
        <v>100</v>
      </c>
      <c r="T25" s="1573" t="s">
        <v>8</v>
      </c>
      <c r="U25" s="1574">
        <f>H25</f>
        <v>100</v>
      </c>
      <c r="V25" s="1573" t="s">
        <v>8</v>
      </c>
      <c r="W25" s="1574">
        <f>J25</f>
        <v>100</v>
      </c>
      <c r="X25" s="1567"/>
      <c r="Y25" s="3718"/>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718"/>
      <c r="Q26" s="1572" t="str">
        <f t="shared" si="11"/>
        <v>平面位置/可视性</v>
      </c>
      <c r="R26" s="1573" t="s">
        <v>8</v>
      </c>
      <c r="S26" s="1574">
        <f>F26</f>
        <v>100</v>
      </c>
      <c r="T26" s="1573" t="s">
        <v>8</v>
      </c>
      <c r="U26" s="1574">
        <f>H26</f>
        <v>100</v>
      </c>
      <c r="V26" s="1573" t="s">
        <v>8</v>
      </c>
      <c r="W26" s="1574">
        <f>J26</f>
        <v>100</v>
      </c>
      <c r="X26" s="1567"/>
      <c r="Y26" s="3718"/>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718"/>
      <c r="Q27" s="1150" t="str">
        <f t="shared" si="11"/>
        <v>人流量</v>
      </c>
      <c r="R27" s="1568" t="s">
        <v>8</v>
      </c>
      <c r="S27" s="1569">
        <f>F27</f>
        <v>100</v>
      </c>
      <c r="T27" s="1568" t="s">
        <v>8</v>
      </c>
      <c r="U27" s="1569">
        <f>H27</f>
        <v>100</v>
      </c>
      <c r="V27" s="1568" t="s">
        <v>8</v>
      </c>
      <c r="W27" s="1569">
        <f>J27</f>
        <v>100</v>
      </c>
      <c r="X27" s="1570"/>
      <c r="Y27" s="3718"/>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71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18"/>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718"/>
      <c r="Q29" s="1572">
        <f t="shared" si="11"/>
        <v>111</v>
      </c>
      <c r="R29" s="1573" t="s">
        <v>8</v>
      </c>
      <c r="S29" s="1574">
        <f t="shared" si="12"/>
        <v>100</v>
      </c>
      <c r="T29" s="1573" t="s">
        <v>8</v>
      </c>
      <c r="U29" s="1574">
        <f t="shared" si="13"/>
        <v>100</v>
      </c>
      <c r="V29" s="1573" t="s">
        <v>8</v>
      </c>
      <c r="W29" s="1574">
        <f t="shared" si="14"/>
        <v>100</v>
      </c>
      <c r="X29" s="1567"/>
      <c r="Y29" s="371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718"/>
      <c r="Q30" s="1572">
        <f t="shared" si="11"/>
        <v>111</v>
      </c>
      <c r="R30" s="1573" t="s">
        <v>8</v>
      </c>
      <c r="S30" s="1574">
        <f t="shared" si="12"/>
        <v>100</v>
      </c>
      <c r="T30" s="1573" t="s">
        <v>8</v>
      </c>
      <c r="U30" s="1574">
        <f t="shared" si="13"/>
        <v>100</v>
      </c>
      <c r="V30" s="1573" t="s">
        <v>8</v>
      </c>
      <c r="W30" s="1574">
        <f t="shared" si="14"/>
        <v>100</v>
      </c>
      <c r="X30" s="1567"/>
      <c r="Y30" s="3718"/>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718"/>
      <c r="Q31" s="1572">
        <f t="shared" si="11"/>
        <v>111</v>
      </c>
      <c r="R31" s="1573" t="s">
        <v>8</v>
      </c>
      <c r="S31" s="1574">
        <f t="shared" si="12"/>
        <v>100</v>
      </c>
      <c r="T31" s="1573" t="s">
        <v>8</v>
      </c>
      <c r="U31" s="1574">
        <f t="shared" si="13"/>
        <v>100</v>
      </c>
      <c r="V31" s="1573" t="s">
        <v>8</v>
      </c>
      <c r="W31" s="1574">
        <f t="shared" si="14"/>
        <v>100</v>
      </c>
      <c r="X31" s="1567"/>
      <c r="Y31" s="3718"/>
      <c r="Z31" s="1575">
        <f t="shared" si="15"/>
        <v>111</v>
      </c>
      <c r="AA31" s="1576">
        <f t="shared" si="3"/>
        <v>1</v>
      </c>
      <c r="AB31" s="1576">
        <f t="shared" si="4"/>
        <v>1</v>
      </c>
      <c r="AC31" s="1576">
        <f t="shared" si="5"/>
        <v>1</v>
      </c>
    </row>
    <row r="32" spans="1:29" ht="15">
      <c r="A32" s="2932" t="s">
        <v>2759</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719" t="s">
        <v>551</v>
      </c>
      <c r="Q32" s="1572" t="str">
        <f t="shared" si="11"/>
        <v>商业类型</v>
      </c>
      <c r="R32" s="1573" t="s">
        <v>8</v>
      </c>
      <c r="S32" s="1574">
        <f t="shared" si="12"/>
        <v>100</v>
      </c>
      <c r="T32" s="1573" t="s">
        <v>8</v>
      </c>
      <c r="U32" s="1574">
        <f t="shared" si="13"/>
        <v>100</v>
      </c>
      <c r="V32" s="1573" t="s">
        <v>8</v>
      </c>
      <c r="W32" s="1574">
        <f t="shared" si="14"/>
        <v>100</v>
      </c>
      <c r="X32" s="1567"/>
      <c r="Y32" s="3720"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720"/>
      <c r="Q33" s="1605" t="str">
        <f t="shared" si="11"/>
        <v>项目建筑规模</v>
      </c>
      <c r="R33" s="1577" t="s">
        <v>8</v>
      </c>
      <c r="S33" s="1578" t="e">
        <f t="shared" si="12"/>
        <v>#N/A</v>
      </c>
      <c r="T33" s="1577" t="s">
        <v>8</v>
      </c>
      <c r="U33" s="1578" t="e">
        <f t="shared" si="13"/>
        <v>#N/A</v>
      </c>
      <c r="V33" s="1577" t="s">
        <v>8</v>
      </c>
      <c r="W33" s="1578" t="e">
        <f t="shared" si="14"/>
        <v>#N/A</v>
      </c>
      <c r="X33" s="1579"/>
      <c r="Y33" s="3720"/>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720"/>
      <c r="Q34" s="1572" t="str">
        <f t="shared" si="11"/>
        <v>建筑结构</v>
      </c>
      <c r="R34" s="1573" t="s">
        <v>8</v>
      </c>
      <c r="S34" s="1574">
        <f t="shared" si="12"/>
        <v>100</v>
      </c>
      <c r="T34" s="1573" t="s">
        <v>8</v>
      </c>
      <c r="U34" s="1574">
        <f t="shared" si="13"/>
        <v>100</v>
      </c>
      <c r="V34" s="1573" t="s">
        <v>8</v>
      </c>
      <c r="W34" s="1574">
        <f t="shared" si="14"/>
        <v>100</v>
      </c>
      <c r="X34" s="1567"/>
      <c r="Y34" s="3720"/>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720"/>
      <c r="Q35" s="1572" t="str">
        <f t="shared" si="11"/>
        <v>公共部分装修</v>
      </c>
      <c r="R35" s="1573" t="s">
        <v>8</v>
      </c>
      <c r="S35" s="1574">
        <f t="shared" si="12"/>
        <v>100</v>
      </c>
      <c r="T35" s="1573" t="s">
        <v>8</v>
      </c>
      <c r="U35" s="1574">
        <f t="shared" si="13"/>
        <v>100</v>
      </c>
      <c r="V35" s="1573" t="s">
        <v>8</v>
      </c>
      <c r="W35" s="1574">
        <f t="shared" si="14"/>
        <v>100</v>
      </c>
      <c r="X35" s="1567"/>
      <c r="Y35" s="3720"/>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720"/>
      <c r="Q36" s="1572" t="str">
        <f t="shared" si="11"/>
        <v>成新度</v>
      </c>
      <c r="R36" s="1573" t="s">
        <v>8</v>
      </c>
      <c r="S36" s="1574" t="e">
        <f t="shared" si="12"/>
        <v>#N/A</v>
      </c>
      <c r="T36" s="1573" t="s">
        <v>8</v>
      </c>
      <c r="U36" s="1574" t="e">
        <f t="shared" si="13"/>
        <v>#N/A</v>
      </c>
      <c r="V36" s="1573" t="s">
        <v>8</v>
      </c>
      <c r="W36" s="1574" t="e">
        <f t="shared" si="14"/>
        <v>#N/A</v>
      </c>
      <c r="X36" s="1567"/>
      <c r="Y36" s="3720"/>
      <c r="Z36" s="1575" t="str">
        <f t="shared" si="15"/>
        <v>成新度</v>
      </c>
      <c r="AA36" s="1576" t="e">
        <f t="shared" si="3"/>
        <v>#N/A</v>
      </c>
      <c r="AB36" s="1576" t="e">
        <f t="shared" si="4"/>
        <v>#N/A</v>
      </c>
      <c r="AC36" s="1576" t="e">
        <f t="shared" si="5"/>
        <v>#N/A</v>
      </c>
    </row>
    <row r="37" spans="1:29" s="1219" customFormat="1" ht="15">
      <c r="A37" s="599"/>
      <c r="B37" s="1895" t="s">
        <v>2569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720"/>
      <c r="Q37" s="1150" t="str">
        <f t="shared" si="11"/>
        <v>市政基础设施</v>
      </c>
      <c r="R37" s="1568" t="s">
        <v>8</v>
      </c>
      <c r="S37" s="1569">
        <f t="shared" si="12"/>
        <v>100</v>
      </c>
      <c r="T37" s="1568" t="s">
        <v>8</v>
      </c>
      <c r="U37" s="1569">
        <f t="shared" si="13"/>
        <v>100</v>
      </c>
      <c r="V37" s="1568" t="s">
        <v>8</v>
      </c>
      <c r="W37" s="1569">
        <f t="shared" si="14"/>
        <v>100</v>
      </c>
      <c r="X37" s="1570"/>
      <c r="Y37" s="3720"/>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720" t="s">
        <v>767</v>
      </c>
      <c r="Q38" s="1572" t="str">
        <f t="shared" si="11"/>
        <v>业态</v>
      </c>
      <c r="R38" s="1573" t="s">
        <v>8</v>
      </c>
      <c r="S38" s="1574">
        <f t="shared" si="12"/>
        <v>100</v>
      </c>
      <c r="T38" s="1573" t="s">
        <v>8</v>
      </c>
      <c r="U38" s="1574">
        <f t="shared" si="13"/>
        <v>100</v>
      </c>
      <c r="V38" s="1573" t="s">
        <v>8</v>
      </c>
      <c r="W38" s="1574">
        <f t="shared" si="14"/>
        <v>100</v>
      </c>
      <c r="X38" s="1567"/>
      <c r="Y38" s="3720"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720"/>
      <c r="Q39" s="1572" t="str">
        <f t="shared" si="11"/>
        <v>层高</v>
      </c>
      <c r="R39" s="1573" t="s">
        <v>8</v>
      </c>
      <c r="S39" s="1574">
        <f t="shared" si="12"/>
        <v>100</v>
      </c>
      <c r="T39" s="1573" t="s">
        <v>8</v>
      </c>
      <c r="U39" s="1574">
        <f t="shared" si="13"/>
        <v>100</v>
      </c>
      <c r="V39" s="1573" t="s">
        <v>8</v>
      </c>
      <c r="W39" s="1574">
        <f t="shared" si="14"/>
        <v>100</v>
      </c>
      <c r="X39" s="1567"/>
      <c r="Y39" s="3720"/>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720"/>
      <c r="Q40" s="1572" t="str">
        <f t="shared" si="11"/>
        <v>单套建筑面积</v>
      </c>
      <c r="R40" s="1573" t="s">
        <v>8</v>
      </c>
      <c r="S40" s="1574">
        <f t="shared" si="12"/>
        <v>100</v>
      </c>
      <c r="T40" s="1573" t="s">
        <v>8</v>
      </c>
      <c r="U40" s="1574">
        <f t="shared" si="13"/>
        <v>100</v>
      </c>
      <c r="V40" s="1573" t="s">
        <v>8</v>
      </c>
      <c r="W40" s="1574">
        <f t="shared" si="14"/>
        <v>100</v>
      </c>
      <c r="X40" s="1567"/>
      <c r="Y40" s="3720"/>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720"/>
      <c r="Q41" s="1605" t="str">
        <f t="shared" si="11"/>
        <v>进深比</v>
      </c>
      <c r="R41" s="1577" t="s">
        <v>8</v>
      </c>
      <c r="S41" s="1578">
        <f t="shared" si="12"/>
        <v>100</v>
      </c>
      <c r="T41" s="1577" t="s">
        <v>8</v>
      </c>
      <c r="U41" s="1578">
        <f t="shared" si="13"/>
        <v>100</v>
      </c>
      <c r="V41" s="1577" t="s">
        <v>8</v>
      </c>
      <c r="W41" s="1578">
        <f t="shared" si="14"/>
        <v>100</v>
      </c>
      <c r="X41" s="1579"/>
      <c r="Y41" s="3720"/>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720"/>
      <c r="Q42" s="1572" t="str">
        <f t="shared" si="11"/>
        <v>内部装修</v>
      </c>
      <c r="R42" s="1573" t="s">
        <v>8</v>
      </c>
      <c r="S42" s="1574">
        <f t="shared" si="12"/>
        <v>100</v>
      </c>
      <c r="T42" s="1573" t="s">
        <v>8</v>
      </c>
      <c r="U42" s="1574">
        <f t="shared" si="13"/>
        <v>100</v>
      </c>
      <c r="V42" s="1573" t="s">
        <v>8</v>
      </c>
      <c r="W42" s="1574">
        <f t="shared" si="14"/>
        <v>100</v>
      </c>
      <c r="X42" s="1567"/>
      <c r="Y42" s="3720"/>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720"/>
      <c r="Q43" s="1572" t="str">
        <f t="shared" si="11"/>
        <v>内部装修维护情况</v>
      </c>
      <c r="R43" s="1573" t="s">
        <v>8</v>
      </c>
      <c r="S43" s="1574">
        <f t="shared" si="12"/>
        <v>100</v>
      </c>
      <c r="T43" s="1573" t="s">
        <v>8</v>
      </c>
      <c r="U43" s="1574">
        <f t="shared" si="13"/>
        <v>100</v>
      </c>
      <c r="V43" s="1573" t="s">
        <v>8</v>
      </c>
      <c r="W43" s="1574">
        <f t="shared" si="14"/>
        <v>100</v>
      </c>
      <c r="X43" s="1567"/>
      <c r="Y43" s="372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720"/>
      <c r="Q44" s="1150">
        <f t="shared" si="11"/>
        <v>111</v>
      </c>
      <c r="R44" s="1568" t="s">
        <v>8</v>
      </c>
      <c r="S44" s="1569">
        <f t="shared" si="12"/>
        <v>100</v>
      </c>
      <c r="T44" s="1568" t="s">
        <v>8</v>
      </c>
      <c r="U44" s="1569">
        <f t="shared" si="13"/>
        <v>100</v>
      </c>
      <c r="V44" s="1568" t="s">
        <v>8</v>
      </c>
      <c r="W44" s="1569">
        <f t="shared" si="14"/>
        <v>100</v>
      </c>
      <c r="X44" s="1570"/>
      <c r="Y44" s="372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720"/>
      <c r="Q45" s="1572">
        <f t="shared" si="11"/>
        <v>111</v>
      </c>
      <c r="R45" s="1573" t="s">
        <v>8</v>
      </c>
      <c r="S45" s="1574">
        <f t="shared" si="12"/>
        <v>100</v>
      </c>
      <c r="T45" s="1573" t="s">
        <v>8</v>
      </c>
      <c r="U45" s="1574">
        <f t="shared" si="13"/>
        <v>100</v>
      </c>
      <c r="V45" s="1573" t="s">
        <v>8</v>
      </c>
      <c r="W45" s="1574">
        <f t="shared" si="14"/>
        <v>100</v>
      </c>
      <c r="X45" s="1567"/>
      <c r="Y45" s="3720"/>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798"/>
      <c r="Q46" s="1572">
        <f t="shared" si="11"/>
        <v>111</v>
      </c>
      <c r="R46" s="1573" t="s">
        <v>8</v>
      </c>
      <c r="S46" s="1574">
        <f t="shared" si="12"/>
        <v>100</v>
      </c>
      <c r="T46" s="1573" t="s">
        <v>8</v>
      </c>
      <c r="U46" s="1574">
        <f t="shared" si="13"/>
        <v>100</v>
      </c>
      <c r="V46" s="1573" t="s">
        <v>8</v>
      </c>
      <c r="W46" s="1574">
        <f t="shared" si="14"/>
        <v>100</v>
      </c>
      <c r="X46" s="1567"/>
      <c r="Y46" s="3798"/>
      <c r="Z46" s="1575">
        <f t="shared" si="15"/>
        <v>111</v>
      </c>
      <c r="AA46" s="1576">
        <f t="shared" si="3"/>
        <v>1</v>
      </c>
      <c r="AB46" s="1576">
        <f t="shared" si="4"/>
        <v>1</v>
      </c>
      <c r="AC46" s="1576">
        <f t="shared" si="5"/>
        <v>1</v>
      </c>
    </row>
    <row r="47" spans="1:29" ht="15">
      <c r="A47" s="606" t="s">
        <v>737</v>
      </c>
      <c r="B47" s="886"/>
      <c r="C47" s="2651" t="s">
        <v>1</v>
      </c>
      <c r="D47" s="2652"/>
      <c r="E47" s="2653"/>
      <c r="F47" s="2654"/>
      <c r="G47" s="2655"/>
      <c r="H47" s="2656"/>
      <c r="I47" s="2653"/>
      <c r="J47" s="2656"/>
      <c r="K47" s="1611"/>
      <c r="L47" s="2144"/>
      <c r="M47" s="2145"/>
      <c r="N47" s="2134"/>
      <c r="O47" s="2145"/>
      <c r="P47" s="3681" t="str">
        <f>A47</f>
        <v>成交单价（元/平方米）</v>
      </c>
      <c r="Q47" s="3681"/>
      <c r="R47" s="3797">
        <f>E47</f>
        <v>0</v>
      </c>
      <c r="S47" s="3797"/>
      <c r="T47" s="3797">
        <f>G47</f>
        <v>0</v>
      </c>
      <c r="U47" s="3797"/>
      <c r="V47" s="3797">
        <f>I47</f>
        <v>0</v>
      </c>
      <c r="W47" s="3797"/>
      <c r="X47" s="1559"/>
      <c r="Y47" s="1581"/>
      <c r="Z47" s="1559"/>
      <c r="AA47" s="1559"/>
      <c r="AB47" s="1559"/>
      <c r="AC47" s="1559"/>
    </row>
    <row r="48" spans="1:29" ht="15.75" thickBot="1">
      <c r="A48" s="614" t="s">
        <v>2764</v>
      </c>
      <c r="B48" s="887"/>
      <c r="C48" s="2657" t="e">
        <f>R49</f>
        <v>#DIV/0!</v>
      </c>
      <c r="D48" s="2658"/>
      <c r="E48" s="2659" t="e">
        <f>R48</f>
        <v>#DIV/0!</v>
      </c>
      <c r="F48" s="2659"/>
      <c r="G48" s="2657" t="e">
        <f>T48</f>
        <v>#DIV/0!</v>
      </c>
      <c r="H48" s="2658"/>
      <c r="I48" s="2659" t="e">
        <f>V48</f>
        <v>#DIV/0!</v>
      </c>
      <c r="J48" s="2658"/>
      <c r="K48" s="1612"/>
      <c r="L48" s="2144"/>
      <c r="M48" s="2145"/>
      <c r="N48" s="2134"/>
      <c r="O48" s="2145"/>
      <c r="P48" s="3681" t="str">
        <f>A48</f>
        <v>比较价格（元/平方米）</v>
      </c>
      <c r="Q48" s="3681"/>
      <c r="R48" s="3797" t="e">
        <f>IF(F1="售价",ROUND(PRODUCT(R47,AA7:AA46),0),ROUND(PRODUCT(R47,AA7:AA46),1))</f>
        <v>#DIV/0!</v>
      </c>
      <c r="S48" s="3797"/>
      <c r="T48" s="3797" t="e">
        <f>IF(F1="售价",ROUND(PRODUCT(T47,AB7:AB46),0),ROUND(PRODUCT(T47,AB7:AB46),1))</f>
        <v>#DIV/0!</v>
      </c>
      <c r="U48" s="3797"/>
      <c r="V48" s="3797" t="e">
        <f>IF(F1="售价",ROUND(PRODUCT(V47,AC7:AC46),0),ROUND(PRODUCT(V47,AC7:AC46),1))</f>
        <v>#DIV/0!</v>
      </c>
      <c r="W48" s="3797"/>
      <c r="X48" s="1559"/>
      <c r="Y48" s="1559"/>
      <c r="Z48" s="1559"/>
      <c r="AA48" s="1559"/>
      <c r="AB48" s="1559"/>
      <c r="AC48" s="1559"/>
    </row>
    <row r="49" spans="1:29" ht="15.75" thickBot="1">
      <c r="A49" s="620" t="s">
        <v>2937</v>
      </c>
      <c r="B49" s="621"/>
      <c r="C49" s="2660" t="e">
        <f>R49</f>
        <v>#DIV/0!</v>
      </c>
      <c r="D49" s="2660"/>
      <c r="E49" s="2660"/>
      <c r="F49" s="2660"/>
      <c r="G49" s="2660"/>
      <c r="H49" s="2660"/>
      <c r="I49" s="2660"/>
      <c r="J49" s="2660"/>
      <c r="K49" s="1613"/>
      <c r="L49" s="2144"/>
      <c r="M49" s="2145"/>
      <c r="N49" s="2134"/>
      <c r="O49" s="2145"/>
      <c r="P49" s="3678" t="str">
        <f>A49</f>
        <v>估价对象XX用房的比较价格（楼面单价，元/平方米）</v>
      </c>
      <c r="Q49" s="3679"/>
      <c r="R49" s="3796" t="e">
        <f>IF(F1="售价",ROUND(AVERAGE(R48:V48),0),ROUND(AVERAGE(R48:V48),1))</f>
        <v>#DIV/0!</v>
      </c>
      <c r="S49" s="3796"/>
      <c r="T49" s="3796"/>
      <c r="U49" s="3796"/>
      <c r="V49" s="3796"/>
      <c r="W49" s="3796"/>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7" t="str">
        <f>YEAR(C7)&amp;"-"&amp;MONTH(C7)</f>
        <v>2018-1</v>
      </c>
      <c r="D58" s="2829">
        <f>EDATE(C58,-1)</f>
        <v>43070</v>
      </c>
      <c r="E58" s="2829">
        <f t="shared" ref="E58:O58" si="16">EDATE(D58,-1)</f>
        <v>43040</v>
      </c>
      <c r="F58" s="2829">
        <f t="shared" si="16"/>
        <v>43009</v>
      </c>
      <c r="G58" s="2829">
        <f t="shared" si="16"/>
        <v>42979</v>
      </c>
      <c r="H58" s="2829">
        <f t="shared" si="16"/>
        <v>42948</v>
      </c>
      <c r="I58" s="2829">
        <f t="shared" si="16"/>
        <v>42917</v>
      </c>
      <c r="J58" s="2829">
        <f t="shared" si="16"/>
        <v>42887</v>
      </c>
      <c r="K58" s="2829">
        <f t="shared" si="16"/>
        <v>42856</v>
      </c>
      <c r="L58" s="2829">
        <f t="shared" si="16"/>
        <v>42826</v>
      </c>
      <c r="M58" s="2829">
        <f t="shared" si="16"/>
        <v>42795</v>
      </c>
      <c r="N58" s="2829">
        <f t="shared" si="16"/>
        <v>42767</v>
      </c>
      <c r="O58" s="2829">
        <f t="shared" si="16"/>
        <v>42736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2560</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2"/>
      <c r="G1" s="1601" t="s">
        <v>722</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522</v>
      </c>
      <c r="B4" s="512"/>
      <c r="C4" s="3687" t="s">
        <v>523</v>
      </c>
      <c r="D4" s="3688"/>
      <c r="E4" s="3724" t="s">
        <v>524</v>
      </c>
      <c r="F4" s="3725"/>
      <c r="G4" s="3687" t="s">
        <v>525</v>
      </c>
      <c r="H4" s="3688"/>
      <c r="I4" s="3687" t="s">
        <v>526</v>
      </c>
      <c r="J4" s="3688"/>
      <c r="K4" s="513" t="s">
        <v>527</v>
      </c>
      <c r="L4" s="2133"/>
      <c r="M4" s="2134"/>
      <c r="N4" s="2134"/>
      <c r="O4" s="2134"/>
      <c r="P4" s="3802" t="s">
        <v>528</v>
      </c>
      <c r="Q4" s="3690"/>
      <c r="R4" s="3695" t="s">
        <v>524</v>
      </c>
      <c r="S4" s="3696"/>
      <c r="T4" s="3695" t="s">
        <v>525</v>
      </c>
      <c r="U4" s="3696"/>
      <c r="V4" s="3682" t="s">
        <v>526</v>
      </c>
      <c r="W4" s="3682"/>
      <c r="X4" s="1567"/>
      <c r="Y4" s="3695" t="s">
        <v>528</v>
      </c>
      <c r="Z4" s="3696"/>
      <c r="AA4" s="3684" t="s">
        <v>524</v>
      </c>
      <c r="AB4" s="3684" t="s">
        <v>525</v>
      </c>
      <c r="AC4" s="3684" t="s">
        <v>526</v>
      </c>
    </row>
    <row r="5" spans="1:29" ht="15">
      <c r="A5" s="514"/>
      <c r="B5" s="515"/>
      <c r="C5" s="3705" t="s">
        <v>2931</v>
      </c>
      <c r="D5" s="3704"/>
      <c r="E5" s="3726" t="s">
        <v>2932</v>
      </c>
      <c r="F5" s="3727"/>
      <c r="G5" s="3705" t="s">
        <v>2933</v>
      </c>
      <c r="H5" s="3704"/>
      <c r="I5" s="3705" t="s">
        <v>2934</v>
      </c>
      <c r="J5" s="3704"/>
      <c r="K5" s="513"/>
      <c r="L5" s="2133"/>
      <c r="M5" s="2134"/>
      <c r="N5" s="2134"/>
      <c r="O5" s="2134"/>
      <c r="P5" s="3803"/>
      <c r="Q5" s="3692"/>
      <c r="R5" s="3697"/>
      <c r="S5" s="3698"/>
      <c r="T5" s="3697"/>
      <c r="U5" s="3698"/>
      <c r="V5" s="3682"/>
      <c r="W5" s="3682"/>
      <c r="X5" s="1567"/>
      <c r="Y5" s="3697"/>
      <c r="Z5" s="3698"/>
      <c r="AA5" s="3685"/>
      <c r="AB5" s="3685"/>
      <c r="AC5" s="3685"/>
    </row>
    <row r="6" spans="1:29" ht="15.75" thickBot="1">
      <c r="A6" s="516"/>
      <c r="B6" s="517"/>
      <c r="C6" s="3721" t="s">
        <v>2935</v>
      </c>
      <c r="D6" s="3702"/>
      <c r="E6" s="3722" t="s">
        <v>2935</v>
      </c>
      <c r="F6" s="3723"/>
      <c r="G6" s="3721" t="s">
        <v>2935</v>
      </c>
      <c r="H6" s="3702"/>
      <c r="I6" s="3721" t="s">
        <v>2935</v>
      </c>
      <c r="J6" s="3702"/>
      <c r="K6" s="513" t="s">
        <v>529</v>
      </c>
      <c r="L6" s="2133"/>
      <c r="M6" s="2134"/>
      <c r="N6" s="2134"/>
      <c r="O6" s="2134"/>
      <c r="P6" s="3804"/>
      <c r="Q6" s="3694"/>
      <c r="R6" s="3697"/>
      <c r="S6" s="3698"/>
      <c r="T6" s="3699"/>
      <c r="U6" s="3700"/>
      <c r="V6" s="3682"/>
      <c r="W6" s="3682"/>
      <c r="X6" s="1567"/>
      <c r="Y6" s="3699"/>
      <c r="Z6" s="3700"/>
      <c r="AA6" s="3686"/>
      <c r="AB6" s="3686"/>
      <c r="AC6" s="3686"/>
    </row>
    <row r="7" spans="1:29" s="1219" customFormat="1" ht="15.75" thickBot="1">
      <c r="A7" s="2937"/>
      <c r="B7" s="2944" t="s">
        <v>530</v>
      </c>
      <c r="C7" s="518">
        <f>'数据-取费表'!B2</f>
        <v>43131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716" t="s">
        <v>531</v>
      </c>
      <c r="Q7" s="3716"/>
      <c r="R7" s="1568" t="s">
        <v>8</v>
      </c>
      <c r="S7" s="1569">
        <f t="shared" ref="S7:S15" si="0">F7</f>
        <v>0</v>
      </c>
      <c r="T7" s="1568" t="s">
        <v>8</v>
      </c>
      <c r="U7" s="1569">
        <f t="shared" ref="U7:U15" si="1">H7</f>
        <v>0</v>
      </c>
      <c r="V7" s="1568" t="s">
        <v>8</v>
      </c>
      <c r="W7" s="1569">
        <f t="shared" ref="W7:W15" si="2">J7</f>
        <v>0</v>
      </c>
      <c r="X7" s="1570"/>
      <c r="Y7" s="3714" t="s">
        <v>531</v>
      </c>
      <c r="Z7" s="3715"/>
      <c r="AA7" s="1571" t="e">
        <f>D7/F7</f>
        <v>#DIV/0!</v>
      </c>
      <c r="AB7" s="1571" t="e">
        <f>D7/H7</f>
        <v>#DIV/0!</v>
      </c>
      <c r="AC7" s="1571" t="e">
        <f>D7/J7</f>
        <v>#DIV/0!</v>
      </c>
    </row>
    <row r="8" spans="1:29" s="1219" customFormat="1" ht="15.75" thickBot="1">
      <c r="A8" s="2938"/>
      <c r="B8" s="2945"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716" t="s">
        <v>534</v>
      </c>
      <c r="Q8" s="3715"/>
      <c r="R8" s="1568" t="s">
        <v>8</v>
      </c>
      <c r="S8" s="1569">
        <f t="shared" si="0"/>
        <v>0</v>
      </c>
      <c r="T8" s="1568" t="s">
        <v>8</v>
      </c>
      <c r="U8" s="1569">
        <f t="shared" si="1"/>
        <v>0</v>
      </c>
      <c r="V8" s="1568" t="s">
        <v>8</v>
      </c>
      <c r="W8" s="1569">
        <f t="shared" si="2"/>
        <v>0</v>
      </c>
      <c r="X8" s="1570"/>
      <c r="Y8" s="3714" t="s">
        <v>534</v>
      </c>
      <c r="Z8" s="3715"/>
      <c r="AA8" s="1571" t="e">
        <f t="shared" ref="AA8:AA47" si="3">D8/F8</f>
        <v>#DIV/0!</v>
      </c>
      <c r="AB8" s="1571" t="e">
        <f t="shared" ref="AB8:AB47" si="4">D8/H8</f>
        <v>#DIV/0!</v>
      </c>
      <c r="AC8" s="1571" t="e">
        <f t="shared" ref="AC8:AC47" si="5">D8/J8</f>
        <v>#DIV/0!</v>
      </c>
    </row>
    <row r="9" spans="1:29" s="1219" customFormat="1" ht="15">
      <c r="A9" s="2939"/>
      <c r="B9" s="2946" t="s">
        <v>2760</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681" t="s">
        <v>536</v>
      </c>
      <c r="Q9" s="1150" t="str">
        <f t="shared" ref="Q9:Q15" si="6">B9</f>
        <v>用途</v>
      </c>
      <c r="R9" s="1568" t="s">
        <v>8</v>
      </c>
      <c r="S9" s="1569">
        <f t="shared" si="0"/>
        <v>100</v>
      </c>
      <c r="T9" s="1568" t="s">
        <v>8</v>
      </c>
      <c r="U9" s="1569">
        <f t="shared" si="1"/>
        <v>100</v>
      </c>
      <c r="V9" s="1568" t="s">
        <v>8</v>
      </c>
      <c r="W9" s="1569">
        <f t="shared" si="2"/>
        <v>100</v>
      </c>
      <c r="X9" s="1570"/>
      <c r="Y9" s="3627"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681"/>
      <c r="Q10" s="1150" t="str">
        <f t="shared" si="6"/>
        <v>土地使用年限（年）</v>
      </c>
      <c r="R10" s="1568" t="s">
        <v>8</v>
      </c>
      <c r="S10" s="1569">
        <f t="shared" si="0"/>
        <v>100</v>
      </c>
      <c r="T10" s="1568" t="s">
        <v>8</v>
      </c>
      <c r="U10" s="1569">
        <f t="shared" si="1"/>
        <v>100</v>
      </c>
      <c r="V10" s="1568" t="s">
        <v>8</v>
      </c>
      <c r="W10" s="1569">
        <f t="shared" si="2"/>
        <v>100</v>
      </c>
      <c r="X10" s="1570"/>
      <c r="Y10" s="3627"/>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681"/>
      <c r="Q11" s="1150" t="str">
        <f t="shared" si="6"/>
        <v>容积率</v>
      </c>
      <c r="R11" s="1568" t="s">
        <v>8</v>
      </c>
      <c r="S11" s="1569" t="e">
        <f t="shared" si="0"/>
        <v>#N/A</v>
      </c>
      <c r="T11" s="1568" t="s">
        <v>8</v>
      </c>
      <c r="U11" s="1569" t="e">
        <f t="shared" si="1"/>
        <v>#N/A</v>
      </c>
      <c r="V11" s="1568" t="s">
        <v>8</v>
      </c>
      <c r="W11" s="1569" t="e">
        <f t="shared" si="2"/>
        <v>#N/A</v>
      </c>
      <c r="X11" s="1570"/>
      <c r="Y11" s="3627"/>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681"/>
      <c r="Q12" s="1150">
        <f t="shared" si="6"/>
        <v>111</v>
      </c>
      <c r="R12" s="1568" t="s">
        <v>8</v>
      </c>
      <c r="S12" s="1569">
        <f t="shared" si="0"/>
        <v>100</v>
      </c>
      <c r="T12" s="1568" t="s">
        <v>8</v>
      </c>
      <c r="U12" s="1569">
        <f t="shared" si="1"/>
        <v>100</v>
      </c>
      <c r="V12" s="1568" t="s">
        <v>8</v>
      </c>
      <c r="W12" s="1569">
        <f t="shared" si="2"/>
        <v>100</v>
      </c>
      <c r="X12" s="1570"/>
      <c r="Y12" s="3627"/>
      <c r="Z12" s="1149">
        <f t="shared" si="7"/>
        <v>111</v>
      </c>
      <c r="AA12" s="1571">
        <f>D12/F12</f>
        <v>1</v>
      </c>
      <c r="AB12" s="1571">
        <f>D12/H12</f>
        <v>1</v>
      </c>
      <c r="AC12" s="1571">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681"/>
      <c r="Q13" s="1150">
        <f t="shared" si="6"/>
        <v>111</v>
      </c>
      <c r="R13" s="1568" t="s">
        <v>8</v>
      </c>
      <c r="S13" s="1569">
        <f t="shared" si="0"/>
        <v>100</v>
      </c>
      <c r="T13" s="1568" t="s">
        <v>8</v>
      </c>
      <c r="U13" s="1569">
        <f t="shared" si="1"/>
        <v>100</v>
      </c>
      <c r="V13" s="1568" t="s">
        <v>8</v>
      </c>
      <c r="W13" s="1569">
        <f t="shared" si="2"/>
        <v>100</v>
      </c>
      <c r="X13" s="1570"/>
      <c r="Y13" s="3627"/>
      <c r="Z13" s="1149">
        <f t="shared" si="7"/>
        <v>111</v>
      </c>
      <c r="AA13" s="1571">
        <f t="shared" si="3"/>
        <v>1</v>
      </c>
      <c r="AB13" s="1571">
        <f t="shared" si="4"/>
        <v>1</v>
      </c>
      <c r="AC13" s="1571">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681"/>
      <c r="Q14" s="1150">
        <f t="shared" si="6"/>
        <v>111</v>
      </c>
      <c r="R14" s="1568" t="s">
        <v>8</v>
      </c>
      <c r="S14" s="1569">
        <f t="shared" si="0"/>
        <v>100</v>
      </c>
      <c r="T14" s="1568" t="s">
        <v>8</v>
      </c>
      <c r="U14" s="1569">
        <f t="shared" si="1"/>
        <v>100</v>
      </c>
      <c r="V14" s="1568" t="s">
        <v>8</v>
      </c>
      <c r="W14" s="1569">
        <f t="shared" si="2"/>
        <v>100</v>
      </c>
      <c r="X14" s="1570"/>
      <c r="Y14" s="3627"/>
      <c r="Z14" s="1149">
        <f t="shared" si="7"/>
        <v>111</v>
      </c>
      <c r="AA14" s="1571">
        <f t="shared" si="3"/>
        <v>1</v>
      </c>
      <c r="AB14" s="1571">
        <f t="shared" si="4"/>
        <v>1</v>
      </c>
      <c r="AC14" s="1571">
        <f t="shared" si="5"/>
        <v>1</v>
      </c>
    </row>
    <row r="15" spans="1:29" ht="71.25">
      <c r="A15" s="2935" t="s">
        <v>2758</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717" t="s">
        <v>541</v>
      </c>
      <c r="Q15" s="1572" t="str">
        <f t="shared" si="6"/>
        <v>办公集聚程度</v>
      </c>
      <c r="R15" s="1573" t="s">
        <v>8</v>
      </c>
      <c r="S15" s="1574">
        <f t="shared" si="0"/>
        <v>100</v>
      </c>
      <c r="T15" s="1573" t="s">
        <v>8</v>
      </c>
      <c r="U15" s="1574">
        <f t="shared" si="1"/>
        <v>100</v>
      </c>
      <c r="V15" s="1573" t="s">
        <v>8</v>
      </c>
      <c r="W15" s="1574">
        <f t="shared" si="2"/>
        <v>100</v>
      </c>
      <c r="X15" s="1567"/>
      <c r="Y15" s="3717"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3718"/>
      <c r="Q16" s="1572"/>
      <c r="R16" s="1573"/>
      <c r="S16" s="1574"/>
      <c r="T16" s="1573"/>
      <c r="U16" s="1574"/>
      <c r="V16" s="1573"/>
      <c r="W16" s="1574"/>
      <c r="X16" s="1567"/>
      <c r="Y16" s="3718"/>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718"/>
      <c r="Q17" s="1572" t="str">
        <f>B17</f>
        <v>交通便捷度</v>
      </c>
      <c r="R17" s="1573" t="s">
        <v>8</v>
      </c>
      <c r="S17" s="1574">
        <f>F17</f>
        <v>100</v>
      </c>
      <c r="T17" s="1573" t="s">
        <v>8</v>
      </c>
      <c r="U17" s="1574">
        <f>H17</f>
        <v>100</v>
      </c>
      <c r="V17" s="1573" t="s">
        <v>8</v>
      </c>
      <c r="W17" s="1574">
        <f>J17</f>
        <v>100</v>
      </c>
      <c r="X17" s="1567"/>
      <c r="Y17" s="3718"/>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3718"/>
      <c r="Q18" s="1572"/>
      <c r="R18" s="1573"/>
      <c r="S18" s="1574"/>
      <c r="T18" s="1573"/>
      <c r="U18" s="1574"/>
      <c r="V18" s="1573"/>
      <c r="W18" s="1574"/>
      <c r="X18" s="1567"/>
      <c r="Y18" s="3718"/>
      <c r="Z18" s="1575"/>
      <c r="AA18" s="1576">
        <v>1</v>
      </c>
      <c r="AB18" s="1576">
        <v>1</v>
      </c>
      <c r="AC18" s="1576">
        <v>1</v>
      </c>
    </row>
    <row r="19" spans="1:29" ht="42.75">
      <c r="A19" s="531"/>
      <c r="B19" s="2627" t="s">
        <v>2550</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718"/>
      <c r="Q19" s="1572" t="str">
        <f>B19</f>
        <v>公共配套设施</v>
      </c>
      <c r="R19" s="1573" t="s">
        <v>8</v>
      </c>
      <c r="S19" s="1574">
        <f>F19</f>
        <v>100</v>
      </c>
      <c r="T19" s="1573" t="s">
        <v>8</v>
      </c>
      <c r="U19" s="1574">
        <f>H19</f>
        <v>100</v>
      </c>
      <c r="V19" s="1573" t="s">
        <v>8</v>
      </c>
      <c r="W19" s="1574">
        <f>J19</f>
        <v>100</v>
      </c>
      <c r="X19" s="1567"/>
      <c r="Y19" s="3718"/>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3718"/>
      <c r="Q20" s="1572"/>
      <c r="R20" s="1573"/>
      <c r="S20" s="1574"/>
      <c r="T20" s="1573"/>
      <c r="U20" s="1574"/>
      <c r="V20" s="1573"/>
      <c r="W20" s="1574"/>
      <c r="X20" s="1567"/>
      <c r="Y20" s="3718"/>
      <c r="Z20" s="1575"/>
      <c r="AA20" s="1576">
        <v>1</v>
      </c>
      <c r="AB20" s="1576">
        <v>1</v>
      </c>
      <c r="AC20" s="1576">
        <v>1</v>
      </c>
    </row>
    <row r="21" spans="1:29" ht="28.5">
      <c r="A21" s="531"/>
      <c r="B21" s="2615" t="s">
        <v>2562</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718"/>
      <c r="Q21" s="2603" t="str">
        <f>B21</f>
        <v>基础设施水平</v>
      </c>
      <c r="R21" s="1573" t="s">
        <v>8</v>
      </c>
      <c r="S21" s="1574">
        <f>F21</f>
        <v>100</v>
      </c>
      <c r="T21" s="1573" t="s">
        <v>8</v>
      </c>
      <c r="U21" s="1574">
        <f>H21</f>
        <v>100</v>
      </c>
      <c r="V21" s="1573" t="s">
        <v>8</v>
      </c>
      <c r="W21" s="1574">
        <f>J21</f>
        <v>100</v>
      </c>
      <c r="X21" s="2605"/>
      <c r="Y21" s="3718"/>
      <c r="Z21" s="2604"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6"/>
      <c r="L22" s="2142"/>
      <c r="M22" s="2134"/>
      <c r="N22" s="2134"/>
      <c r="O22" s="2134"/>
      <c r="P22" s="3718"/>
      <c r="Q22" s="2603"/>
      <c r="R22" s="1573"/>
      <c r="S22" s="1574"/>
      <c r="T22" s="1573"/>
      <c r="U22" s="1574"/>
      <c r="V22" s="1573"/>
      <c r="W22" s="1574"/>
      <c r="X22" s="2605"/>
      <c r="Y22" s="3718"/>
      <c r="Z22" s="2604"/>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718"/>
      <c r="Q23" s="1572" t="str">
        <f>B23</f>
        <v>环境质量</v>
      </c>
      <c r="R23" s="1573" t="s">
        <v>8</v>
      </c>
      <c r="S23" s="1574">
        <f>F23</f>
        <v>100</v>
      </c>
      <c r="T23" s="1573" t="s">
        <v>8</v>
      </c>
      <c r="U23" s="1574">
        <f>H23</f>
        <v>100</v>
      </c>
      <c r="V23" s="1573" t="s">
        <v>8</v>
      </c>
      <c r="W23" s="1574">
        <f>J23</f>
        <v>100</v>
      </c>
      <c r="X23" s="1567"/>
      <c r="Y23" s="3718"/>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3718"/>
      <c r="Q24" s="1572"/>
      <c r="R24" s="1573"/>
      <c r="S24" s="1574"/>
      <c r="T24" s="1573"/>
      <c r="U24" s="1574"/>
      <c r="V24" s="1573"/>
      <c r="W24" s="1574"/>
      <c r="X24" s="1567"/>
      <c r="Y24" s="3718"/>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718"/>
      <c r="Q25" s="1572" t="str">
        <f>B25</f>
        <v>毗邻道路的类型与等级</v>
      </c>
      <c r="R25" s="1573" t="s">
        <v>8</v>
      </c>
      <c r="S25" s="1574">
        <f>F25</f>
        <v>100</v>
      </c>
      <c r="T25" s="1573" t="s">
        <v>8</v>
      </c>
      <c r="U25" s="1574">
        <f>H25</f>
        <v>100</v>
      </c>
      <c r="V25" s="1573" t="s">
        <v>8</v>
      </c>
      <c r="W25" s="1574">
        <f>J25</f>
        <v>100</v>
      </c>
      <c r="X25" s="1567"/>
      <c r="Y25" s="3718"/>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3718"/>
      <c r="Q26" s="1572"/>
      <c r="R26" s="1573"/>
      <c r="S26" s="1574"/>
      <c r="T26" s="1573"/>
      <c r="U26" s="1574"/>
      <c r="V26" s="1573"/>
      <c r="W26" s="1574"/>
      <c r="X26" s="1567"/>
      <c r="Y26" s="3718"/>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718"/>
      <c r="Q27" s="1572" t="str">
        <f t="shared" ref="Q27:Q47" si="11">B27</f>
        <v>楼层</v>
      </c>
      <c r="R27" s="1573" t="s">
        <v>8</v>
      </c>
      <c r="S27" s="1574">
        <f>F27</f>
        <v>100</v>
      </c>
      <c r="T27" s="1573" t="s">
        <v>8</v>
      </c>
      <c r="U27" s="1574">
        <f>H27</f>
        <v>100</v>
      </c>
      <c r="V27" s="1573" t="s">
        <v>8</v>
      </c>
      <c r="W27" s="1574">
        <f>J27</f>
        <v>100</v>
      </c>
      <c r="X27" s="1567"/>
      <c r="Y27" s="3718"/>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718"/>
      <c r="Q28" s="1150" t="str">
        <f t="shared" si="11"/>
        <v>朝向</v>
      </c>
      <c r="R28" s="1568" t="s">
        <v>8</v>
      </c>
      <c r="S28" s="1569">
        <f>F28</f>
        <v>100</v>
      </c>
      <c r="T28" s="1568" t="s">
        <v>8</v>
      </c>
      <c r="U28" s="1569">
        <f>H28</f>
        <v>100</v>
      </c>
      <c r="V28" s="1568" t="s">
        <v>8</v>
      </c>
      <c r="W28" s="1569">
        <f>J28</f>
        <v>100</v>
      </c>
      <c r="X28" s="1570"/>
      <c r="Y28" s="3718"/>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718"/>
      <c r="Q29" s="1572">
        <f t="shared" si="11"/>
        <v>111</v>
      </c>
      <c r="R29" s="1573" t="s">
        <v>8</v>
      </c>
      <c r="S29" s="1574">
        <f t="shared" ref="S29:S47" si="12">F29</f>
        <v>100</v>
      </c>
      <c r="T29" s="1573" t="s">
        <v>8</v>
      </c>
      <c r="U29" s="1574">
        <f t="shared" ref="U29:U47" si="13">H29</f>
        <v>100</v>
      </c>
      <c r="V29" s="1573" t="s">
        <v>8</v>
      </c>
      <c r="W29" s="1574">
        <f t="shared" ref="W29:W47" si="14">J29</f>
        <v>100</v>
      </c>
      <c r="X29" s="1567"/>
      <c r="Y29" s="3718"/>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718"/>
      <c r="Q30" s="1572">
        <f t="shared" si="11"/>
        <v>111</v>
      </c>
      <c r="R30" s="1573" t="s">
        <v>8</v>
      </c>
      <c r="S30" s="1574">
        <f t="shared" si="12"/>
        <v>100</v>
      </c>
      <c r="T30" s="1573" t="s">
        <v>8</v>
      </c>
      <c r="U30" s="1574">
        <f t="shared" si="13"/>
        <v>100</v>
      </c>
      <c r="V30" s="1573" t="s">
        <v>8</v>
      </c>
      <c r="W30" s="1574">
        <f t="shared" si="14"/>
        <v>100</v>
      </c>
      <c r="X30" s="1567"/>
      <c r="Y30" s="3718"/>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718"/>
      <c r="Q31" s="1572">
        <f t="shared" si="11"/>
        <v>111</v>
      </c>
      <c r="R31" s="1573" t="s">
        <v>8</v>
      </c>
      <c r="S31" s="1574">
        <f t="shared" si="12"/>
        <v>100</v>
      </c>
      <c r="T31" s="1573" t="s">
        <v>8</v>
      </c>
      <c r="U31" s="1574">
        <f t="shared" si="13"/>
        <v>100</v>
      </c>
      <c r="V31" s="1573" t="s">
        <v>8</v>
      </c>
      <c r="W31" s="1574">
        <f t="shared" si="14"/>
        <v>100</v>
      </c>
      <c r="X31" s="1567"/>
      <c r="Y31" s="3718"/>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718"/>
      <c r="Q32" s="1572">
        <f t="shared" si="11"/>
        <v>111</v>
      </c>
      <c r="R32" s="1573" t="s">
        <v>8</v>
      </c>
      <c r="S32" s="1574">
        <f t="shared" si="12"/>
        <v>100</v>
      </c>
      <c r="T32" s="1573" t="s">
        <v>8</v>
      </c>
      <c r="U32" s="1574">
        <f t="shared" si="13"/>
        <v>100</v>
      </c>
      <c r="V32" s="1573" t="s">
        <v>8</v>
      </c>
      <c r="W32" s="1574">
        <f t="shared" si="14"/>
        <v>100</v>
      </c>
      <c r="X32" s="1567"/>
      <c r="Y32" s="3718"/>
      <c r="Z32" s="1575">
        <f t="shared" si="15"/>
        <v>111</v>
      </c>
      <c r="AA32" s="1576">
        <f t="shared" si="3"/>
        <v>1</v>
      </c>
      <c r="AB32" s="1576">
        <f t="shared" si="4"/>
        <v>1</v>
      </c>
      <c r="AC32" s="1576">
        <f t="shared" si="5"/>
        <v>1</v>
      </c>
    </row>
    <row r="33" spans="1:29" ht="15">
      <c r="A33" s="2932" t="s">
        <v>2759</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719" t="s">
        <v>551</v>
      </c>
      <c r="Q33" s="1572" t="str">
        <f t="shared" si="11"/>
        <v>建筑类型</v>
      </c>
      <c r="R33" s="1573" t="s">
        <v>8</v>
      </c>
      <c r="S33" s="1574">
        <f t="shared" si="12"/>
        <v>100</v>
      </c>
      <c r="T33" s="1573" t="s">
        <v>8</v>
      </c>
      <c r="U33" s="1574">
        <f t="shared" si="13"/>
        <v>100</v>
      </c>
      <c r="V33" s="1573" t="s">
        <v>8</v>
      </c>
      <c r="W33" s="1574">
        <f t="shared" si="14"/>
        <v>100</v>
      </c>
      <c r="X33" s="1567"/>
      <c r="Y33" s="3720"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720"/>
      <c r="Q34" s="1605" t="str">
        <f t="shared" si="11"/>
        <v>项目建筑规模</v>
      </c>
      <c r="R34" s="1577" t="s">
        <v>8</v>
      </c>
      <c r="S34" s="1578" t="e">
        <f t="shared" si="12"/>
        <v>#N/A</v>
      </c>
      <c r="T34" s="1577" t="s">
        <v>8</v>
      </c>
      <c r="U34" s="1578" t="e">
        <f t="shared" si="13"/>
        <v>#N/A</v>
      </c>
      <c r="V34" s="1577" t="s">
        <v>8</v>
      </c>
      <c r="W34" s="1578" t="e">
        <f t="shared" si="14"/>
        <v>#N/A</v>
      </c>
      <c r="X34" s="1579"/>
      <c r="Y34" s="3720"/>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720"/>
      <c r="Q35" s="1572" t="str">
        <f t="shared" si="11"/>
        <v>建筑结构</v>
      </c>
      <c r="R35" s="1573" t="s">
        <v>8</v>
      </c>
      <c r="S35" s="1574">
        <f t="shared" si="12"/>
        <v>100</v>
      </c>
      <c r="T35" s="1573" t="s">
        <v>8</v>
      </c>
      <c r="U35" s="1574">
        <f t="shared" si="13"/>
        <v>100</v>
      </c>
      <c r="V35" s="1573" t="s">
        <v>8</v>
      </c>
      <c r="W35" s="1574">
        <f t="shared" si="14"/>
        <v>100</v>
      </c>
      <c r="X35" s="1567"/>
      <c r="Y35" s="3720"/>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720"/>
      <c r="Q36" s="1572" t="str">
        <f t="shared" si="11"/>
        <v>公共部分装修</v>
      </c>
      <c r="R36" s="1573" t="s">
        <v>8</v>
      </c>
      <c r="S36" s="1574">
        <f t="shared" si="12"/>
        <v>100</v>
      </c>
      <c r="T36" s="1573" t="s">
        <v>8</v>
      </c>
      <c r="U36" s="1574">
        <f t="shared" si="13"/>
        <v>100</v>
      </c>
      <c r="V36" s="1573" t="s">
        <v>8</v>
      </c>
      <c r="W36" s="1574">
        <f t="shared" si="14"/>
        <v>100</v>
      </c>
      <c r="X36" s="1567"/>
      <c r="Y36" s="3720"/>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720"/>
      <c r="Q37" s="1572" t="str">
        <f t="shared" si="11"/>
        <v>成新度</v>
      </c>
      <c r="R37" s="1573" t="s">
        <v>8</v>
      </c>
      <c r="S37" s="1574" t="e">
        <f t="shared" si="12"/>
        <v>#N/A</v>
      </c>
      <c r="T37" s="1573" t="s">
        <v>8</v>
      </c>
      <c r="U37" s="1574" t="e">
        <f t="shared" si="13"/>
        <v>#N/A</v>
      </c>
      <c r="V37" s="1573" t="s">
        <v>8</v>
      </c>
      <c r="W37" s="1574" t="e">
        <f t="shared" si="14"/>
        <v>#N/A</v>
      </c>
      <c r="X37" s="1567"/>
      <c r="Y37" s="3720"/>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720"/>
      <c r="Q38" s="1150" t="str">
        <f t="shared" si="11"/>
        <v>写字楼等级</v>
      </c>
      <c r="R38" s="1568" t="s">
        <v>8</v>
      </c>
      <c r="S38" s="1569">
        <f t="shared" si="12"/>
        <v>100</v>
      </c>
      <c r="T38" s="1568" t="s">
        <v>8</v>
      </c>
      <c r="U38" s="1569">
        <f t="shared" si="13"/>
        <v>100</v>
      </c>
      <c r="V38" s="1568" t="s">
        <v>8</v>
      </c>
      <c r="W38" s="1569">
        <f t="shared" si="14"/>
        <v>100</v>
      </c>
      <c r="X38" s="1570"/>
      <c r="Y38" s="3720"/>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720" t="s">
        <v>551</v>
      </c>
      <c r="Q39" s="1572" t="str">
        <f t="shared" si="11"/>
        <v>物业管理</v>
      </c>
      <c r="R39" s="1573" t="s">
        <v>8</v>
      </c>
      <c r="S39" s="1574">
        <f t="shared" si="12"/>
        <v>100</v>
      </c>
      <c r="T39" s="1573" t="s">
        <v>8</v>
      </c>
      <c r="U39" s="1574">
        <f t="shared" si="13"/>
        <v>100</v>
      </c>
      <c r="V39" s="1573" t="s">
        <v>8</v>
      </c>
      <c r="W39" s="1574">
        <f t="shared" si="14"/>
        <v>100</v>
      </c>
      <c r="X39" s="1567"/>
      <c r="Y39" s="3720" t="s">
        <v>551</v>
      </c>
      <c r="Z39" s="1575" t="str">
        <f t="shared" si="15"/>
        <v>物业管理</v>
      </c>
      <c r="AA39" s="1576">
        <f t="shared" si="3"/>
        <v>1</v>
      </c>
      <c r="AB39" s="1576">
        <f t="shared" si="4"/>
        <v>1</v>
      </c>
      <c r="AC39" s="1576">
        <f t="shared" si="5"/>
        <v>1</v>
      </c>
    </row>
    <row r="40" spans="1:29" ht="15">
      <c r="A40" s="593"/>
      <c r="B40" s="1895" t="s">
        <v>2569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720"/>
      <c r="Q40" s="1572" t="str">
        <f t="shared" si="11"/>
        <v>市政基础设施</v>
      </c>
      <c r="R40" s="1573" t="s">
        <v>8</v>
      </c>
      <c r="S40" s="1574">
        <f t="shared" si="12"/>
        <v>100</v>
      </c>
      <c r="T40" s="1573" t="s">
        <v>8</v>
      </c>
      <c r="U40" s="1574">
        <f t="shared" si="13"/>
        <v>100</v>
      </c>
      <c r="V40" s="1573" t="s">
        <v>8</v>
      </c>
      <c r="W40" s="1574">
        <f t="shared" si="14"/>
        <v>100</v>
      </c>
      <c r="X40" s="1567"/>
      <c r="Y40" s="3720"/>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720"/>
      <c r="Q41" s="1572" t="str">
        <f t="shared" si="11"/>
        <v>层高</v>
      </c>
      <c r="R41" s="1573" t="s">
        <v>8</v>
      </c>
      <c r="S41" s="1574">
        <f t="shared" si="12"/>
        <v>100</v>
      </c>
      <c r="T41" s="1573" t="s">
        <v>8</v>
      </c>
      <c r="U41" s="1574">
        <f t="shared" si="13"/>
        <v>100</v>
      </c>
      <c r="V41" s="1573" t="s">
        <v>8</v>
      </c>
      <c r="W41" s="1574">
        <f t="shared" si="14"/>
        <v>100</v>
      </c>
      <c r="X41" s="1567"/>
      <c r="Y41" s="3720"/>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720"/>
      <c r="Q42" s="1605" t="str">
        <f t="shared" si="11"/>
        <v>单套建筑面积</v>
      </c>
      <c r="R42" s="1577" t="s">
        <v>8</v>
      </c>
      <c r="S42" s="1578">
        <f t="shared" si="12"/>
        <v>100</v>
      </c>
      <c r="T42" s="1577" t="s">
        <v>8</v>
      </c>
      <c r="U42" s="1578">
        <f t="shared" si="13"/>
        <v>100</v>
      </c>
      <c r="V42" s="1577" t="s">
        <v>8</v>
      </c>
      <c r="W42" s="1578">
        <f t="shared" si="14"/>
        <v>100</v>
      </c>
      <c r="X42" s="1579"/>
      <c r="Y42" s="3720"/>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720"/>
      <c r="Q43" s="1572" t="str">
        <f t="shared" si="11"/>
        <v>内部装修</v>
      </c>
      <c r="R43" s="1573" t="s">
        <v>8</v>
      </c>
      <c r="S43" s="1574">
        <f t="shared" si="12"/>
        <v>100</v>
      </c>
      <c r="T43" s="1573" t="s">
        <v>8</v>
      </c>
      <c r="U43" s="1574">
        <f t="shared" si="13"/>
        <v>100</v>
      </c>
      <c r="V43" s="1573" t="s">
        <v>8</v>
      </c>
      <c r="W43" s="1574">
        <f t="shared" si="14"/>
        <v>100</v>
      </c>
      <c r="X43" s="1567"/>
      <c r="Y43" s="3720"/>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720"/>
      <c r="Q44" s="1572" t="str">
        <f t="shared" si="11"/>
        <v>内部装修维护情况</v>
      </c>
      <c r="R44" s="1573" t="s">
        <v>8</v>
      </c>
      <c r="S44" s="1574">
        <f t="shared" si="12"/>
        <v>100</v>
      </c>
      <c r="T44" s="1573" t="s">
        <v>8</v>
      </c>
      <c r="U44" s="1574">
        <f t="shared" si="13"/>
        <v>100</v>
      </c>
      <c r="V44" s="1573" t="s">
        <v>8</v>
      </c>
      <c r="W44" s="1574">
        <f t="shared" si="14"/>
        <v>100</v>
      </c>
      <c r="X44" s="1567"/>
      <c r="Y44" s="3720"/>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720"/>
      <c r="Q45" s="1150">
        <f t="shared" si="11"/>
        <v>111</v>
      </c>
      <c r="R45" s="1568" t="s">
        <v>8</v>
      </c>
      <c r="S45" s="1569">
        <f t="shared" si="12"/>
        <v>100</v>
      </c>
      <c r="T45" s="1568" t="s">
        <v>8</v>
      </c>
      <c r="U45" s="1569">
        <f t="shared" si="13"/>
        <v>100</v>
      </c>
      <c r="V45" s="1568" t="s">
        <v>8</v>
      </c>
      <c r="W45" s="1569">
        <f t="shared" si="14"/>
        <v>100</v>
      </c>
      <c r="X45" s="1570"/>
      <c r="Y45" s="3720"/>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720"/>
      <c r="Q46" s="1572">
        <f t="shared" si="11"/>
        <v>111</v>
      </c>
      <c r="R46" s="1573" t="s">
        <v>8</v>
      </c>
      <c r="S46" s="1574">
        <f t="shared" si="12"/>
        <v>100</v>
      </c>
      <c r="T46" s="1573" t="s">
        <v>8</v>
      </c>
      <c r="U46" s="1574">
        <f t="shared" si="13"/>
        <v>100</v>
      </c>
      <c r="V46" s="1573" t="s">
        <v>8</v>
      </c>
      <c r="W46" s="1574">
        <f t="shared" si="14"/>
        <v>100</v>
      </c>
      <c r="X46" s="1567"/>
      <c r="Y46" s="3720"/>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798"/>
      <c r="Q47" s="1572">
        <f t="shared" si="11"/>
        <v>111</v>
      </c>
      <c r="R47" s="1573" t="s">
        <v>8</v>
      </c>
      <c r="S47" s="1574">
        <f t="shared" si="12"/>
        <v>100</v>
      </c>
      <c r="T47" s="1573" t="s">
        <v>8</v>
      </c>
      <c r="U47" s="1574">
        <f t="shared" si="13"/>
        <v>100</v>
      </c>
      <c r="V47" s="1573" t="s">
        <v>8</v>
      </c>
      <c r="W47" s="1574">
        <f t="shared" si="14"/>
        <v>100</v>
      </c>
      <c r="X47" s="1567"/>
      <c r="Y47" s="3798"/>
      <c r="Z47" s="1575">
        <f t="shared" si="15"/>
        <v>111</v>
      </c>
      <c r="AA47" s="1576">
        <f t="shared" si="3"/>
        <v>1</v>
      </c>
      <c r="AB47" s="1576">
        <f t="shared" si="4"/>
        <v>1</v>
      </c>
      <c r="AC47" s="1576">
        <f t="shared" si="5"/>
        <v>1</v>
      </c>
    </row>
    <row r="48" spans="1:29" ht="15">
      <c r="A48" s="606" t="s">
        <v>737</v>
      </c>
      <c r="B48" s="886"/>
      <c r="C48" s="2651" t="s">
        <v>1</v>
      </c>
      <c r="D48" s="2652"/>
      <c r="E48" s="2653"/>
      <c r="F48" s="2654"/>
      <c r="G48" s="2655"/>
      <c r="H48" s="2656"/>
      <c r="I48" s="2653"/>
      <c r="J48" s="2656"/>
      <c r="K48" s="1611"/>
      <c r="L48" s="2144"/>
      <c r="M48" s="2134"/>
      <c r="N48" s="2134"/>
      <c r="O48" s="2134"/>
      <c r="P48" s="3679" t="str">
        <f>A48</f>
        <v>成交单价（元/平方米）</v>
      </c>
      <c r="Q48" s="3681"/>
      <c r="R48" s="3797">
        <f>E48</f>
        <v>0</v>
      </c>
      <c r="S48" s="3797"/>
      <c r="T48" s="3797">
        <f>G48</f>
        <v>0</v>
      </c>
      <c r="U48" s="3797"/>
      <c r="V48" s="3797">
        <f>I48</f>
        <v>0</v>
      </c>
      <c r="W48" s="3797"/>
      <c r="X48" s="1559"/>
      <c r="Y48" s="1581"/>
      <c r="Z48" s="1559"/>
      <c r="AA48" s="1559"/>
      <c r="AB48" s="1559"/>
      <c r="AC48" s="1559"/>
    </row>
    <row r="49" spans="1:29" ht="15.75" thickBot="1">
      <c r="A49" s="614" t="s">
        <v>2764</v>
      </c>
      <c r="B49" s="887"/>
      <c r="C49" s="2657" t="e">
        <f>R50</f>
        <v>#DIV/0!</v>
      </c>
      <c r="D49" s="2658"/>
      <c r="E49" s="2659" t="e">
        <f>R49</f>
        <v>#DIV/0!</v>
      </c>
      <c r="F49" s="2659"/>
      <c r="G49" s="2657" t="e">
        <f>T49</f>
        <v>#DIV/0!</v>
      </c>
      <c r="H49" s="2658"/>
      <c r="I49" s="2659" t="e">
        <f>V49</f>
        <v>#DIV/0!</v>
      </c>
      <c r="J49" s="2658"/>
      <c r="K49" s="1612"/>
      <c r="L49" s="2144"/>
      <c r="M49" s="2134"/>
      <c r="N49" s="2134"/>
      <c r="O49" s="2134"/>
      <c r="P49" s="3679" t="str">
        <f>A49</f>
        <v>比较价格（元/平方米）</v>
      </c>
      <c r="Q49" s="3681"/>
      <c r="R49" s="3797" t="e">
        <f>IF(F1="售价",ROUND(PRODUCT(R48,AA7:AA47),0),ROUND(PRODUCT(R48,AA7:AA47),1))</f>
        <v>#DIV/0!</v>
      </c>
      <c r="S49" s="3797"/>
      <c r="T49" s="3797" t="e">
        <f>IF(F1="售价",ROUND(PRODUCT(T48,AB7:AB47),0),ROUND(PRODUCT(T48,AB7:AB47),1))</f>
        <v>#DIV/0!</v>
      </c>
      <c r="U49" s="3797"/>
      <c r="V49" s="3797" t="e">
        <f>IF(F1="售价",ROUND(PRODUCT(V48,AC7:AC47),0),ROUND(PRODUCT(V48,AC7:AC47),1))</f>
        <v>#DIV/0!</v>
      </c>
      <c r="W49" s="3797"/>
      <c r="X49" s="1559"/>
      <c r="Y49" s="1559"/>
      <c r="Z49" s="1559"/>
      <c r="AA49" s="1559"/>
      <c r="AB49" s="1559"/>
      <c r="AC49" s="1559"/>
    </row>
    <row r="50" spans="1:29" ht="15.75" thickBot="1">
      <c r="A50" s="620" t="s">
        <v>2937</v>
      </c>
      <c r="B50" s="621"/>
      <c r="C50" s="2660" t="e">
        <f>R50</f>
        <v>#DIV/0!</v>
      </c>
      <c r="D50" s="2660"/>
      <c r="E50" s="2660"/>
      <c r="F50" s="2660"/>
      <c r="G50" s="2660"/>
      <c r="H50" s="2660"/>
      <c r="I50" s="2660"/>
      <c r="J50" s="2660"/>
      <c r="K50" s="1613"/>
      <c r="L50" s="2144"/>
      <c r="M50" s="2134"/>
      <c r="N50" s="2134"/>
      <c r="O50" s="2134"/>
      <c r="P50" s="3801" t="str">
        <f>A50</f>
        <v>估价对象XX用房的比较价格（楼面单价，元/平方米）</v>
      </c>
      <c r="Q50" s="3679"/>
      <c r="R50" s="3796" t="e">
        <f>IF(F1="售价",ROUND(AVERAGE(R49:V49),0),ROUND(AVERAGE(R49:V49),1))</f>
        <v>#DIV/0!</v>
      </c>
      <c r="S50" s="3796"/>
      <c r="T50" s="3796"/>
      <c r="U50" s="3796"/>
      <c r="V50" s="3796"/>
      <c r="W50" s="3796"/>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530</v>
      </c>
      <c r="B59" s="645"/>
      <c r="C59" s="2827" t="str">
        <f>YEAR(C7)&amp;"-"&amp;MONTH(C7)</f>
        <v>2018-1</v>
      </c>
      <c r="D59" s="2829">
        <f>EDATE(C59,-1)</f>
        <v>43070</v>
      </c>
      <c r="E59" s="2829">
        <f t="shared" ref="E59:O59" si="16">EDATE(D59,-1)</f>
        <v>43040</v>
      </c>
      <c r="F59" s="2829">
        <f t="shared" si="16"/>
        <v>43009</v>
      </c>
      <c r="G59" s="2829">
        <f t="shared" si="16"/>
        <v>42979</v>
      </c>
      <c r="H59" s="2829">
        <f t="shared" si="16"/>
        <v>42948</v>
      </c>
      <c r="I59" s="2829">
        <f t="shared" si="16"/>
        <v>42917</v>
      </c>
      <c r="J59" s="2829">
        <f t="shared" si="16"/>
        <v>42887</v>
      </c>
      <c r="K59" s="2829">
        <f t="shared" si="16"/>
        <v>42856</v>
      </c>
      <c r="L59" s="2829">
        <f t="shared" si="16"/>
        <v>42826</v>
      </c>
      <c r="M59" s="2829">
        <f t="shared" si="16"/>
        <v>42795</v>
      </c>
      <c r="N59" s="2829">
        <f t="shared" si="16"/>
        <v>42767</v>
      </c>
      <c r="O59" s="2829">
        <f t="shared" si="16"/>
        <v>42736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2561</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2562</v>
      </c>
      <c r="C83" s="2622" t="s">
        <v>2563</v>
      </c>
      <c r="D83" s="2622" t="s">
        <v>2564</v>
      </c>
      <c r="E83" s="2622" t="s">
        <v>2565</v>
      </c>
      <c r="F83" s="2622" t="s">
        <v>2566</v>
      </c>
      <c r="G83" s="2622" t="s">
        <v>2567</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2560</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522</v>
      </c>
      <c r="B4" s="512"/>
      <c r="C4" s="3687" t="s">
        <v>523</v>
      </c>
      <c r="D4" s="3688"/>
      <c r="E4" s="3724" t="s">
        <v>524</v>
      </c>
      <c r="F4" s="3725"/>
      <c r="G4" s="3687" t="s">
        <v>525</v>
      </c>
      <c r="H4" s="3688"/>
      <c r="I4" s="3687" t="s">
        <v>526</v>
      </c>
      <c r="J4" s="3688"/>
      <c r="K4" s="513" t="s">
        <v>527</v>
      </c>
      <c r="L4" s="2133"/>
      <c r="M4" s="2134"/>
      <c r="N4" s="2134"/>
      <c r="O4" s="2134"/>
      <c r="P4" s="3689" t="s">
        <v>528</v>
      </c>
      <c r="Q4" s="3690"/>
      <c r="R4" s="3695" t="s">
        <v>524</v>
      </c>
      <c r="S4" s="3696"/>
      <c r="T4" s="3695" t="s">
        <v>525</v>
      </c>
      <c r="U4" s="3696"/>
      <c r="V4" s="3682" t="s">
        <v>526</v>
      </c>
      <c r="W4" s="3682"/>
      <c r="X4" s="1567"/>
      <c r="Y4" s="3695" t="s">
        <v>528</v>
      </c>
      <c r="Z4" s="3696"/>
      <c r="AA4" s="3684" t="s">
        <v>524</v>
      </c>
      <c r="AB4" s="3685" t="s">
        <v>525</v>
      </c>
      <c r="AC4" s="3684" t="s">
        <v>526</v>
      </c>
    </row>
    <row r="5" spans="1:29" ht="15">
      <c r="A5" s="514"/>
      <c r="B5" s="515"/>
      <c r="C5" s="3705" t="s">
        <v>2931</v>
      </c>
      <c r="D5" s="3704"/>
      <c r="E5" s="3726" t="s">
        <v>2932</v>
      </c>
      <c r="F5" s="3727"/>
      <c r="G5" s="3705" t="s">
        <v>2933</v>
      </c>
      <c r="H5" s="3704"/>
      <c r="I5" s="3705" t="s">
        <v>2934</v>
      </c>
      <c r="J5" s="3704"/>
      <c r="K5" s="513"/>
      <c r="L5" s="2133"/>
      <c r="M5" s="2134"/>
      <c r="N5" s="2134"/>
      <c r="O5" s="2134"/>
      <c r="P5" s="3691"/>
      <c r="Q5" s="3692"/>
      <c r="R5" s="3697"/>
      <c r="S5" s="3698"/>
      <c r="T5" s="3697"/>
      <c r="U5" s="3698"/>
      <c r="V5" s="3682"/>
      <c r="W5" s="3682"/>
      <c r="X5" s="1567"/>
      <c r="Y5" s="3697"/>
      <c r="Z5" s="3698"/>
      <c r="AA5" s="3685"/>
      <c r="AB5" s="3685"/>
      <c r="AC5" s="3685"/>
    </row>
    <row r="6" spans="1:29" ht="15.75" thickBot="1">
      <c r="A6" s="516"/>
      <c r="B6" s="517"/>
      <c r="C6" s="3721" t="s">
        <v>2935</v>
      </c>
      <c r="D6" s="3702"/>
      <c r="E6" s="3722" t="s">
        <v>2935</v>
      </c>
      <c r="F6" s="3723"/>
      <c r="G6" s="3721" t="s">
        <v>2935</v>
      </c>
      <c r="H6" s="3702"/>
      <c r="I6" s="3721" t="s">
        <v>2935</v>
      </c>
      <c r="J6" s="3702"/>
      <c r="K6" s="513" t="s">
        <v>529</v>
      </c>
      <c r="L6" s="2133"/>
      <c r="M6" s="2134"/>
      <c r="N6" s="2134"/>
      <c r="O6" s="2134"/>
      <c r="P6" s="3693"/>
      <c r="Q6" s="3694"/>
      <c r="R6" s="3697"/>
      <c r="S6" s="3698"/>
      <c r="T6" s="3699"/>
      <c r="U6" s="3700"/>
      <c r="V6" s="3682"/>
      <c r="W6" s="3682"/>
      <c r="X6" s="1567"/>
      <c r="Y6" s="3699"/>
      <c r="Z6" s="3700"/>
      <c r="AA6" s="3686"/>
      <c r="AB6" s="3686"/>
      <c r="AC6" s="3686"/>
    </row>
    <row r="7" spans="1:29" s="1219" customFormat="1" ht="15.75" thickBot="1">
      <c r="A7" s="2937"/>
      <c r="B7" s="2944" t="s">
        <v>530</v>
      </c>
      <c r="C7" s="518">
        <f>'数据-取费表'!B2</f>
        <v>43131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714" t="s">
        <v>531</v>
      </c>
      <c r="Q7" s="3716"/>
      <c r="R7" s="1568" t="s">
        <v>8</v>
      </c>
      <c r="S7" s="1569">
        <f t="shared" ref="S7:S15" si="0">F7</f>
        <v>0</v>
      </c>
      <c r="T7" s="1568" t="s">
        <v>8</v>
      </c>
      <c r="U7" s="1569">
        <f t="shared" ref="U7:U15" si="1">H7</f>
        <v>0</v>
      </c>
      <c r="V7" s="1568" t="s">
        <v>8</v>
      </c>
      <c r="W7" s="1569">
        <f t="shared" ref="W7:W15" si="2">J7</f>
        <v>0</v>
      </c>
      <c r="X7" s="1570"/>
      <c r="Y7" s="3714" t="s">
        <v>531</v>
      </c>
      <c r="Z7" s="3715"/>
      <c r="AA7" s="1571" t="e">
        <f>D7/F7</f>
        <v>#DIV/0!</v>
      </c>
      <c r="AB7" s="1571" t="e">
        <f>D7/H7</f>
        <v>#DIV/0!</v>
      </c>
      <c r="AC7" s="1571" t="e">
        <f>D7/J7</f>
        <v>#DIV/0!</v>
      </c>
    </row>
    <row r="8" spans="1:29" s="1219" customFormat="1" ht="15.75" thickBot="1">
      <c r="A8" s="2938"/>
      <c r="B8" s="2945"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714" t="s">
        <v>534</v>
      </c>
      <c r="Q8" s="3715"/>
      <c r="R8" s="1568" t="s">
        <v>8</v>
      </c>
      <c r="S8" s="1569">
        <f t="shared" si="0"/>
        <v>0</v>
      </c>
      <c r="T8" s="1568" t="s">
        <v>8</v>
      </c>
      <c r="U8" s="1569">
        <f t="shared" si="1"/>
        <v>0</v>
      </c>
      <c r="V8" s="1568" t="s">
        <v>8</v>
      </c>
      <c r="W8" s="1569">
        <f t="shared" si="2"/>
        <v>0</v>
      </c>
      <c r="X8" s="1570"/>
      <c r="Y8" s="3714" t="s">
        <v>534</v>
      </c>
      <c r="Z8" s="3715"/>
      <c r="AA8" s="1571" t="e">
        <f t="shared" ref="AA8:AA40" si="3">D8/F8</f>
        <v>#DIV/0!</v>
      </c>
      <c r="AB8" s="1571" t="e">
        <f t="shared" ref="AB8:AB40" si="4">D8/H8</f>
        <v>#DIV/0!</v>
      </c>
      <c r="AC8" s="1571" t="e">
        <f t="shared" ref="AC8:AC40" si="5">D8/J8</f>
        <v>#DIV/0!</v>
      </c>
    </row>
    <row r="9" spans="1:29" s="1219" customFormat="1" ht="15">
      <c r="A9" s="2939"/>
      <c r="B9" s="2946" t="s">
        <v>2760</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681" t="s">
        <v>536</v>
      </c>
      <c r="Q9" s="1150" t="str">
        <f t="shared" ref="Q9:Q15" si="6">B9</f>
        <v>用途</v>
      </c>
      <c r="R9" s="1568" t="s">
        <v>8</v>
      </c>
      <c r="S9" s="1569">
        <f t="shared" si="0"/>
        <v>100</v>
      </c>
      <c r="T9" s="1568" t="s">
        <v>8</v>
      </c>
      <c r="U9" s="1569">
        <f t="shared" si="1"/>
        <v>100</v>
      </c>
      <c r="V9" s="1568" t="s">
        <v>8</v>
      </c>
      <c r="W9" s="1569">
        <f t="shared" si="2"/>
        <v>100</v>
      </c>
      <c r="X9" s="1570"/>
      <c r="Y9" s="3627" t="s">
        <v>537</v>
      </c>
      <c r="Z9" s="1149" t="str">
        <f t="shared" ref="Z9:Z15" si="7">Q9</f>
        <v>用途</v>
      </c>
      <c r="AA9" s="1571">
        <f t="shared" si="3"/>
        <v>1</v>
      </c>
      <c r="AB9" s="1571">
        <f t="shared" si="4"/>
        <v>1</v>
      </c>
      <c r="AC9" s="1571">
        <f t="shared" si="5"/>
        <v>1</v>
      </c>
    </row>
    <row r="10" spans="1:29" s="1337" customFormat="1" ht="27">
      <c r="A10" s="2940"/>
      <c r="B10" s="2945" t="s">
        <v>2761</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681"/>
      <c r="Q10" s="1150" t="str">
        <f t="shared" si="6"/>
        <v>土地使用年限（年）</v>
      </c>
      <c r="R10" s="1568" t="s">
        <v>8</v>
      </c>
      <c r="S10" s="1569">
        <f t="shared" si="0"/>
        <v>100</v>
      </c>
      <c r="T10" s="1568" t="s">
        <v>8</v>
      </c>
      <c r="U10" s="1569">
        <f t="shared" si="1"/>
        <v>100</v>
      </c>
      <c r="V10" s="1568" t="s">
        <v>8</v>
      </c>
      <c r="W10" s="1569">
        <f t="shared" si="2"/>
        <v>100</v>
      </c>
      <c r="X10" s="1570"/>
      <c r="Y10" s="3627"/>
      <c r="Z10" s="1149" t="str">
        <f t="shared" si="7"/>
        <v>土地使用年限（年）</v>
      </c>
      <c r="AA10" s="1571">
        <f t="shared" si="3"/>
        <v>1</v>
      </c>
      <c r="AB10" s="1571">
        <f t="shared" si="4"/>
        <v>1</v>
      </c>
      <c r="AC10" s="1571">
        <f t="shared" si="5"/>
        <v>1</v>
      </c>
    </row>
    <row r="11" spans="1:29" ht="15">
      <c r="A11" s="2941"/>
      <c r="B11" s="2945"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681"/>
      <c r="Q11" s="1150" t="str">
        <f t="shared" si="6"/>
        <v>容积率</v>
      </c>
      <c r="R11" s="1568" t="s">
        <v>8</v>
      </c>
      <c r="S11" s="1569" t="e">
        <f t="shared" si="0"/>
        <v>#N/A</v>
      </c>
      <c r="T11" s="1568" t="s">
        <v>8</v>
      </c>
      <c r="U11" s="1569" t="e">
        <f t="shared" si="1"/>
        <v>#N/A</v>
      </c>
      <c r="V11" s="1568" t="s">
        <v>8</v>
      </c>
      <c r="W11" s="1569" t="e">
        <f t="shared" si="2"/>
        <v>#N/A</v>
      </c>
      <c r="X11" s="1570"/>
      <c r="Y11" s="3627"/>
      <c r="Z11" s="1149" t="str">
        <f t="shared" si="7"/>
        <v>容积率</v>
      </c>
      <c r="AA11" s="1571" t="e">
        <f t="shared" si="3"/>
        <v>#N/A</v>
      </c>
      <c r="AB11" s="1571" t="e">
        <f t="shared" si="4"/>
        <v>#N/A</v>
      </c>
      <c r="AC11" s="1571"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681"/>
      <c r="Q12" s="1150">
        <f t="shared" si="6"/>
        <v>111</v>
      </c>
      <c r="R12" s="1568" t="s">
        <v>8</v>
      </c>
      <c r="S12" s="1569">
        <f t="shared" si="0"/>
        <v>100</v>
      </c>
      <c r="T12" s="1568" t="s">
        <v>8</v>
      </c>
      <c r="U12" s="1569">
        <f t="shared" si="1"/>
        <v>100</v>
      </c>
      <c r="V12" s="1568" t="s">
        <v>8</v>
      </c>
      <c r="W12" s="1569">
        <f t="shared" si="2"/>
        <v>100</v>
      </c>
      <c r="X12" s="1570"/>
      <c r="Y12" s="3627"/>
      <c r="Z12" s="1149">
        <f t="shared" si="7"/>
        <v>111</v>
      </c>
      <c r="AA12" s="1571">
        <f>D12/F12</f>
        <v>1</v>
      </c>
      <c r="AB12" s="1571">
        <f>D12/H12</f>
        <v>1</v>
      </c>
      <c r="AC12" s="1571">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681"/>
      <c r="Q13" s="1150">
        <f t="shared" si="6"/>
        <v>111</v>
      </c>
      <c r="R13" s="1568" t="s">
        <v>8</v>
      </c>
      <c r="S13" s="1569">
        <f t="shared" si="0"/>
        <v>100</v>
      </c>
      <c r="T13" s="1568" t="s">
        <v>8</v>
      </c>
      <c r="U13" s="1569">
        <f t="shared" si="1"/>
        <v>100</v>
      </c>
      <c r="V13" s="1568" t="s">
        <v>8</v>
      </c>
      <c r="W13" s="1569">
        <f t="shared" si="2"/>
        <v>100</v>
      </c>
      <c r="X13" s="1570"/>
      <c r="Y13" s="3627"/>
      <c r="Z13" s="1149">
        <f t="shared" si="7"/>
        <v>111</v>
      </c>
      <c r="AA13" s="1571">
        <f t="shared" si="3"/>
        <v>1</v>
      </c>
      <c r="AB13" s="1571">
        <f t="shared" si="4"/>
        <v>1</v>
      </c>
      <c r="AC13" s="1571">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681"/>
      <c r="Q14" s="1150">
        <f t="shared" si="6"/>
        <v>111</v>
      </c>
      <c r="R14" s="1568" t="s">
        <v>8</v>
      </c>
      <c r="S14" s="1569">
        <f t="shared" si="0"/>
        <v>100</v>
      </c>
      <c r="T14" s="1568" t="s">
        <v>8</v>
      </c>
      <c r="U14" s="1569">
        <f t="shared" si="1"/>
        <v>100</v>
      </c>
      <c r="V14" s="1568" t="s">
        <v>8</v>
      </c>
      <c r="W14" s="1569">
        <f t="shared" si="2"/>
        <v>100</v>
      </c>
      <c r="X14" s="1570"/>
      <c r="Y14" s="3627"/>
      <c r="Z14" s="1149">
        <f t="shared" si="7"/>
        <v>111</v>
      </c>
      <c r="AA14" s="1571">
        <f t="shared" si="3"/>
        <v>1</v>
      </c>
      <c r="AB14" s="1571">
        <f t="shared" si="4"/>
        <v>1</v>
      </c>
      <c r="AC14" s="1571">
        <f t="shared" si="5"/>
        <v>1</v>
      </c>
    </row>
    <row r="15" spans="1:29" ht="57">
      <c r="A15" s="2935" t="s">
        <v>2758</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717" t="s">
        <v>541</v>
      </c>
      <c r="Q15" s="1572" t="str">
        <f t="shared" si="6"/>
        <v>产业集聚程度</v>
      </c>
      <c r="R15" s="1573" t="s">
        <v>8</v>
      </c>
      <c r="S15" s="1574">
        <f t="shared" si="0"/>
        <v>100</v>
      </c>
      <c r="T15" s="1573" t="s">
        <v>8</v>
      </c>
      <c r="U15" s="1574">
        <f t="shared" si="1"/>
        <v>100</v>
      </c>
      <c r="V15" s="1573" t="s">
        <v>8</v>
      </c>
      <c r="W15" s="1574">
        <f t="shared" si="2"/>
        <v>100</v>
      </c>
      <c r="X15" s="1567"/>
      <c r="Y15" s="3717"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3718"/>
      <c r="Q16" s="1572"/>
      <c r="R16" s="1573"/>
      <c r="S16" s="1574"/>
      <c r="T16" s="1573"/>
      <c r="U16" s="1574"/>
      <c r="V16" s="1573"/>
      <c r="W16" s="1574"/>
      <c r="X16" s="1567"/>
      <c r="Y16" s="3718"/>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718"/>
      <c r="Q17" s="1572" t="str">
        <f>B17</f>
        <v>交通便捷度</v>
      </c>
      <c r="R17" s="1573" t="s">
        <v>8</v>
      </c>
      <c r="S17" s="1574">
        <f>F17</f>
        <v>100</v>
      </c>
      <c r="T17" s="1573" t="s">
        <v>8</v>
      </c>
      <c r="U17" s="1574">
        <f>H17</f>
        <v>100</v>
      </c>
      <c r="V17" s="1573" t="s">
        <v>8</v>
      </c>
      <c r="W17" s="1574">
        <f>J17</f>
        <v>100</v>
      </c>
      <c r="X17" s="1567"/>
      <c r="Y17" s="371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3718"/>
      <c r="Q18" s="1572"/>
      <c r="R18" s="1573"/>
      <c r="S18" s="1574"/>
      <c r="T18" s="1573"/>
      <c r="U18" s="1574"/>
      <c r="V18" s="1573"/>
      <c r="W18" s="1574"/>
      <c r="X18" s="1567"/>
      <c r="Y18" s="3718"/>
      <c r="Z18" s="1575"/>
      <c r="AA18" s="1576">
        <v>1</v>
      </c>
      <c r="AB18" s="1576">
        <v>1</v>
      </c>
      <c r="AC18" s="1576">
        <v>1</v>
      </c>
    </row>
    <row r="19" spans="1:29" ht="42.75">
      <c r="A19" s="531"/>
      <c r="B19" s="2627" t="s">
        <v>2550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718"/>
      <c r="Q19" s="1572" t="str">
        <f>B19</f>
        <v>公共配套设施</v>
      </c>
      <c r="R19" s="1573" t="s">
        <v>8</v>
      </c>
      <c r="S19" s="1574">
        <f>F19</f>
        <v>100</v>
      </c>
      <c r="T19" s="1573" t="s">
        <v>8</v>
      </c>
      <c r="U19" s="1574">
        <f>H19</f>
        <v>100</v>
      </c>
      <c r="V19" s="1573" t="s">
        <v>8</v>
      </c>
      <c r="W19" s="1574">
        <f>J19</f>
        <v>100</v>
      </c>
      <c r="X19" s="1567"/>
      <c r="Y19" s="3718"/>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3718"/>
      <c r="Q20" s="1572"/>
      <c r="R20" s="1573"/>
      <c r="S20" s="1574"/>
      <c r="T20" s="1573"/>
      <c r="U20" s="1574"/>
      <c r="V20" s="1573"/>
      <c r="W20" s="1574"/>
      <c r="X20" s="1567"/>
      <c r="Y20" s="3718"/>
      <c r="Z20" s="1575"/>
      <c r="AA20" s="1576">
        <v>1</v>
      </c>
      <c r="AB20" s="1576">
        <v>1</v>
      </c>
      <c r="AC20" s="1576">
        <v>1</v>
      </c>
    </row>
    <row r="21" spans="1:29" ht="28.5">
      <c r="A21" s="531"/>
      <c r="B21" s="2615" t="s">
        <v>2562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718"/>
      <c r="Q21" s="2603" t="str">
        <f>B21</f>
        <v>基础设施水平</v>
      </c>
      <c r="R21" s="1573" t="s">
        <v>8</v>
      </c>
      <c r="S21" s="1574">
        <f>F21</f>
        <v>100</v>
      </c>
      <c r="T21" s="1573" t="s">
        <v>8</v>
      </c>
      <c r="U21" s="1574">
        <f>H21</f>
        <v>100</v>
      </c>
      <c r="V21" s="1573" t="s">
        <v>8</v>
      </c>
      <c r="W21" s="1574">
        <f>J21</f>
        <v>100</v>
      </c>
      <c r="X21" s="2605"/>
      <c r="Y21" s="3718"/>
      <c r="Z21" s="2604"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6"/>
      <c r="L22" s="2142"/>
      <c r="M22" s="2134"/>
      <c r="N22" s="2134"/>
      <c r="O22" s="2141"/>
      <c r="P22" s="3718"/>
      <c r="Q22" s="2603"/>
      <c r="R22" s="1573"/>
      <c r="S22" s="1574"/>
      <c r="T22" s="1573"/>
      <c r="U22" s="1574"/>
      <c r="V22" s="1573"/>
      <c r="W22" s="1574"/>
      <c r="X22" s="2605"/>
      <c r="Y22" s="3718"/>
      <c r="Z22" s="2604"/>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718"/>
      <c r="Q23" s="1572" t="str">
        <f>B23</f>
        <v>环境质量</v>
      </c>
      <c r="R23" s="1573" t="s">
        <v>8</v>
      </c>
      <c r="S23" s="1574">
        <f>F23</f>
        <v>100</v>
      </c>
      <c r="T23" s="1573" t="s">
        <v>8</v>
      </c>
      <c r="U23" s="1574">
        <f>H23</f>
        <v>100</v>
      </c>
      <c r="V23" s="1573" t="s">
        <v>8</v>
      </c>
      <c r="W23" s="1574">
        <f>J23</f>
        <v>100</v>
      </c>
      <c r="X23" s="1567"/>
      <c r="Y23" s="3718"/>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3718"/>
      <c r="Q24" s="1572"/>
      <c r="R24" s="1573"/>
      <c r="S24" s="1574"/>
      <c r="T24" s="1573"/>
      <c r="U24" s="1574"/>
      <c r="V24" s="1573"/>
      <c r="W24" s="1574"/>
      <c r="X24" s="1567"/>
      <c r="Y24" s="3718"/>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718"/>
      <c r="Q25" s="1572">
        <f>B25</f>
        <v>111</v>
      </c>
      <c r="R25" s="1573" t="s">
        <v>8</v>
      </c>
      <c r="S25" s="1574">
        <f>F25</f>
        <v>100</v>
      </c>
      <c r="T25" s="1573" t="s">
        <v>8</v>
      </c>
      <c r="U25" s="1574">
        <f>H25</f>
        <v>100</v>
      </c>
      <c r="V25" s="1573" t="s">
        <v>8</v>
      </c>
      <c r="W25" s="1574">
        <f>J25</f>
        <v>100</v>
      </c>
      <c r="X25" s="1567"/>
      <c r="Y25" s="3718"/>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718"/>
      <c r="Q26" s="1572">
        <f t="shared" ref="Q26:Q40" si="11">B26</f>
        <v>111</v>
      </c>
      <c r="R26" s="1573" t="s">
        <v>8</v>
      </c>
      <c r="S26" s="1574">
        <f>F26</f>
        <v>100</v>
      </c>
      <c r="T26" s="1573" t="s">
        <v>8</v>
      </c>
      <c r="U26" s="1574">
        <f>H26</f>
        <v>100</v>
      </c>
      <c r="V26" s="1573" t="s">
        <v>8</v>
      </c>
      <c r="W26" s="1574">
        <f>J26</f>
        <v>100</v>
      </c>
      <c r="X26" s="1567"/>
      <c r="Y26" s="3718"/>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718"/>
      <c r="Q27" s="1150">
        <f t="shared" si="11"/>
        <v>111</v>
      </c>
      <c r="R27" s="1568" t="s">
        <v>8</v>
      </c>
      <c r="S27" s="1569">
        <f>F27</f>
        <v>100</v>
      </c>
      <c r="T27" s="1568" t="s">
        <v>8</v>
      </c>
      <c r="U27" s="1569">
        <f>H27</f>
        <v>100</v>
      </c>
      <c r="V27" s="1568" t="s">
        <v>8</v>
      </c>
      <c r="W27" s="1569">
        <f>J27</f>
        <v>100</v>
      </c>
      <c r="X27" s="1570"/>
      <c r="Y27" s="3718"/>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718"/>
      <c r="Q28" s="1572">
        <f t="shared" si="11"/>
        <v>111</v>
      </c>
      <c r="R28" s="1573" t="s">
        <v>8</v>
      </c>
      <c r="S28" s="1574">
        <f t="shared" ref="S28:S40" si="12">F28</f>
        <v>100</v>
      </c>
      <c r="T28" s="1573" t="s">
        <v>8</v>
      </c>
      <c r="U28" s="1574">
        <f t="shared" ref="U28:U40" si="13">H28</f>
        <v>100</v>
      </c>
      <c r="V28" s="1573" t="s">
        <v>8</v>
      </c>
      <c r="W28" s="1574">
        <f t="shared" ref="W28:W40" si="14">J28</f>
        <v>100</v>
      </c>
      <c r="X28" s="1567"/>
      <c r="Y28" s="3718"/>
      <c r="Z28" s="1575">
        <f t="shared" ref="Z28:Z40" si="15">Q28</f>
        <v>111</v>
      </c>
      <c r="AA28" s="1576">
        <f t="shared" si="3"/>
        <v>1</v>
      </c>
      <c r="AB28" s="1576">
        <f t="shared" si="4"/>
        <v>1</v>
      </c>
      <c r="AC28" s="1576">
        <f t="shared" si="5"/>
        <v>1</v>
      </c>
    </row>
    <row r="29" spans="1:29" ht="15">
      <c r="A29" s="2932" t="s">
        <v>2759</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719" t="s">
        <v>551</v>
      </c>
      <c r="Q29" s="1572" t="str">
        <f t="shared" si="11"/>
        <v>建筑类型</v>
      </c>
      <c r="R29" s="1573" t="s">
        <v>8</v>
      </c>
      <c r="S29" s="1574">
        <f t="shared" si="12"/>
        <v>100</v>
      </c>
      <c r="T29" s="1573" t="s">
        <v>8</v>
      </c>
      <c r="U29" s="1574">
        <f t="shared" si="13"/>
        <v>100</v>
      </c>
      <c r="V29" s="1573" t="s">
        <v>8</v>
      </c>
      <c r="W29" s="1574">
        <f t="shared" si="14"/>
        <v>100</v>
      </c>
      <c r="X29" s="1567"/>
      <c r="Y29" s="3720"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720"/>
      <c r="Q30" s="1605" t="str">
        <f t="shared" si="11"/>
        <v>项目建筑规模</v>
      </c>
      <c r="R30" s="1577" t="s">
        <v>8</v>
      </c>
      <c r="S30" s="1578" t="e">
        <f t="shared" si="12"/>
        <v>#N/A</v>
      </c>
      <c r="T30" s="1577" t="s">
        <v>8</v>
      </c>
      <c r="U30" s="1578" t="e">
        <f t="shared" si="13"/>
        <v>#N/A</v>
      </c>
      <c r="V30" s="1577" t="s">
        <v>8</v>
      </c>
      <c r="W30" s="1578" t="e">
        <f t="shared" si="14"/>
        <v>#N/A</v>
      </c>
      <c r="X30" s="1579"/>
      <c r="Y30" s="3720"/>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720"/>
      <c r="Q31" s="1572" t="str">
        <f t="shared" si="11"/>
        <v>建筑结构</v>
      </c>
      <c r="R31" s="1573" t="s">
        <v>8</v>
      </c>
      <c r="S31" s="1574">
        <f t="shared" si="12"/>
        <v>100</v>
      </c>
      <c r="T31" s="1573" t="s">
        <v>8</v>
      </c>
      <c r="U31" s="1574">
        <f t="shared" si="13"/>
        <v>100</v>
      </c>
      <c r="V31" s="1573" t="s">
        <v>8</v>
      </c>
      <c r="W31" s="1574">
        <f t="shared" si="14"/>
        <v>100</v>
      </c>
      <c r="X31" s="1567"/>
      <c r="Y31" s="3720"/>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720"/>
      <c r="Q32" s="1572" t="str">
        <f t="shared" si="11"/>
        <v>公共部分装修</v>
      </c>
      <c r="R32" s="1573" t="s">
        <v>8</v>
      </c>
      <c r="S32" s="1574">
        <f t="shared" si="12"/>
        <v>100</v>
      </c>
      <c r="T32" s="1573" t="s">
        <v>8</v>
      </c>
      <c r="U32" s="1574">
        <f t="shared" si="13"/>
        <v>100</v>
      </c>
      <c r="V32" s="1573" t="s">
        <v>8</v>
      </c>
      <c r="W32" s="1574">
        <f t="shared" si="14"/>
        <v>100</v>
      </c>
      <c r="X32" s="1567"/>
      <c r="Y32" s="3720"/>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720"/>
      <c r="Q33" s="1572" t="str">
        <f t="shared" si="11"/>
        <v>成新度</v>
      </c>
      <c r="R33" s="1573" t="s">
        <v>8</v>
      </c>
      <c r="S33" s="1574" t="e">
        <f t="shared" si="12"/>
        <v>#N/A</v>
      </c>
      <c r="T33" s="1573" t="s">
        <v>8</v>
      </c>
      <c r="U33" s="1574" t="e">
        <f t="shared" si="13"/>
        <v>#N/A</v>
      </c>
      <c r="V33" s="1573" t="s">
        <v>8</v>
      </c>
      <c r="W33" s="1574" t="e">
        <f t="shared" si="14"/>
        <v>#N/A</v>
      </c>
      <c r="X33" s="1567"/>
      <c r="Y33" s="3720"/>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720"/>
      <c r="Q34" s="1150" t="str">
        <f t="shared" si="11"/>
        <v>物业管理</v>
      </c>
      <c r="R34" s="1568" t="s">
        <v>8</v>
      </c>
      <c r="S34" s="1569">
        <f t="shared" si="12"/>
        <v>100</v>
      </c>
      <c r="T34" s="1568" t="s">
        <v>8</v>
      </c>
      <c r="U34" s="1569">
        <f t="shared" si="13"/>
        <v>100</v>
      </c>
      <c r="V34" s="1568" t="s">
        <v>8</v>
      </c>
      <c r="W34" s="1569">
        <f t="shared" si="14"/>
        <v>100</v>
      </c>
      <c r="X34" s="1570"/>
      <c r="Y34" s="3720"/>
      <c r="Z34" s="1149" t="str">
        <f t="shared" si="15"/>
        <v>物业管理</v>
      </c>
      <c r="AA34" s="1571">
        <f t="shared" si="3"/>
        <v>1</v>
      </c>
      <c r="AB34" s="1571">
        <f t="shared" si="4"/>
        <v>1</v>
      </c>
      <c r="AC34" s="1571">
        <f t="shared" si="5"/>
        <v>1</v>
      </c>
    </row>
    <row r="35" spans="1:29" ht="15">
      <c r="A35" s="593"/>
      <c r="B35" s="1895"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720" t="s">
        <v>551</v>
      </c>
      <c r="Q35" s="1572" t="str">
        <f t="shared" si="11"/>
        <v>市政基础设施</v>
      </c>
      <c r="R35" s="1573" t="s">
        <v>8</v>
      </c>
      <c r="S35" s="1574">
        <f t="shared" si="12"/>
        <v>100</v>
      </c>
      <c r="T35" s="1573" t="s">
        <v>8</v>
      </c>
      <c r="U35" s="1574">
        <f t="shared" si="13"/>
        <v>100</v>
      </c>
      <c r="V35" s="1573" t="s">
        <v>8</v>
      </c>
      <c r="W35" s="1574">
        <f t="shared" si="14"/>
        <v>100</v>
      </c>
      <c r="X35" s="1567"/>
      <c r="Y35" s="3720"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720"/>
      <c r="Q36" s="1572" t="str">
        <f t="shared" si="11"/>
        <v>内部装修</v>
      </c>
      <c r="R36" s="1573" t="s">
        <v>8</v>
      </c>
      <c r="S36" s="1574">
        <f t="shared" si="12"/>
        <v>100</v>
      </c>
      <c r="T36" s="1573" t="s">
        <v>8</v>
      </c>
      <c r="U36" s="1574">
        <f t="shared" si="13"/>
        <v>100</v>
      </c>
      <c r="V36" s="1573" t="s">
        <v>8</v>
      </c>
      <c r="W36" s="1574">
        <f t="shared" si="14"/>
        <v>100</v>
      </c>
      <c r="X36" s="1567"/>
      <c r="Y36" s="3720"/>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720"/>
      <c r="Q37" s="1572" t="str">
        <f t="shared" si="11"/>
        <v>内部装修状况</v>
      </c>
      <c r="R37" s="1573" t="s">
        <v>8</v>
      </c>
      <c r="S37" s="1574">
        <f t="shared" si="12"/>
        <v>100</v>
      </c>
      <c r="T37" s="1573" t="s">
        <v>8</v>
      </c>
      <c r="U37" s="1574">
        <f t="shared" si="13"/>
        <v>100</v>
      </c>
      <c r="V37" s="1573" t="s">
        <v>8</v>
      </c>
      <c r="W37" s="1574">
        <f t="shared" si="14"/>
        <v>100</v>
      </c>
      <c r="X37" s="1567"/>
      <c r="Y37" s="3720"/>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720"/>
      <c r="Q38" s="1605">
        <f t="shared" si="11"/>
        <v>111</v>
      </c>
      <c r="R38" s="1577" t="s">
        <v>8</v>
      </c>
      <c r="S38" s="1578">
        <f t="shared" si="12"/>
        <v>100</v>
      </c>
      <c r="T38" s="1577" t="s">
        <v>8</v>
      </c>
      <c r="U38" s="1578">
        <f t="shared" si="13"/>
        <v>100</v>
      </c>
      <c r="V38" s="1577" t="s">
        <v>8</v>
      </c>
      <c r="W38" s="1578">
        <f t="shared" si="14"/>
        <v>100</v>
      </c>
      <c r="X38" s="1579"/>
      <c r="Y38" s="3720"/>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720"/>
      <c r="Q39" s="1572">
        <f t="shared" si="11"/>
        <v>111</v>
      </c>
      <c r="R39" s="1573" t="s">
        <v>8</v>
      </c>
      <c r="S39" s="1574">
        <f t="shared" si="12"/>
        <v>100</v>
      </c>
      <c r="T39" s="1573" t="s">
        <v>8</v>
      </c>
      <c r="U39" s="1574">
        <f t="shared" si="13"/>
        <v>100</v>
      </c>
      <c r="V39" s="1573" t="s">
        <v>8</v>
      </c>
      <c r="W39" s="1574">
        <f t="shared" si="14"/>
        <v>100</v>
      </c>
      <c r="X39" s="1567"/>
      <c r="Y39" s="3720"/>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798"/>
      <c r="Q40" s="1572">
        <f t="shared" si="11"/>
        <v>111</v>
      </c>
      <c r="R40" s="1573" t="s">
        <v>8</v>
      </c>
      <c r="S40" s="1574">
        <f t="shared" si="12"/>
        <v>100</v>
      </c>
      <c r="T40" s="1573" t="s">
        <v>8</v>
      </c>
      <c r="U40" s="1574">
        <f t="shared" si="13"/>
        <v>100</v>
      </c>
      <c r="V40" s="1573" t="s">
        <v>8</v>
      </c>
      <c r="W40" s="1574">
        <f t="shared" si="14"/>
        <v>100</v>
      </c>
      <c r="X40" s="1567"/>
      <c r="Y40" s="3798"/>
      <c r="Z40" s="1575">
        <f t="shared" si="15"/>
        <v>111</v>
      </c>
      <c r="AA40" s="1576">
        <f t="shared" si="3"/>
        <v>1</v>
      </c>
      <c r="AB40" s="1576">
        <f t="shared" si="4"/>
        <v>1</v>
      </c>
      <c r="AC40" s="1576">
        <f t="shared" si="5"/>
        <v>1</v>
      </c>
    </row>
    <row r="41" spans="1:29" ht="15">
      <c r="A41" s="606" t="s">
        <v>737</v>
      </c>
      <c r="B41" s="886"/>
      <c r="C41" s="2651" t="s">
        <v>1</v>
      </c>
      <c r="D41" s="2652"/>
      <c r="E41" s="2653"/>
      <c r="F41" s="2654"/>
      <c r="G41" s="2655"/>
      <c r="H41" s="2656"/>
      <c r="I41" s="2653"/>
      <c r="J41" s="2656"/>
      <c r="K41" s="1611"/>
      <c r="L41" s="2144"/>
      <c r="M41" s="2145"/>
      <c r="N41" s="2134"/>
      <c r="O41" s="2145"/>
      <c r="P41" s="3681" t="str">
        <f>A41</f>
        <v>成交单价（元/平方米）</v>
      </c>
      <c r="Q41" s="3681"/>
      <c r="R41" s="3797">
        <f>E41</f>
        <v>0</v>
      </c>
      <c r="S41" s="3797"/>
      <c r="T41" s="3797">
        <f>G41</f>
        <v>0</v>
      </c>
      <c r="U41" s="3797"/>
      <c r="V41" s="3797">
        <f>I41</f>
        <v>0</v>
      </c>
      <c r="W41" s="3797"/>
      <c r="X41" s="1559"/>
      <c r="Y41" s="1581"/>
      <c r="Z41" s="1559"/>
      <c r="AA41" s="1559"/>
      <c r="AB41" s="1559"/>
      <c r="AC41" s="1559"/>
    </row>
    <row r="42" spans="1:29" ht="15.75" thickBot="1">
      <c r="A42" s="614" t="s">
        <v>2764</v>
      </c>
      <c r="B42" s="887"/>
      <c r="C42" s="2657" t="e">
        <f>R43</f>
        <v>#DIV/0!</v>
      </c>
      <c r="D42" s="2658"/>
      <c r="E42" s="2659" t="e">
        <f>R42</f>
        <v>#DIV/0!</v>
      </c>
      <c r="F42" s="2659"/>
      <c r="G42" s="2657" t="e">
        <f>T42</f>
        <v>#DIV/0!</v>
      </c>
      <c r="H42" s="2658"/>
      <c r="I42" s="2659" t="e">
        <f>V42</f>
        <v>#DIV/0!</v>
      </c>
      <c r="J42" s="2658"/>
      <c r="K42" s="1612"/>
      <c r="L42" s="2144"/>
      <c r="M42" s="2145"/>
      <c r="N42" s="2134"/>
      <c r="O42" s="2145"/>
      <c r="P42" s="3681" t="str">
        <f>A42</f>
        <v>比较价格（元/平方米）</v>
      </c>
      <c r="Q42" s="3681"/>
      <c r="R42" s="3797" t="e">
        <f>IF(F1="售价",ROUND(PRODUCT(R41,AA7:AA40),0),ROUND(PRODUCT(R41,AA7:AA40),1))</f>
        <v>#DIV/0!</v>
      </c>
      <c r="S42" s="3797"/>
      <c r="T42" s="3797" t="e">
        <f>IF(F1="售价",ROUND(PRODUCT(T41,AB7:AB40),0),ROUND(PRODUCT(T41,AB7:AB40),1))</f>
        <v>#DIV/0!</v>
      </c>
      <c r="U42" s="3797"/>
      <c r="V42" s="3797" t="e">
        <f>IF(F1="售价",ROUND(PRODUCT(V41,AC7:AC40),0),ROUND(PRODUCT(V41,AC7:AC40),1))</f>
        <v>#DIV/0!</v>
      </c>
      <c r="W42" s="3797"/>
      <c r="X42" s="1559"/>
      <c r="Y42" s="1559"/>
      <c r="Z42" s="1559"/>
      <c r="AA42" s="1559"/>
      <c r="AB42" s="1559"/>
      <c r="AC42" s="1559"/>
    </row>
    <row r="43" spans="1:29" ht="15.75" thickBot="1">
      <c r="A43" s="620" t="s">
        <v>2937</v>
      </c>
      <c r="B43" s="621"/>
      <c r="C43" s="2660" t="e">
        <f>R43</f>
        <v>#DIV/0!</v>
      </c>
      <c r="D43" s="2660"/>
      <c r="E43" s="2660"/>
      <c r="F43" s="2660"/>
      <c r="G43" s="2660"/>
      <c r="H43" s="2660"/>
      <c r="I43" s="2660"/>
      <c r="J43" s="2660"/>
      <c r="K43" s="1613"/>
      <c r="L43" s="2144"/>
      <c r="M43" s="2145"/>
      <c r="N43" s="2145"/>
      <c r="O43" s="2145"/>
      <c r="P43" s="3678" t="str">
        <f>A43</f>
        <v>估价对象XX用房的比较价格（楼面单价，元/平方米）</v>
      </c>
      <c r="Q43" s="3679"/>
      <c r="R43" s="3796" t="e">
        <f>IF(F1="售价",ROUND(AVERAGE(R42:V42),0),ROUND(AVERAGE(R42:V42),1))</f>
        <v>#DIV/0!</v>
      </c>
      <c r="S43" s="3796"/>
      <c r="T43" s="3796"/>
      <c r="U43" s="3796"/>
      <c r="V43" s="3796"/>
      <c r="W43" s="3796"/>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530</v>
      </c>
      <c r="B52" s="645"/>
      <c r="C52" s="2827" t="str">
        <f>YEAR(C7)&amp;"-"&amp;MONTH(C7)</f>
        <v>2018-1</v>
      </c>
      <c r="D52" s="2829">
        <f>EDATE(C52,-1)</f>
        <v>43070</v>
      </c>
      <c r="E52" s="2829">
        <f t="shared" ref="E52:O52" si="16">EDATE(D52,-1)</f>
        <v>43040</v>
      </c>
      <c r="F52" s="2829">
        <f t="shared" si="16"/>
        <v>43009</v>
      </c>
      <c r="G52" s="2829">
        <f t="shared" si="16"/>
        <v>42979</v>
      </c>
      <c r="H52" s="2829">
        <f t="shared" si="16"/>
        <v>42948</v>
      </c>
      <c r="I52" s="2829">
        <f t="shared" si="16"/>
        <v>42917</v>
      </c>
      <c r="J52" s="2829">
        <f t="shared" si="16"/>
        <v>42887</v>
      </c>
      <c r="K52" s="2829">
        <f t="shared" si="16"/>
        <v>42856</v>
      </c>
      <c r="L52" s="2829">
        <f t="shared" si="16"/>
        <v>42826</v>
      </c>
      <c r="M52" s="2829">
        <f t="shared" si="16"/>
        <v>42795</v>
      </c>
      <c r="N52" s="2829">
        <f t="shared" si="16"/>
        <v>42767</v>
      </c>
      <c r="O52" s="2829">
        <f t="shared" si="16"/>
        <v>42736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2561</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2562</v>
      </c>
      <c r="C76" s="2622" t="s">
        <v>2563</v>
      </c>
      <c r="D76" s="2622" t="s">
        <v>2564</v>
      </c>
      <c r="E76" s="2622" t="s">
        <v>2565</v>
      </c>
      <c r="F76" s="2622" t="s">
        <v>2566</v>
      </c>
      <c r="G76" s="2622" t="s">
        <v>2567</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2560</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3687" t="s">
        <v>799</v>
      </c>
      <c r="D4" s="3688"/>
      <c r="E4" s="3687" t="s">
        <v>800</v>
      </c>
      <c r="F4" s="3688"/>
      <c r="G4" s="3687" t="s">
        <v>801</v>
      </c>
      <c r="H4" s="3688"/>
      <c r="I4" s="3687" t="s">
        <v>802</v>
      </c>
      <c r="J4" s="3688"/>
      <c r="K4" s="513" t="s">
        <v>803</v>
      </c>
      <c r="L4" s="2133"/>
      <c r="M4" s="2134"/>
      <c r="N4" s="2134"/>
      <c r="O4" s="2134"/>
      <c r="P4" s="3689" t="s">
        <v>804</v>
      </c>
      <c r="Q4" s="3690"/>
      <c r="R4" s="3695" t="s">
        <v>800</v>
      </c>
      <c r="S4" s="3696"/>
      <c r="T4" s="3695" t="s">
        <v>801</v>
      </c>
      <c r="U4" s="3696"/>
      <c r="V4" s="3682" t="s">
        <v>802</v>
      </c>
      <c r="W4" s="3682"/>
      <c r="X4" s="1567"/>
      <c r="Y4" s="3695" t="s">
        <v>804</v>
      </c>
      <c r="Z4" s="3696"/>
      <c r="AA4" s="3684" t="s">
        <v>800</v>
      </c>
      <c r="AB4" s="3685" t="s">
        <v>801</v>
      </c>
      <c r="AC4" s="3684" t="s">
        <v>802</v>
      </c>
    </row>
    <row r="5" spans="1:29" ht="15">
      <c r="A5" s="514"/>
      <c r="B5" s="515"/>
      <c r="C5" s="3705" t="s">
        <v>2931</v>
      </c>
      <c r="D5" s="3704"/>
      <c r="E5" s="3705" t="s">
        <v>2932</v>
      </c>
      <c r="F5" s="3704"/>
      <c r="G5" s="3705" t="s">
        <v>2933</v>
      </c>
      <c r="H5" s="3704"/>
      <c r="I5" s="3705" t="s">
        <v>2934</v>
      </c>
      <c r="J5" s="3704"/>
      <c r="K5" s="513"/>
      <c r="L5" s="2133"/>
      <c r="M5" s="2134"/>
      <c r="N5" s="2134"/>
      <c r="O5" s="2134"/>
      <c r="P5" s="3691"/>
      <c r="Q5" s="3692"/>
      <c r="R5" s="3697"/>
      <c r="S5" s="3698"/>
      <c r="T5" s="3697"/>
      <c r="U5" s="3698"/>
      <c r="V5" s="3682"/>
      <c r="W5" s="3682"/>
      <c r="X5" s="1567"/>
      <c r="Y5" s="3697"/>
      <c r="Z5" s="3698"/>
      <c r="AA5" s="3685"/>
      <c r="AB5" s="3685"/>
      <c r="AC5" s="3685"/>
    </row>
    <row r="6" spans="1:29" ht="15.75" thickBot="1">
      <c r="A6" s="516"/>
      <c r="B6" s="517"/>
      <c r="C6" s="3721" t="s">
        <v>2935</v>
      </c>
      <c r="D6" s="3702"/>
      <c r="E6" s="3706" t="s">
        <v>2935</v>
      </c>
      <c r="F6" s="3707"/>
      <c r="G6" s="3721" t="s">
        <v>2935</v>
      </c>
      <c r="H6" s="3702"/>
      <c r="I6" s="3721" t="s">
        <v>2935</v>
      </c>
      <c r="J6" s="3702"/>
      <c r="K6" s="513" t="s">
        <v>529</v>
      </c>
      <c r="L6" s="2133"/>
      <c r="M6" s="2134"/>
      <c r="N6" s="2134"/>
      <c r="O6" s="2134"/>
      <c r="P6" s="3693"/>
      <c r="Q6" s="3694"/>
      <c r="R6" s="3697"/>
      <c r="S6" s="3698"/>
      <c r="T6" s="3699"/>
      <c r="U6" s="3700"/>
      <c r="V6" s="3682"/>
      <c r="W6" s="3682"/>
      <c r="X6" s="1567"/>
      <c r="Y6" s="3699"/>
      <c r="Z6" s="3700"/>
      <c r="AA6" s="3686"/>
      <c r="AB6" s="3686"/>
      <c r="AC6" s="3686"/>
    </row>
    <row r="7" spans="1:29" s="1219" customFormat="1" ht="15.75" thickBot="1">
      <c r="A7" s="2937"/>
      <c r="B7" s="2944" t="s">
        <v>530</v>
      </c>
      <c r="C7" s="518">
        <f>'数据-取费表'!B2</f>
        <v>43131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714" t="s">
        <v>531</v>
      </c>
      <c r="Q7" s="3716"/>
      <c r="R7" s="1568" t="s">
        <v>8</v>
      </c>
      <c r="S7" s="1569">
        <f t="shared" ref="S7:S14" si="0">F7</f>
        <v>0</v>
      </c>
      <c r="T7" s="1568" t="s">
        <v>8</v>
      </c>
      <c r="U7" s="1569">
        <f t="shared" ref="U7:U14" si="1">H7</f>
        <v>0</v>
      </c>
      <c r="V7" s="1568" t="s">
        <v>8</v>
      </c>
      <c r="W7" s="1569">
        <f t="shared" ref="W7:W14" si="2">J7</f>
        <v>0</v>
      </c>
      <c r="X7" s="1570"/>
      <c r="Y7" s="3714" t="s">
        <v>531</v>
      </c>
      <c r="Z7" s="3715"/>
      <c r="AA7" s="1571" t="e">
        <f>D7/F7</f>
        <v>#DIV/0!</v>
      </c>
      <c r="AB7" s="1571" t="e">
        <f>D7/H7</f>
        <v>#DIV/0!</v>
      </c>
      <c r="AC7" s="1571" t="e">
        <f>D7/J7</f>
        <v>#DIV/0!</v>
      </c>
    </row>
    <row r="8" spans="1:29" s="1219" customFormat="1" ht="15.75" thickBot="1">
      <c r="A8" s="2938"/>
      <c r="B8" s="2945"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714" t="s">
        <v>534</v>
      </c>
      <c r="Q8" s="3715"/>
      <c r="R8" s="1568" t="s">
        <v>8</v>
      </c>
      <c r="S8" s="1569">
        <f t="shared" si="0"/>
        <v>0</v>
      </c>
      <c r="T8" s="1568" t="s">
        <v>8</v>
      </c>
      <c r="U8" s="1569">
        <f t="shared" si="1"/>
        <v>0</v>
      </c>
      <c r="V8" s="1568" t="s">
        <v>8</v>
      </c>
      <c r="W8" s="1569">
        <f t="shared" si="2"/>
        <v>0</v>
      </c>
      <c r="X8" s="1570"/>
      <c r="Y8" s="3714" t="s">
        <v>534</v>
      </c>
      <c r="Z8" s="3715"/>
      <c r="AA8" s="1571" t="e">
        <f t="shared" ref="AA8:AA36" si="3">D8/F8</f>
        <v>#DIV/0!</v>
      </c>
      <c r="AB8" s="1571" t="e">
        <f t="shared" ref="AB8:AB36" si="4">D8/H8</f>
        <v>#DIV/0!</v>
      </c>
      <c r="AC8" s="1571" t="e">
        <f t="shared" ref="AC8:AC36" si="5">D8/J8</f>
        <v>#DIV/0!</v>
      </c>
    </row>
    <row r="9" spans="1:29" s="1219" customFormat="1" ht="15">
      <c r="A9" s="2939"/>
      <c r="B9" s="2946" t="s">
        <v>2760</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681" t="s">
        <v>536</v>
      </c>
      <c r="Q9" s="1150" t="str">
        <f t="shared" ref="Q9:Q14" si="6">B9</f>
        <v>用途</v>
      </c>
      <c r="R9" s="1568" t="s">
        <v>8</v>
      </c>
      <c r="S9" s="1569">
        <f t="shared" si="0"/>
        <v>100</v>
      </c>
      <c r="T9" s="1568" t="s">
        <v>8</v>
      </c>
      <c r="U9" s="1569">
        <f t="shared" si="1"/>
        <v>100</v>
      </c>
      <c r="V9" s="1568" t="s">
        <v>8</v>
      </c>
      <c r="W9" s="1569">
        <f t="shared" si="2"/>
        <v>100</v>
      </c>
      <c r="X9" s="1570"/>
      <c r="Y9" s="3627" t="s">
        <v>537</v>
      </c>
      <c r="Z9" s="1149" t="str">
        <f t="shared" ref="Z9:Z14" si="7">Q9</f>
        <v>用途</v>
      </c>
      <c r="AA9" s="1571">
        <f t="shared" si="3"/>
        <v>1</v>
      </c>
      <c r="AB9" s="1571">
        <f t="shared" si="4"/>
        <v>1</v>
      </c>
      <c r="AC9" s="1571">
        <f t="shared" si="5"/>
        <v>1</v>
      </c>
    </row>
    <row r="10" spans="1:29" s="1337" customFormat="1" ht="27">
      <c r="A10" s="2940"/>
      <c r="B10" s="2945" t="s">
        <v>2761</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681"/>
      <c r="Q10" s="1150" t="str">
        <f t="shared" si="6"/>
        <v>土地使用年限（年）</v>
      </c>
      <c r="R10" s="1568" t="s">
        <v>8</v>
      </c>
      <c r="S10" s="1569">
        <f t="shared" si="0"/>
        <v>100</v>
      </c>
      <c r="T10" s="1568" t="s">
        <v>8</v>
      </c>
      <c r="U10" s="1569">
        <f t="shared" si="1"/>
        <v>100</v>
      </c>
      <c r="V10" s="1568" t="s">
        <v>8</v>
      </c>
      <c r="W10" s="1569">
        <f t="shared" si="2"/>
        <v>100</v>
      </c>
      <c r="X10" s="1570"/>
      <c r="Y10" s="3627"/>
      <c r="Z10" s="1149" t="str">
        <f t="shared" si="7"/>
        <v>土地使用年限（年）</v>
      </c>
      <c r="AA10" s="1571">
        <f t="shared" si="3"/>
        <v>1</v>
      </c>
      <c r="AB10" s="1571">
        <f t="shared" si="4"/>
        <v>1</v>
      </c>
      <c r="AC10" s="1571">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681"/>
      <c r="Q11" s="1150">
        <f t="shared" si="6"/>
        <v>111</v>
      </c>
      <c r="R11" s="1568" t="s">
        <v>8</v>
      </c>
      <c r="S11" s="1569">
        <f t="shared" si="0"/>
        <v>100</v>
      </c>
      <c r="T11" s="1568" t="s">
        <v>8</v>
      </c>
      <c r="U11" s="1569">
        <f t="shared" si="1"/>
        <v>100</v>
      </c>
      <c r="V11" s="1568" t="s">
        <v>8</v>
      </c>
      <c r="W11" s="1569">
        <f t="shared" si="2"/>
        <v>100</v>
      </c>
      <c r="X11" s="1570"/>
      <c r="Y11" s="3627"/>
      <c r="Z11" s="1149">
        <f t="shared" si="7"/>
        <v>111</v>
      </c>
      <c r="AA11" s="1571">
        <f t="shared" si="3"/>
        <v>1</v>
      </c>
      <c r="AB11" s="1571">
        <f t="shared" si="4"/>
        <v>1</v>
      </c>
      <c r="AC11" s="1571">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681"/>
      <c r="Q12" s="1150">
        <f t="shared" si="6"/>
        <v>111</v>
      </c>
      <c r="R12" s="1568" t="s">
        <v>8</v>
      </c>
      <c r="S12" s="1569">
        <f t="shared" si="0"/>
        <v>100</v>
      </c>
      <c r="T12" s="1568" t="s">
        <v>8</v>
      </c>
      <c r="U12" s="1569">
        <f t="shared" si="1"/>
        <v>100</v>
      </c>
      <c r="V12" s="1568" t="s">
        <v>8</v>
      </c>
      <c r="W12" s="1569">
        <f t="shared" si="2"/>
        <v>100</v>
      </c>
      <c r="X12" s="1570"/>
      <c r="Y12" s="3627"/>
      <c r="Z12" s="1149">
        <f t="shared" si="7"/>
        <v>111</v>
      </c>
      <c r="AA12" s="1571">
        <f>D12/F12</f>
        <v>1</v>
      </c>
      <c r="AB12" s="1571">
        <f>D12/H12</f>
        <v>1</v>
      </c>
      <c r="AC12" s="1571">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681"/>
      <c r="Q13" s="1150">
        <f t="shared" si="6"/>
        <v>111</v>
      </c>
      <c r="R13" s="1568" t="s">
        <v>8</v>
      </c>
      <c r="S13" s="1569">
        <f t="shared" si="0"/>
        <v>100</v>
      </c>
      <c r="T13" s="1568" t="s">
        <v>8</v>
      </c>
      <c r="U13" s="1569">
        <f t="shared" si="1"/>
        <v>100</v>
      </c>
      <c r="V13" s="1568" t="s">
        <v>8</v>
      </c>
      <c r="W13" s="1569">
        <f t="shared" si="2"/>
        <v>100</v>
      </c>
      <c r="X13" s="1570"/>
      <c r="Y13" s="3627"/>
      <c r="Z13" s="1149">
        <f t="shared" si="7"/>
        <v>111</v>
      </c>
      <c r="AA13" s="1571">
        <f t="shared" si="3"/>
        <v>1</v>
      </c>
      <c r="AB13" s="1571">
        <f t="shared" si="4"/>
        <v>1</v>
      </c>
      <c r="AC13" s="1571">
        <f t="shared" si="5"/>
        <v>1</v>
      </c>
    </row>
    <row r="14" spans="1:29" ht="85.5">
      <c r="A14" s="2935" t="s">
        <v>2758</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717" t="s">
        <v>541</v>
      </c>
      <c r="Q14" s="1572" t="str">
        <f t="shared" si="6"/>
        <v>交通便捷度</v>
      </c>
      <c r="R14" s="1573" t="s">
        <v>8</v>
      </c>
      <c r="S14" s="1574">
        <f t="shared" si="0"/>
        <v>100</v>
      </c>
      <c r="T14" s="1573" t="s">
        <v>8</v>
      </c>
      <c r="U14" s="1574">
        <f t="shared" si="1"/>
        <v>100</v>
      </c>
      <c r="V14" s="1573" t="s">
        <v>8</v>
      </c>
      <c r="W14" s="1574">
        <f t="shared" si="2"/>
        <v>100</v>
      </c>
      <c r="X14" s="1567"/>
      <c r="Y14" s="3717"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3718"/>
      <c r="Q15" s="1572"/>
      <c r="R15" s="1573"/>
      <c r="S15" s="1574"/>
      <c r="T15" s="1573"/>
      <c r="U15" s="1574"/>
      <c r="V15" s="1573"/>
      <c r="W15" s="1574"/>
      <c r="X15" s="1567"/>
      <c r="Y15" s="3718"/>
      <c r="Z15" s="1575"/>
      <c r="AA15" s="1576">
        <v>1</v>
      </c>
      <c r="AB15" s="1576">
        <v>1</v>
      </c>
      <c r="AC15" s="1576">
        <v>1</v>
      </c>
    </row>
    <row r="16" spans="1:29" ht="42.75">
      <c r="A16" s="514"/>
      <c r="B16" s="2627" t="s">
        <v>2550</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718"/>
      <c r="Q16" s="1572" t="str">
        <f>B16</f>
        <v>公共配套设施</v>
      </c>
      <c r="R16" s="1573" t="s">
        <v>8</v>
      </c>
      <c r="S16" s="1574">
        <f>F16</f>
        <v>100</v>
      </c>
      <c r="T16" s="1573" t="s">
        <v>8</v>
      </c>
      <c r="U16" s="1574">
        <f>H16</f>
        <v>100</v>
      </c>
      <c r="V16" s="1573" t="s">
        <v>8</v>
      </c>
      <c r="W16" s="1574">
        <f>J16</f>
        <v>100</v>
      </c>
      <c r="X16" s="1567"/>
      <c r="Y16" s="3718"/>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3718"/>
      <c r="Q17" s="1572"/>
      <c r="R17" s="1573"/>
      <c r="S17" s="1574"/>
      <c r="T17" s="1573"/>
      <c r="U17" s="1574"/>
      <c r="V17" s="1573"/>
      <c r="W17" s="1574"/>
      <c r="X17" s="1567"/>
      <c r="Y17" s="3718"/>
      <c r="Z17" s="1575"/>
      <c r="AA17" s="1576">
        <v>1</v>
      </c>
      <c r="AB17" s="1576">
        <v>1</v>
      </c>
      <c r="AC17" s="1576">
        <v>1</v>
      </c>
    </row>
    <row r="18" spans="1:29" ht="28.5">
      <c r="A18" s="514"/>
      <c r="B18" s="2615" t="s">
        <v>2562</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718"/>
      <c r="Q18" s="2603" t="str">
        <f>B18</f>
        <v>基础设施水平</v>
      </c>
      <c r="R18" s="1573" t="s">
        <v>8</v>
      </c>
      <c r="S18" s="1574">
        <f>F18</f>
        <v>100</v>
      </c>
      <c r="T18" s="1573" t="s">
        <v>8</v>
      </c>
      <c r="U18" s="1574">
        <f>H18</f>
        <v>100</v>
      </c>
      <c r="V18" s="1573" t="s">
        <v>8</v>
      </c>
      <c r="W18" s="1574">
        <f>J18</f>
        <v>100</v>
      </c>
      <c r="X18" s="2605"/>
      <c r="Y18" s="3718"/>
      <c r="Z18" s="2604"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6"/>
      <c r="L19" s="2142"/>
      <c r="M19" s="2134"/>
      <c r="N19" s="2134"/>
      <c r="O19" s="2141"/>
      <c r="P19" s="3718"/>
      <c r="Q19" s="2603"/>
      <c r="R19" s="1573"/>
      <c r="S19" s="1574"/>
      <c r="T19" s="1573"/>
      <c r="U19" s="1574"/>
      <c r="V19" s="1573"/>
      <c r="W19" s="1574"/>
      <c r="X19" s="2605"/>
      <c r="Y19" s="3718"/>
      <c r="Z19" s="2604"/>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718"/>
      <c r="Q20" s="1572" t="str">
        <f>B20</f>
        <v>自然及人文环境</v>
      </c>
      <c r="R20" s="1573" t="s">
        <v>8</v>
      </c>
      <c r="S20" s="1574">
        <f>F20</f>
        <v>100</v>
      </c>
      <c r="T20" s="1573" t="s">
        <v>8</v>
      </c>
      <c r="U20" s="1574">
        <f>H20</f>
        <v>100</v>
      </c>
      <c r="V20" s="1573" t="s">
        <v>8</v>
      </c>
      <c r="W20" s="1574">
        <f>J20</f>
        <v>100</v>
      </c>
      <c r="X20" s="1567"/>
      <c r="Y20" s="3718"/>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3718"/>
      <c r="Q21" s="1572"/>
      <c r="R21" s="1573"/>
      <c r="S21" s="1574"/>
      <c r="T21" s="1573"/>
      <c r="U21" s="1574"/>
      <c r="V21" s="1573"/>
      <c r="W21" s="1574"/>
      <c r="X21" s="1567"/>
      <c r="Y21" s="3718"/>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718"/>
      <c r="Q22" s="1572" t="str">
        <f>B22</f>
        <v>楼层</v>
      </c>
      <c r="R22" s="1573" t="s">
        <v>8</v>
      </c>
      <c r="S22" s="1574">
        <f>F22</f>
        <v>100</v>
      </c>
      <c r="T22" s="1573" t="s">
        <v>8</v>
      </c>
      <c r="U22" s="1574">
        <f>H22</f>
        <v>100</v>
      </c>
      <c r="V22" s="1573" t="s">
        <v>8</v>
      </c>
      <c r="W22" s="1574">
        <f>J22</f>
        <v>100</v>
      </c>
      <c r="X22" s="1567"/>
      <c r="Y22" s="3718"/>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718"/>
      <c r="Q23" s="1572">
        <f>B23</f>
        <v>111</v>
      </c>
      <c r="R23" s="1573" t="s">
        <v>8</v>
      </c>
      <c r="S23" s="1574">
        <f>F23</f>
        <v>100</v>
      </c>
      <c r="T23" s="1573" t="s">
        <v>8</v>
      </c>
      <c r="U23" s="1574">
        <f>H23</f>
        <v>100</v>
      </c>
      <c r="V23" s="1573" t="s">
        <v>8</v>
      </c>
      <c r="W23" s="1574">
        <f>J23</f>
        <v>100</v>
      </c>
      <c r="X23" s="1567"/>
      <c r="Y23" s="3718"/>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718"/>
      <c r="Q24" s="1572">
        <f t="shared" ref="Q24:Q36" si="11">B24</f>
        <v>111</v>
      </c>
      <c r="R24" s="1573" t="s">
        <v>8</v>
      </c>
      <c r="S24" s="1574">
        <f>F24</f>
        <v>100</v>
      </c>
      <c r="T24" s="1573" t="s">
        <v>8</v>
      </c>
      <c r="U24" s="1574">
        <f>H24</f>
        <v>100</v>
      </c>
      <c r="V24" s="1573" t="s">
        <v>8</v>
      </c>
      <c r="W24" s="1574">
        <f>J24</f>
        <v>100</v>
      </c>
      <c r="X24" s="1567"/>
      <c r="Y24" s="3718"/>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718"/>
      <c r="Q25" s="1150">
        <f t="shared" si="11"/>
        <v>111</v>
      </c>
      <c r="R25" s="1568" t="s">
        <v>8</v>
      </c>
      <c r="S25" s="1569">
        <f>F25</f>
        <v>100</v>
      </c>
      <c r="T25" s="1568" t="s">
        <v>8</v>
      </c>
      <c r="U25" s="1569">
        <f>H25</f>
        <v>100</v>
      </c>
      <c r="V25" s="1568" t="s">
        <v>8</v>
      </c>
      <c r="W25" s="1569">
        <f>J25</f>
        <v>100</v>
      </c>
      <c r="X25" s="1570"/>
      <c r="Y25" s="3718"/>
      <c r="Z25" s="1149">
        <f>Q25</f>
        <v>111</v>
      </c>
      <c r="AA25" s="1576">
        <f>D25/F25</f>
        <v>1</v>
      </c>
      <c r="AB25" s="1576">
        <f>D25/H25</f>
        <v>1</v>
      </c>
      <c r="AC25" s="1576">
        <f>D25/J25</f>
        <v>1</v>
      </c>
    </row>
    <row r="26" spans="1:29" ht="15">
      <c r="A26" s="2932" t="s">
        <v>2759</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719"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20"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720"/>
      <c r="Q27" s="1605" t="str">
        <f t="shared" si="11"/>
        <v>项目停车位配比</v>
      </c>
      <c r="R27" s="1577" t="s">
        <v>8</v>
      </c>
      <c r="S27" s="1578">
        <f t="shared" si="12"/>
        <v>100</v>
      </c>
      <c r="T27" s="1577" t="s">
        <v>8</v>
      </c>
      <c r="U27" s="1578">
        <f t="shared" si="13"/>
        <v>100</v>
      </c>
      <c r="V27" s="1577" t="s">
        <v>8</v>
      </c>
      <c r="W27" s="1578">
        <f t="shared" si="14"/>
        <v>100</v>
      </c>
      <c r="X27" s="1579"/>
      <c r="Y27" s="3720"/>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720"/>
      <c r="Q28" s="1572" t="str">
        <f t="shared" si="11"/>
        <v>公共部分装修</v>
      </c>
      <c r="R28" s="1573" t="s">
        <v>8</v>
      </c>
      <c r="S28" s="1574">
        <f t="shared" si="12"/>
        <v>100</v>
      </c>
      <c r="T28" s="1573" t="s">
        <v>8</v>
      </c>
      <c r="U28" s="1574">
        <f t="shared" si="13"/>
        <v>100</v>
      </c>
      <c r="V28" s="1573" t="s">
        <v>8</v>
      </c>
      <c r="W28" s="1574">
        <f t="shared" si="14"/>
        <v>100</v>
      </c>
      <c r="X28" s="1567"/>
      <c r="Y28" s="3720"/>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720"/>
      <c r="Q29" s="1572" t="str">
        <f t="shared" si="11"/>
        <v>成新率</v>
      </c>
      <c r="R29" s="1573" t="s">
        <v>8</v>
      </c>
      <c r="S29" s="1574" t="e">
        <f t="shared" si="12"/>
        <v>#N/A</v>
      </c>
      <c r="T29" s="1573" t="s">
        <v>8</v>
      </c>
      <c r="U29" s="1574" t="e">
        <f t="shared" si="13"/>
        <v>#N/A</v>
      </c>
      <c r="V29" s="1573" t="s">
        <v>8</v>
      </c>
      <c r="W29" s="1574" t="e">
        <f t="shared" si="14"/>
        <v>#N/A</v>
      </c>
      <c r="X29" s="1567"/>
      <c r="Y29" s="3720"/>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720"/>
      <c r="Q30" s="1572" t="str">
        <f t="shared" si="11"/>
        <v>物业等级</v>
      </c>
      <c r="R30" s="1573" t="s">
        <v>8</v>
      </c>
      <c r="S30" s="1574">
        <f t="shared" si="12"/>
        <v>100</v>
      </c>
      <c r="T30" s="1573" t="s">
        <v>8</v>
      </c>
      <c r="U30" s="1574">
        <f t="shared" si="13"/>
        <v>100</v>
      </c>
      <c r="V30" s="1573" t="s">
        <v>8</v>
      </c>
      <c r="W30" s="1574">
        <f t="shared" si="14"/>
        <v>100</v>
      </c>
      <c r="X30" s="1567"/>
      <c r="Y30" s="3720"/>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720"/>
      <c r="Q31" s="1150" t="str">
        <f t="shared" si="11"/>
        <v>停车位面积</v>
      </c>
      <c r="R31" s="1568" t="s">
        <v>8</v>
      </c>
      <c r="S31" s="1569" t="e">
        <f t="shared" si="12"/>
        <v>#N/A</v>
      </c>
      <c r="T31" s="1568" t="s">
        <v>8</v>
      </c>
      <c r="U31" s="1569" t="e">
        <f t="shared" si="13"/>
        <v>#N/A</v>
      </c>
      <c r="V31" s="1568" t="s">
        <v>8</v>
      </c>
      <c r="W31" s="1569" t="e">
        <f t="shared" si="14"/>
        <v>#N/A</v>
      </c>
      <c r="X31" s="1570"/>
      <c r="Y31" s="3720"/>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720" t="s">
        <v>551</v>
      </c>
      <c r="Q32" s="1572" t="str">
        <f t="shared" si="11"/>
        <v>车位类型</v>
      </c>
      <c r="R32" s="1573" t="s">
        <v>8</v>
      </c>
      <c r="S32" s="1574">
        <f t="shared" si="12"/>
        <v>100</v>
      </c>
      <c r="T32" s="1573" t="s">
        <v>8</v>
      </c>
      <c r="U32" s="1574">
        <f t="shared" si="13"/>
        <v>100</v>
      </c>
      <c r="V32" s="1573" t="s">
        <v>8</v>
      </c>
      <c r="W32" s="1574">
        <f t="shared" si="14"/>
        <v>100</v>
      </c>
      <c r="X32" s="1567"/>
      <c r="Y32" s="3720"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720"/>
      <c r="Q33" s="1572" t="str">
        <f t="shared" si="11"/>
        <v>是否直接入户</v>
      </c>
      <c r="R33" s="1573" t="s">
        <v>8</v>
      </c>
      <c r="S33" s="1574">
        <f t="shared" si="12"/>
        <v>100</v>
      </c>
      <c r="T33" s="1573" t="s">
        <v>8</v>
      </c>
      <c r="U33" s="1574">
        <f t="shared" si="13"/>
        <v>100</v>
      </c>
      <c r="V33" s="1573" t="s">
        <v>8</v>
      </c>
      <c r="W33" s="1574">
        <f t="shared" si="14"/>
        <v>100</v>
      </c>
      <c r="X33" s="1567"/>
      <c r="Y33" s="3720"/>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720"/>
      <c r="Q34" s="1572">
        <f t="shared" si="11"/>
        <v>111</v>
      </c>
      <c r="R34" s="1573" t="s">
        <v>8</v>
      </c>
      <c r="S34" s="1574">
        <f t="shared" si="12"/>
        <v>100</v>
      </c>
      <c r="T34" s="1573" t="s">
        <v>8</v>
      </c>
      <c r="U34" s="1574">
        <f t="shared" si="13"/>
        <v>100</v>
      </c>
      <c r="V34" s="1573" t="s">
        <v>8</v>
      </c>
      <c r="W34" s="1574">
        <f t="shared" si="14"/>
        <v>100</v>
      </c>
      <c r="X34" s="1567"/>
      <c r="Y34" s="3720"/>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720"/>
      <c r="Q35" s="1605">
        <f t="shared" si="11"/>
        <v>111</v>
      </c>
      <c r="R35" s="1577" t="s">
        <v>8</v>
      </c>
      <c r="S35" s="1578">
        <f t="shared" si="12"/>
        <v>100</v>
      </c>
      <c r="T35" s="1577" t="s">
        <v>8</v>
      </c>
      <c r="U35" s="1578">
        <f t="shared" si="13"/>
        <v>100</v>
      </c>
      <c r="V35" s="1577" t="s">
        <v>8</v>
      </c>
      <c r="W35" s="1578">
        <f t="shared" si="14"/>
        <v>100</v>
      </c>
      <c r="X35" s="1579"/>
      <c r="Y35" s="3720"/>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720"/>
      <c r="Q36" s="1572">
        <f t="shared" si="11"/>
        <v>111</v>
      </c>
      <c r="R36" s="1573" t="s">
        <v>8</v>
      </c>
      <c r="S36" s="1574">
        <f t="shared" si="12"/>
        <v>100</v>
      </c>
      <c r="T36" s="1573" t="s">
        <v>8</v>
      </c>
      <c r="U36" s="1574">
        <f t="shared" si="13"/>
        <v>100</v>
      </c>
      <c r="V36" s="1573" t="s">
        <v>8</v>
      </c>
      <c r="W36" s="1574">
        <f t="shared" si="14"/>
        <v>100</v>
      </c>
      <c r="X36" s="1567"/>
      <c r="Y36" s="3720"/>
      <c r="Z36" s="1575">
        <f t="shared" si="15"/>
        <v>111</v>
      </c>
      <c r="AA36" s="1576">
        <f t="shared" si="3"/>
        <v>1</v>
      </c>
      <c r="AB36" s="1576">
        <f t="shared" si="4"/>
        <v>1</v>
      </c>
      <c r="AC36" s="1576">
        <f t="shared" si="5"/>
        <v>1</v>
      </c>
    </row>
    <row r="37" spans="1:29" ht="15">
      <c r="A37" s="1846" t="s">
        <v>2079</v>
      </c>
      <c r="B37" s="1847" t="s">
        <v>2080</v>
      </c>
      <c r="C37" s="2651" t="s">
        <v>1</v>
      </c>
      <c r="D37" s="2652"/>
      <c r="E37" s="2653"/>
      <c r="F37" s="2654"/>
      <c r="G37" s="2655"/>
      <c r="H37" s="2656"/>
      <c r="I37" s="2653"/>
      <c r="J37" s="2656"/>
      <c r="K37" s="1611"/>
      <c r="L37" s="2144"/>
      <c r="M37" s="2145"/>
      <c r="N37" s="2134"/>
      <c r="O37" s="2145"/>
      <c r="P37" s="3681" t="str">
        <f>A37</f>
        <v>成交单价</v>
      </c>
      <c r="Q37" s="3681"/>
      <c r="R37" s="3797">
        <f>E37</f>
        <v>0</v>
      </c>
      <c r="S37" s="3797"/>
      <c r="T37" s="3797">
        <f>G37</f>
        <v>0</v>
      </c>
      <c r="U37" s="3797"/>
      <c r="V37" s="3797">
        <f>I37</f>
        <v>0</v>
      </c>
      <c r="W37" s="3797"/>
      <c r="X37" s="1559"/>
      <c r="Y37" s="1581"/>
      <c r="Z37" s="1559"/>
      <c r="AA37" s="1559"/>
      <c r="AB37" s="1559"/>
      <c r="AC37" s="1559"/>
    </row>
    <row r="38" spans="1:29" ht="15.75" thickBot="1">
      <c r="A38" s="614" t="s">
        <v>2764</v>
      </c>
      <c r="B38" s="887"/>
      <c r="C38" s="2657" t="e">
        <f>R39</f>
        <v>#DIV/0!</v>
      </c>
      <c r="D38" s="2658"/>
      <c r="E38" s="2659" t="e">
        <f>R38</f>
        <v>#DIV/0!</v>
      </c>
      <c r="F38" s="2659"/>
      <c r="G38" s="2657" t="e">
        <f>T38</f>
        <v>#DIV/0!</v>
      </c>
      <c r="H38" s="2658"/>
      <c r="I38" s="2659" t="e">
        <f>V38</f>
        <v>#DIV/0!</v>
      </c>
      <c r="J38" s="2658"/>
      <c r="K38" s="1612"/>
      <c r="L38" s="2144"/>
      <c r="M38" s="2145"/>
      <c r="N38" s="2145"/>
      <c r="O38" s="2145"/>
      <c r="P38" s="3681" t="str">
        <f>A38</f>
        <v>比较价格（元/平方米）</v>
      </c>
      <c r="Q38" s="3681"/>
      <c r="R38" s="3797" t="e">
        <f>IF(F1="售价",ROUND(PRODUCT(R37,AA7:AA36),0),ROUND(PRODUCT(R37,AA7:AA36),1))</f>
        <v>#DIV/0!</v>
      </c>
      <c r="S38" s="3797"/>
      <c r="T38" s="3797" t="e">
        <f>IF(F1="售价",ROUND(PRODUCT(T37,AB7:AB36),0),ROUND(PRODUCT(T37,AB7:AB36),1))</f>
        <v>#DIV/0!</v>
      </c>
      <c r="U38" s="3797"/>
      <c r="V38" s="3797" t="e">
        <f>IF(F1="售价",ROUND(PRODUCT(V37,AC7:AC36),0),ROUND(PRODUCT(V37,AC7:AC36),1))</f>
        <v>#DIV/0!</v>
      </c>
      <c r="W38" s="3797"/>
      <c r="X38" s="1559"/>
      <c r="Y38" s="1559"/>
      <c r="Z38" s="1559"/>
      <c r="AA38" s="1559"/>
      <c r="AB38" s="1559"/>
      <c r="AC38" s="1559"/>
    </row>
    <row r="39" spans="1:29" ht="15.75" thickBot="1">
      <c r="A39" s="620" t="s">
        <v>2937</v>
      </c>
      <c r="B39" s="621"/>
      <c r="C39" s="2660" t="e">
        <f>R39</f>
        <v>#DIV/0!</v>
      </c>
      <c r="D39" s="2660"/>
      <c r="E39" s="2660"/>
      <c r="F39" s="2660"/>
      <c r="G39" s="2660"/>
      <c r="H39" s="2660"/>
      <c r="I39" s="2660"/>
      <c r="J39" s="2660"/>
      <c r="K39" s="1613"/>
      <c r="L39" s="2144"/>
      <c r="M39" s="2145"/>
      <c r="N39" s="2145"/>
      <c r="O39" s="2145"/>
      <c r="P39" s="3678" t="str">
        <f>A39</f>
        <v>估价对象XX用房的比较价格（楼面单价，元/平方米）</v>
      </c>
      <c r="Q39" s="3679"/>
      <c r="R39" s="3796" t="e">
        <f>IF(F1="售价",ROUND(AVERAGE(R38:V38),0),ROUND(AVERAGE(R38:V38),1))</f>
        <v>#DIV/0!</v>
      </c>
      <c r="S39" s="3796"/>
      <c r="T39" s="3796"/>
      <c r="U39" s="3796"/>
      <c r="V39" s="3796"/>
      <c r="W39" s="3796"/>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7" t="str">
        <f>YEAR(C7)&amp;"-"&amp;MONTH(C7)</f>
        <v>2018-1</v>
      </c>
      <c r="D48" s="2829">
        <f>EDATE(C48,-1)</f>
        <v>43070</v>
      </c>
      <c r="E48" s="2829">
        <f t="shared" ref="E48:O48" si="16">EDATE(D48,-1)</f>
        <v>43040</v>
      </c>
      <c r="F48" s="2829">
        <f t="shared" si="16"/>
        <v>43009</v>
      </c>
      <c r="G48" s="2829">
        <f t="shared" si="16"/>
        <v>42979</v>
      </c>
      <c r="H48" s="2829">
        <f t="shared" si="16"/>
        <v>42948</v>
      </c>
      <c r="I48" s="2829">
        <f t="shared" si="16"/>
        <v>42917</v>
      </c>
      <c r="J48" s="2829">
        <f t="shared" si="16"/>
        <v>42887</v>
      </c>
      <c r="K48" s="2829">
        <f t="shared" si="16"/>
        <v>42856</v>
      </c>
      <c r="L48" s="2829">
        <f t="shared" si="16"/>
        <v>42826</v>
      </c>
      <c r="M48" s="2829">
        <f t="shared" si="16"/>
        <v>42795</v>
      </c>
      <c r="N48" s="2829">
        <f t="shared" si="16"/>
        <v>42767</v>
      </c>
      <c r="O48" s="2829">
        <f t="shared" si="16"/>
        <v>42736</v>
      </c>
      <c r="P48" s="2160"/>
      <c r="Q48" s="2161"/>
      <c r="R48" s="2161"/>
      <c r="S48" s="2161"/>
      <c r="T48" s="2161"/>
      <c r="U48" s="2161"/>
      <c r="V48" s="2161"/>
      <c r="W48" s="2161"/>
      <c r="X48" s="2161"/>
      <c r="Y48" s="2161"/>
      <c r="Z48" s="2161"/>
      <c r="AA48" s="2161"/>
      <c r="AB48" s="2161"/>
      <c r="AC48" s="2161"/>
    </row>
    <row r="49" spans="1:29" s="1219" customFormat="1" ht="15">
      <c r="A49" s="646"/>
      <c r="B49" s="647"/>
      <c r="C49" s="2828">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2561</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2562</v>
      </c>
      <c r="C67" s="2622" t="s">
        <v>2563</v>
      </c>
      <c r="D67" s="2622" t="s">
        <v>2564</v>
      </c>
      <c r="E67" s="2622" t="s">
        <v>2565</v>
      </c>
      <c r="F67" s="2622" t="s">
        <v>2566</v>
      </c>
      <c r="G67" s="2622" t="s">
        <v>2567</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3687" t="s">
        <v>799</v>
      </c>
      <c r="D4" s="3688"/>
      <c r="E4" s="3724" t="s">
        <v>800</v>
      </c>
      <c r="F4" s="3725"/>
      <c r="G4" s="3687" t="s">
        <v>801</v>
      </c>
      <c r="H4" s="3688"/>
      <c r="I4" s="3687" t="s">
        <v>802</v>
      </c>
      <c r="J4" s="3688"/>
      <c r="K4" s="513" t="s">
        <v>803</v>
      </c>
      <c r="L4" s="2133"/>
      <c r="M4" s="2134"/>
      <c r="N4" s="2134"/>
      <c r="O4" s="2134"/>
      <c r="P4" s="3689" t="s">
        <v>804</v>
      </c>
      <c r="Q4" s="3690"/>
      <c r="R4" s="3695" t="s">
        <v>800</v>
      </c>
      <c r="S4" s="3696"/>
      <c r="T4" s="3695" t="s">
        <v>801</v>
      </c>
      <c r="U4" s="3696"/>
      <c r="V4" s="3682" t="s">
        <v>802</v>
      </c>
      <c r="W4" s="3682"/>
      <c r="X4" s="1567"/>
      <c r="Y4" s="3695" t="s">
        <v>804</v>
      </c>
      <c r="Z4" s="3696"/>
      <c r="AA4" s="3684" t="s">
        <v>800</v>
      </c>
      <c r="AB4" s="3685" t="s">
        <v>801</v>
      </c>
      <c r="AC4" s="3684" t="s">
        <v>802</v>
      </c>
    </row>
    <row r="5" spans="1:29" ht="15">
      <c r="A5" s="514"/>
      <c r="B5" s="515"/>
      <c r="C5" s="3705" t="s">
        <v>2931</v>
      </c>
      <c r="D5" s="3704"/>
      <c r="E5" s="3726" t="s">
        <v>2932</v>
      </c>
      <c r="F5" s="3727"/>
      <c r="G5" s="3705" t="s">
        <v>2933</v>
      </c>
      <c r="H5" s="3704"/>
      <c r="I5" s="3705" t="s">
        <v>2934</v>
      </c>
      <c r="J5" s="3704"/>
      <c r="K5" s="513"/>
      <c r="L5" s="2133"/>
      <c r="M5" s="2134"/>
      <c r="N5" s="2134"/>
      <c r="O5" s="2134"/>
      <c r="P5" s="3691"/>
      <c r="Q5" s="3692"/>
      <c r="R5" s="3697"/>
      <c r="S5" s="3698"/>
      <c r="T5" s="3697"/>
      <c r="U5" s="3698"/>
      <c r="V5" s="3682"/>
      <c r="W5" s="3682"/>
      <c r="X5" s="1567"/>
      <c r="Y5" s="3697"/>
      <c r="Z5" s="3698"/>
      <c r="AA5" s="3685"/>
      <c r="AB5" s="3685"/>
      <c r="AC5" s="3685"/>
    </row>
    <row r="6" spans="1:29" ht="15.75" thickBot="1">
      <c r="A6" s="516"/>
      <c r="B6" s="517"/>
      <c r="C6" s="3721" t="s">
        <v>2935</v>
      </c>
      <c r="D6" s="3702"/>
      <c r="E6" s="3722" t="s">
        <v>2935</v>
      </c>
      <c r="F6" s="3723"/>
      <c r="G6" s="3721" t="s">
        <v>2935</v>
      </c>
      <c r="H6" s="3702"/>
      <c r="I6" s="3721" t="s">
        <v>2935</v>
      </c>
      <c r="J6" s="3702"/>
      <c r="K6" s="513" t="s">
        <v>529</v>
      </c>
      <c r="L6" s="2133"/>
      <c r="M6" s="2134"/>
      <c r="N6" s="2134"/>
      <c r="O6" s="2134"/>
      <c r="P6" s="3693"/>
      <c r="Q6" s="3694"/>
      <c r="R6" s="3697"/>
      <c r="S6" s="3698"/>
      <c r="T6" s="3699"/>
      <c r="U6" s="3700"/>
      <c r="V6" s="3682"/>
      <c r="W6" s="3682"/>
      <c r="X6" s="1567"/>
      <c r="Y6" s="3699"/>
      <c r="Z6" s="3700"/>
      <c r="AA6" s="3686"/>
      <c r="AB6" s="3686"/>
      <c r="AC6" s="3686"/>
    </row>
    <row r="7" spans="1:29" s="1219" customFormat="1" ht="15.75" thickBot="1">
      <c r="A7" s="2937"/>
      <c r="B7" s="2944" t="s">
        <v>530</v>
      </c>
      <c r="C7" s="518">
        <f>'数据-取费表'!B2</f>
        <v>43131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714" t="s">
        <v>531</v>
      </c>
      <c r="Q7" s="3716"/>
      <c r="R7" s="1568" t="s">
        <v>8</v>
      </c>
      <c r="S7" s="1569">
        <f t="shared" ref="S7:S14" si="0">F7</f>
        <v>0</v>
      </c>
      <c r="T7" s="1568" t="s">
        <v>8</v>
      </c>
      <c r="U7" s="1569">
        <f t="shared" ref="U7:U14" si="1">H7</f>
        <v>0</v>
      </c>
      <c r="V7" s="1568" t="s">
        <v>8</v>
      </c>
      <c r="W7" s="1569">
        <f t="shared" ref="W7:W14" si="2">J7</f>
        <v>0</v>
      </c>
      <c r="X7" s="1570"/>
      <c r="Y7" s="3714" t="s">
        <v>531</v>
      </c>
      <c r="Z7" s="3715"/>
      <c r="AA7" s="1571" t="e">
        <f>D7/F7</f>
        <v>#DIV/0!</v>
      </c>
      <c r="AB7" s="1571" t="e">
        <f>D7/H7</f>
        <v>#DIV/0!</v>
      </c>
      <c r="AC7" s="1571" t="e">
        <f>D7/J7</f>
        <v>#DIV/0!</v>
      </c>
    </row>
    <row r="8" spans="1:29" s="1219" customFormat="1" ht="15.75" thickBot="1">
      <c r="A8" s="2938"/>
      <c r="B8" s="2945"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714" t="s">
        <v>534</v>
      </c>
      <c r="Q8" s="3715"/>
      <c r="R8" s="1568" t="s">
        <v>8</v>
      </c>
      <c r="S8" s="1569">
        <f t="shared" si="0"/>
        <v>0</v>
      </c>
      <c r="T8" s="1568" t="s">
        <v>8</v>
      </c>
      <c r="U8" s="1569">
        <f t="shared" si="1"/>
        <v>0</v>
      </c>
      <c r="V8" s="1568" t="s">
        <v>8</v>
      </c>
      <c r="W8" s="1569">
        <f t="shared" si="2"/>
        <v>0</v>
      </c>
      <c r="X8" s="1570"/>
      <c r="Y8" s="3714" t="s">
        <v>534</v>
      </c>
      <c r="Z8" s="3715"/>
      <c r="AA8" s="1571" t="e">
        <f t="shared" ref="AA8:AA34" si="3">D8/F8</f>
        <v>#DIV/0!</v>
      </c>
      <c r="AB8" s="1571" t="e">
        <f t="shared" ref="AB8:AB34" si="4">D8/H8</f>
        <v>#DIV/0!</v>
      </c>
      <c r="AC8" s="1571" t="e">
        <f t="shared" ref="AC8:AC34" si="5">D8/J8</f>
        <v>#DIV/0!</v>
      </c>
    </row>
    <row r="9" spans="1:29" s="1219" customFormat="1" ht="15">
      <c r="A9" s="2939"/>
      <c r="B9" s="2946" t="s">
        <v>2760</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681" t="s">
        <v>536</v>
      </c>
      <c r="Q9" s="1150" t="str">
        <f t="shared" ref="Q9:Q14" si="6">B9</f>
        <v>用途</v>
      </c>
      <c r="R9" s="1568" t="s">
        <v>8</v>
      </c>
      <c r="S9" s="1569">
        <f t="shared" si="0"/>
        <v>100</v>
      </c>
      <c r="T9" s="1568" t="s">
        <v>8</v>
      </c>
      <c r="U9" s="1569">
        <f t="shared" si="1"/>
        <v>100</v>
      </c>
      <c r="V9" s="1568" t="s">
        <v>8</v>
      </c>
      <c r="W9" s="1569">
        <f t="shared" si="2"/>
        <v>100</v>
      </c>
      <c r="X9" s="1570"/>
      <c r="Y9" s="3627" t="s">
        <v>537</v>
      </c>
      <c r="Z9" s="1149" t="str">
        <f t="shared" ref="Z9:Z14" si="7">Q9</f>
        <v>用途</v>
      </c>
      <c r="AA9" s="1571">
        <f t="shared" si="3"/>
        <v>1</v>
      </c>
      <c r="AB9" s="1571">
        <f t="shared" si="4"/>
        <v>1</v>
      </c>
      <c r="AC9" s="1571">
        <f t="shared" si="5"/>
        <v>1</v>
      </c>
    </row>
    <row r="10" spans="1:29" s="1337" customFormat="1" ht="27">
      <c r="A10" s="2940"/>
      <c r="B10" s="2945" t="s">
        <v>2761</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681"/>
      <c r="Q10" s="1150" t="str">
        <f t="shared" si="6"/>
        <v>土地使用年限（年）</v>
      </c>
      <c r="R10" s="1568" t="s">
        <v>8</v>
      </c>
      <c r="S10" s="1569">
        <f t="shared" si="0"/>
        <v>100</v>
      </c>
      <c r="T10" s="1568" t="s">
        <v>8</v>
      </c>
      <c r="U10" s="1569">
        <f t="shared" si="1"/>
        <v>100</v>
      </c>
      <c r="V10" s="1568" t="s">
        <v>8</v>
      </c>
      <c r="W10" s="1569">
        <f t="shared" si="2"/>
        <v>100</v>
      </c>
      <c r="X10" s="1570"/>
      <c r="Y10" s="3627"/>
      <c r="Z10" s="1149" t="str">
        <f t="shared" si="7"/>
        <v>土地使用年限（年）</v>
      </c>
      <c r="AA10" s="1571">
        <f t="shared" si="3"/>
        <v>1</v>
      </c>
      <c r="AB10" s="1571">
        <f t="shared" si="4"/>
        <v>1</v>
      </c>
      <c r="AC10" s="1571">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681"/>
      <c r="Q11" s="1150">
        <f t="shared" si="6"/>
        <v>111</v>
      </c>
      <c r="R11" s="1568" t="s">
        <v>8</v>
      </c>
      <c r="S11" s="1569">
        <f t="shared" si="0"/>
        <v>100</v>
      </c>
      <c r="T11" s="1568" t="s">
        <v>8</v>
      </c>
      <c r="U11" s="1569">
        <f t="shared" si="1"/>
        <v>100</v>
      </c>
      <c r="V11" s="1568" t="s">
        <v>8</v>
      </c>
      <c r="W11" s="1569">
        <f t="shared" si="2"/>
        <v>100</v>
      </c>
      <c r="X11" s="1570"/>
      <c r="Y11" s="3627"/>
      <c r="Z11" s="1149">
        <f t="shared" si="7"/>
        <v>111</v>
      </c>
      <c r="AA11" s="1571">
        <f t="shared" si="3"/>
        <v>1</v>
      </c>
      <c r="AB11" s="1571">
        <f t="shared" si="4"/>
        <v>1</v>
      </c>
      <c r="AC11" s="1571">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681"/>
      <c r="Q12" s="1150">
        <f t="shared" si="6"/>
        <v>111</v>
      </c>
      <c r="R12" s="1568" t="s">
        <v>8</v>
      </c>
      <c r="S12" s="1569">
        <f t="shared" si="0"/>
        <v>100</v>
      </c>
      <c r="T12" s="1568" t="s">
        <v>8</v>
      </c>
      <c r="U12" s="1569">
        <f t="shared" si="1"/>
        <v>100</v>
      </c>
      <c r="V12" s="1568" t="s">
        <v>8</v>
      </c>
      <c r="W12" s="1569">
        <f t="shared" si="2"/>
        <v>100</v>
      </c>
      <c r="X12" s="1570"/>
      <c r="Y12" s="3627"/>
      <c r="Z12" s="1149">
        <f t="shared" si="7"/>
        <v>111</v>
      </c>
      <c r="AA12" s="1571">
        <f>D12/F12</f>
        <v>1</v>
      </c>
      <c r="AB12" s="1571">
        <f>D12/H12</f>
        <v>1</v>
      </c>
      <c r="AC12" s="1571">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681"/>
      <c r="Q13" s="1150">
        <f t="shared" si="6"/>
        <v>111</v>
      </c>
      <c r="R13" s="1568" t="s">
        <v>8</v>
      </c>
      <c r="S13" s="1569">
        <f t="shared" si="0"/>
        <v>100</v>
      </c>
      <c r="T13" s="1568" t="s">
        <v>8</v>
      </c>
      <c r="U13" s="1569">
        <f t="shared" si="1"/>
        <v>100</v>
      </c>
      <c r="V13" s="1568" t="s">
        <v>8</v>
      </c>
      <c r="W13" s="1569">
        <f t="shared" si="2"/>
        <v>100</v>
      </c>
      <c r="X13" s="1570"/>
      <c r="Y13" s="3627"/>
      <c r="Z13" s="1149">
        <f t="shared" si="7"/>
        <v>111</v>
      </c>
      <c r="AA13" s="1571">
        <f t="shared" si="3"/>
        <v>1</v>
      </c>
      <c r="AB13" s="1571">
        <f t="shared" si="4"/>
        <v>1</v>
      </c>
      <c r="AC13" s="1571">
        <f t="shared" si="5"/>
        <v>1</v>
      </c>
    </row>
    <row r="14" spans="1:29" ht="85.5">
      <c r="A14" s="2935" t="s">
        <v>2758</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717" t="s">
        <v>541</v>
      </c>
      <c r="Q14" s="1572" t="str">
        <f t="shared" si="6"/>
        <v>交通便捷度</v>
      </c>
      <c r="R14" s="1573" t="s">
        <v>8</v>
      </c>
      <c r="S14" s="1574">
        <f t="shared" si="0"/>
        <v>100</v>
      </c>
      <c r="T14" s="1573" t="s">
        <v>8</v>
      </c>
      <c r="U14" s="1574">
        <f t="shared" si="1"/>
        <v>100</v>
      </c>
      <c r="V14" s="1573" t="s">
        <v>8</v>
      </c>
      <c r="W14" s="1574">
        <f t="shared" si="2"/>
        <v>100</v>
      </c>
      <c r="X14" s="1567"/>
      <c r="Y14" s="3717"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3718"/>
      <c r="Q15" s="1572"/>
      <c r="R15" s="1573"/>
      <c r="S15" s="1574"/>
      <c r="T15" s="1573"/>
      <c r="U15" s="1574"/>
      <c r="V15" s="1573"/>
      <c r="W15" s="1574"/>
      <c r="X15" s="1567"/>
      <c r="Y15" s="3718"/>
      <c r="Z15" s="1575"/>
      <c r="AA15" s="1576">
        <v>1</v>
      </c>
      <c r="AB15" s="1576">
        <v>1</v>
      </c>
      <c r="AC15" s="1576">
        <v>1</v>
      </c>
    </row>
    <row r="16" spans="1:29" ht="42.75">
      <c r="A16" s="531"/>
      <c r="B16" s="2627" t="s">
        <v>2550</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718"/>
      <c r="Q16" s="1572" t="str">
        <f>B16</f>
        <v>公共配套设施</v>
      </c>
      <c r="R16" s="1573" t="s">
        <v>8</v>
      </c>
      <c r="S16" s="1574">
        <f>F16</f>
        <v>100</v>
      </c>
      <c r="T16" s="1573" t="s">
        <v>8</v>
      </c>
      <c r="U16" s="1574">
        <f>H16</f>
        <v>100</v>
      </c>
      <c r="V16" s="1573" t="s">
        <v>8</v>
      </c>
      <c r="W16" s="1574">
        <f>J16</f>
        <v>100</v>
      </c>
      <c r="X16" s="1567"/>
      <c r="Y16" s="3718"/>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3718"/>
      <c r="Q17" s="1572"/>
      <c r="R17" s="1573"/>
      <c r="S17" s="1574"/>
      <c r="T17" s="1573"/>
      <c r="U17" s="1574"/>
      <c r="V17" s="1573"/>
      <c r="W17" s="1574"/>
      <c r="X17" s="1567"/>
      <c r="Y17" s="3718"/>
      <c r="Z17" s="1575"/>
      <c r="AA17" s="1576">
        <v>1</v>
      </c>
      <c r="AB17" s="1576">
        <v>1</v>
      </c>
      <c r="AC17" s="1576">
        <v>1</v>
      </c>
    </row>
    <row r="18" spans="1:29" ht="28.5">
      <c r="A18" s="531"/>
      <c r="B18" s="2615" t="s">
        <v>2562</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718"/>
      <c r="Q18" s="2603" t="str">
        <f>B18</f>
        <v>基础设施水平</v>
      </c>
      <c r="R18" s="1573" t="s">
        <v>8</v>
      </c>
      <c r="S18" s="1574">
        <f>F18</f>
        <v>100</v>
      </c>
      <c r="T18" s="1573" t="s">
        <v>8</v>
      </c>
      <c r="U18" s="1574">
        <f>H18</f>
        <v>100</v>
      </c>
      <c r="V18" s="1573" t="s">
        <v>8</v>
      </c>
      <c r="W18" s="1574">
        <f>J18</f>
        <v>100</v>
      </c>
      <c r="X18" s="2605"/>
      <c r="Y18" s="3718"/>
      <c r="Z18" s="2604"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6"/>
      <c r="L19" s="2142"/>
      <c r="M19" s="2134"/>
      <c r="N19" s="2134"/>
      <c r="O19" s="2141"/>
      <c r="P19" s="3718"/>
      <c r="Q19" s="2603"/>
      <c r="R19" s="1573"/>
      <c r="S19" s="1574"/>
      <c r="T19" s="1573"/>
      <c r="U19" s="1574"/>
      <c r="V19" s="1573"/>
      <c r="W19" s="1574"/>
      <c r="X19" s="2605"/>
      <c r="Y19" s="3718"/>
      <c r="Z19" s="2604"/>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718"/>
      <c r="Q20" s="1572" t="str">
        <f>B20</f>
        <v>自然及人文环境</v>
      </c>
      <c r="R20" s="1573" t="s">
        <v>8</v>
      </c>
      <c r="S20" s="1574">
        <f>F20</f>
        <v>100</v>
      </c>
      <c r="T20" s="1573" t="s">
        <v>8</v>
      </c>
      <c r="U20" s="1574">
        <f>H20</f>
        <v>100</v>
      </c>
      <c r="V20" s="1573" t="s">
        <v>8</v>
      </c>
      <c r="W20" s="1574">
        <f>J20</f>
        <v>100</v>
      </c>
      <c r="X20" s="1567"/>
      <c r="Y20" s="3718"/>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3718"/>
      <c r="Q21" s="1572"/>
      <c r="R21" s="1573"/>
      <c r="S21" s="1574"/>
      <c r="T21" s="1573"/>
      <c r="U21" s="1574"/>
      <c r="V21" s="1573"/>
      <c r="W21" s="1574"/>
      <c r="X21" s="1567"/>
      <c r="Y21" s="3718"/>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718"/>
      <c r="Q22" s="1572" t="str">
        <f>B22</f>
        <v>楼层</v>
      </c>
      <c r="R22" s="1573" t="s">
        <v>8</v>
      </c>
      <c r="S22" s="1574">
        <f>F22</f>
        <v>100</v>
      </c>
      <c r="T22" s="1573" t="s">
        <v>8</v>
      </c>
      <c r="U22" s="1574">
        <f>H22</f>
        <v>100</v>
      </c>
      <c r="V22" s="1573" t="s">
        <v>8</v>
      </c>
      <c r="W22" s="1574">
        <f>J22</f>
        <v>100</v>
      </c>
      <c r="X22" s="1567"/>
      <c r="Y22" s="3718"/>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718"/>
      <c r="Q23" s="1572">
        <f>B23</f>
        <v>111</v>
      </c>
      <c r="R23" s="1573" t="s">
        <v>8</v>
      </c>
      <c r="S23" s="1574">
        <f>F23</f>
        <v>100</v>
      </c>
      <c r="T23" s="1573" t="s">
        <v>8</v>
      </c>
      <c r="U23" s="1574">
        <f>H23</f>
        <v>100</v>
      </c>
      <c r="V23" s="1573" t="s">
        <v>8</v>
      </c>
      <c r="W23" s="1574">
        <f>J23</f>
        <v>100</v>
      </c>
      <c r="X23" s="1567"/>
      <c r="Y23" s="3718"/>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718"/>
      <c r="Q24" s="1572">
        <f t="shared" ref="Q24:Q34" si="11">B24</f>
        <v>111</v>
      </c>
      <c r="R24" s="1573" t="s">
        <v>8</v>
      </c>
      <c r="S24" s="1574">
        <f>F24</f>
        <v>100</v>
      </c>
      <c r="T24" s="1573" t="s">
        <v>8</v>
      </c>
      <c r="U24" s="1574">
        <f>H24</f>
        <v>100</v>
      </c>
      <c r="V24" s="1573" t="s">
        <v>8</v>
      </c>
      <c r="W24" s="1574">
        <f>J24</f>
        <v>100</v>
      </c>
      <c r="X24" s="1567"/>
      <c r="Y24" s="3718"/>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718"/>
      <c r="Q25" s="1150">
        <f t="shared" si="11"/>
        <v>111</v>
      </c>
      <c r="R25" s="1568" t="s">
        <v>8</v>
      </c>
      <c r="S25" s="1569">
        <f>F25</f>
        <v>100</v>
      </c>
      <c r="T25" s="1568" t="s">
        <v>8</v>
      </c>
      <c r="U25" s="1569">
        <f>H25</f>
        <v>100</v>
      </c>
      <c r="V25" s="1568" t="s">
        <v>8</v>
      </c>
      <c r="W25" s="1569">
        <f>J25</f>
        <v>100</v>
      </c>
      <c r="X25" s="1570"/>
      <c r="Y25" s="3718"/>
      <c r="Z25" s="1149">
        <f>Q25</f>
        <v>111</v>
      </c>
      <c r="AA25" s="1576">
        <f>D25/F25</f>
        <v>1</v>
      </c>
      <c r="AB25" s="1576">
        <f>D25/H25</f>
        <v>1</v>
      </c>
      <c r="AC25" s="1576">
        <f>D25/J25</f>
        <v>1</v>
      </c>
    </row>
    <row r="26" spans="1:29" ht="15">
      <c r="A26" s="2932" t="s">
        <v>2759</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719"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20"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720"/>
      <c r="Q27" s="1605" t="str">
        <f t="shared" si="11"/>
        <v>成新率</v>
      </c>
      <c r="R27" s="1577" t="s">
        <v>8</v>
      </c>
      <c r="S27" s="1578" t="e">
        <f t="shared" si="12"/>
        <v>#N/A</v>
      </c>
      <c r="T27" s="1577" t="s">
        <v>8</v>
      </c>
      <c r="U27" s="1578" t="e">
        <f t="shared" si="13"/>
        <v>#N/A</v>
      </c>
      <c r="V27" s="1577" t="s">
        <v>8</v>
      </c>
      <c r="W27" s="1578" t="e">
        <f t="shared" si="14"/>
        <v>#N/A</v>
      </c>
      <c r="X27" s="1579"/>
      <c r="Y27" s="3720"/>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720"/>
      <c r="Q28" s="1572" t="str">
        <f t="shared" si="11"/>
        <v>物业等级</v>
      </c>
      <c r="R28" s="1573" t="s">
        <v>8</v>
      </c>
      <c r="S28" s="1574">
        <f t="shared" si="12"/>
        <v>100</v>
      </c>
      <c r="T28" s="1573" t="s">
        <v>8</v>
      </c>
      <c r="U28" s="1574">
        <f t="shared" si="13"/>
        <v>100</v>
      </c>
      <c r="V28" s="1573" t="s">
        <v>8</v>
      </c>
      <c r="W28" s="1574">
        <f t="shared" si="14"/>
        <v>100</v>
      </c>
      <c r="X28" s="1567"/>
      <c r="Y28" s="3720"/>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720"/>
      <c r="Q29" s="1572" t="str">
        <f t="shared" si="11"/>
        <v>有无电梯</v>
      </c>
      <c r="R29" s="1573" t="s">
        <v>8</v>
      </c>
      <c r="S29" s="1574">
        <f t="shared" si="12"/>
        <v>100</v>
      </c>
      <c r="T29" s="1573" t="s">
        <v>8</v>
      </c>
      <c r="U29" s="1574">
        <f t="shared" si="13"/>
        <v>100</v>
      </c>
      <c r="V29" s="1573" t="s">
        <v>8</v>
      </c>
      <c r="W29" s="1574">
        <f t="shared" si="14"/>
        <v>100</v>
      </c>
      <c r="X29" s="1567"/>
      <c r="Y29" s="3720"/>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720"/>
      <c r="Q30" s="1572" t="str">
        <f t="shared" si="11"/>
        <v>建筑面积</v>
      </c>
      <c r="R30" s="1573" t="s">
        <v>8</v>
      </c>
      <c r="S30" s="1574" t="e">
        <f t="shared" si="12"/>
        <v>#N/A</v>
      </c>
      <c r="T30" s="1573" t="s">
        <v>8</v>
      </c>
      <c r="U30" s="1574" t="e">
        <f t="shared" si="13"/>
        <v>#N/A</v>
      </c>
      <c r="V30" s="1573" t="s">
        <v>8</v>
      </c>
      <c r="W30" s="1574" t="e">
        <f t="shared" si="14"/>
        <v>#N/A</v>
      </c>
      <c r="X30" s="1567"/>
      <c r="Y30" s="3720"/>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720"/>
      <c r="Q31" s="1150" t="str">
        <f t="shared" si="11"/>
        <v>是否封闭</v>
      </c>
      <c r="R31" s="1568" t="s">
        <v>8</v>
      </c>
      <c r="S31" s="1569">
        <f t="shared" si="12"/>
        <v>100</v>
      </c>
      <c r="T31" s="1568" t="s">
        <v>8</v>
      </c>
      <c r="U31" s="1569">
        <f t="shared" si="13"/>
        <v>100</v>
      </c>
      <c r="V31" s="1568" t="s">
        <v>8</v>
      </c>
      <c r="W31" s="1569">
        <f t="shared" si="14"/>
        <v>100</v>
      </c>
      <c r="X31" s="1570"/>
      <c r="Y31" s="3720"/>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720" t="s">
        <v>551</v>
      </c>
      <c r="Q32" s="1572">
        <f t="shared" si="11"/>
        <v>111</v>
      </c>
      <c r="R32" s="1573" t="s">
        <v>8</v>
      </c>
      <c r="S32" s="1574">
        <f t="shared" si="12"/>
        <v>100</v>
      </c>
      <c r="T32" s="1573" t="s">
        <v>8</v>
      </c>
      <c r="U32" s="1574">
        <f t="shared" si="13"/>
        <v>100</v>
      </c>
      <c r="V32" s="1573" t="s">
        <v>8</v>
      </c>
      <c r="W32" s="1574">
        <f t="shared" si="14"/>
        <v>100</v>
      </c>
      <c r="X32" s="1567"/>
      <c r="Y32" s="3720"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720"/>
      <c r="Q33" s="1572">
        <f t="shared" si="11"/>
        <v>111</v>
      </c>
      <c r="R33" s="1573" t="s">
        <v>8</v>
      </c>
      <c r="S33" s="1574">
        <f t="shared" si="12"/>
        <v>100</v>
      </c>
      <c r="T33" s="1573" t="s">
        <v>8</v>
      </c>
      <c r="U33" s="1574">
        <f t="shared" si="13"/>
        <v>100</v>
      </c>
      <c r="V33" s="1573" t="s">
        <v>8</v>
      </c>
      <c r="W33" s="1574">
        <f t="shared" si="14"/>
        <v>100</v>
      </c>
      <c r="X33" s="1567"/>
      <c r="Y33" s="3720"/>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720"/>
      <c r="Q34" s="1572">
        <f t="shared" si="11"/>
        <v>111</v>
      </c>
      <c r="R34" s="1573" t="s">
        <v>8</v>
      </c>
      <c r="S34" s="1574">
        <f t="shared" si="12"/>
        <v>100</v>
      </c>
      <c r="T34" s="1573" t="s">
        <v>8</v>
      </c>
      <c r="U34" s="1574">
        <f t="shared" si="13"/>
        <v>100</v>
      </c>
      <c r="V34" s="1573" t="s">
        <v>8</v>
      </c>
      <c r="W34" s="1574">
        <f t="shared" si="14"/>
        <v>100</v>
      </c>
      <c r="X34" s="1567"/>
      <c r="Y34" s="3720"/>
      <c r="Z34" s="1575">
        <f t="shared" si="15"/>
        <v>111</v>
      </c>
      <c r="AA34" s="1576">
        <f t="shared" si="3"/>
        <v>1</v>
      </c>
      <c r="AB34" s="1576">
        <f t="shared" si="4"/>
        <v>1</v>
      </c>
      <c r="AC34" s="1576">
        <f t="shared" si="5"/>
        <v>1</v>
      </c>
    </row>
    <row r="35" spans="1:29" ht="15">
      <c r="A35" s="606" t="s">
        <v>737</v>
      </c>
      <c r="B35" s="886"/>
      <c r="C35" s="2651" t="s">
        <v>1</v>
      </c>
      <c r="D35" s="2652"/>
      <c r="E35" s="2653"/>
      <c r="F35" s="2654"/>
      <c r="G35" s="2655"/>
      <c r="H35" s="2656"/>
      <c r="I35" s="2653"/>
      <c r="J35" s="2656"/>
      <c r="K35" s="1611"/>
      <c r="L35" s="2144"/>
      <c r="M35" s="2145"/>
      <c r="N35" s="2134"/>
      <c r="O35" s="2145"/>
      <c r="P35" s="3681" t="str">
        <f>A35</f>
        <v>成交单价（元/平方米）</v>
      </c>
      <c r="Q35" s="3681"/>
      <c r="R35" s="3797">
        <f>E35</f>
        <v>0</v>
      </c>
      <c r="S35" s="3797"/>
      <c r="T35" s="3797">
        <f>G35</f>
        <v>0</v>
      </c>
      <c r="U35" s="3797"/>
      <c r="V35" s="3797">
        <f>I35</f>
        <v>0</v>
      </c>
      <c r="W35" s="3797"/>
      <c r="X35" s="1559"/>
      <c r="Y35" s="1581"/>
      <c r="Z35" s="1559"/>
      <c r="AA35" s="1559"/>
      <c r="AB35" s="1559"/>
      <c r="AC35" s="1559"/>
    </row>
    <row r="36" spans="1:29" ht="15.75" thickBot="1">
      <c r="A36" s="614" t="s">
        <v>2764</v>
      </c>
      <c r="B36" s="887"/>
      <c r="C36" s="2657" t="e">
        <f>R37</f>
        <v>#DIV/0!</v>
      </c>
      <c r="D36" s="2658"/>
      <c r="E36" s="2659" t="e">
        <f>R36</f>
        <v>#DIV/0!</v>
      </c>
      <c r="F36" s="2659"/>
      <c r="G36" s="2657" t="e">
        <f>T36</f>
        <v>#DIV/0!</v>
      </c>
      <c r="H36" s="2658"/>
      <c r="I36" s="2659" t="e">
        <f>V36</f>
        <v>#DIV/0!</v>
      </c>
      <c r="J36" s="2658"/>
      <c r="K36" s="1612"/>
      <c r="L36" s="2144"/>
      <c r="M36" s="2145"/>
      <c r="N36" s="2134"/>
      <c r="O36" s="2145"/>
      <c r="P36" s="3681" t="str">
        <f>A36</f>
        <v>比较价格（元/平方米）</v>
      </c>
      <c r="Q36" s="3681"/>
      <c r="R36" s="3797" t="e">
        <f>IF(F1="售价",ROUND(PRODUCT(R35,AA7:AA34),0),ROUND(PRODUCT(R35,AA7:AA34),1))</f>
        <v>#DIV/0!</v>
      </c>
      <c r="S36" s="3797"/>
      <c r="T36" s="3797" t="e">
        <f>IF(F1="售价",ROUND(PRODUCT(T35,AB7:AB34),0),ROUND(PRODUCT(T35,AB7:AB34),1))</f>
        <v>#DIV/0!</v>
      </c>
      <c r="U36" s="3797"/>
      <c r="V36" s="3797" t="e">
        <f>IF(F1="售价",ROUND(PRODUCT(V35,AC7:AC34),0),ROUND(PRODUCT(V35,AC7:AC34),1))</f>
        <v>#DIV/0!</v>
      </c>
      <c r="W36" s="3797"/>
      <c r="X36" s="1559"/>
      <c r="Y36" s="1559"/>
      <c r="Z36" s="1559"/>
      <c r="AA36" s="1559"/>
      <c r="AB36" s="1559"/>
      <c r="AC36" s="1559"/>
    </row>
    <row r="37" spans="1:29" ht="15.75" thickBot="1">
      <c r="A37" s="620" t="s">
        <v>2937</v>
      </c>
      <c r="B37" s="621"/>
      <c r="C37" s="2660" t="e">
        <f>R37</f>
        <v>#DIV/0!</v>
      </c>
      <c r="D37" s="2660"/>
      <c r="E37" s="2660"/>
      <c r="F37" s="2660"/>
      <c r="G37" s="2660"/>
      <c r="H37" s="2660"/>
      <c r="I37" s="2660"/>
      <c r="J37" s="2660"/>
      <c r="K37" s="1613"/>
      <c r="L37" s="2144"/>
      <c r="M37" s="2145"/>
      <c r="N37" s="2145"/>
      <c r="O37" s="2145"/>
      <c r="P37" s="3678" t="str">
        <f>A37</f>
        <v>估价对象XX用房的比较价格（楼面单价，元/平方米）</v>
      </c>
      <c r="Q37" s="3679"/>
      <c r="R37" s="3796" t="e">
        <f>IF(F1="售价",ROUND(AVERAGE(R36:V36),0),ROUND(AVERAGE(R36:V36),1))</f>
        <v>#DIV/0!</v>
      </c>
      <c r="S37" s="3796"/>
      <c r="T37" s="3796"/>
      <c r="U37" s="3796"/>
      <c r="V37" s="3796"/>
      <c r="W37" s="3796"/>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530</v>
      </c>
      <c r="B46" s="645"/>
      <c r="C46" s="2827" t="str">
        <f>YEAR(C7)&amp;"-"&amp;MONTH(C7)</f>
        <v>2018-1</v>
      </c>
      <c r="D46" s="2829">
        <f>EDATE(C46,-1)</f>
        <v>43070</v>
      </c>
      <c r="E46" s="2829">
        <f t="shared" ref="E46:O46" si="16">EDATE(D46,-1)</f>
        <v>43040</v>
      </c>
      <c r="F46" s="2829">
        <f t="shared" si="16"/>
        <v>43009</v>
      </c>
      <c r="G46" s="2829">
        <f t="shared" si="16"/>
        <v>42979</v>
      </c>
      <c r="H46" s="2829">
        <f t="shared" si="16"/>
        <v>42948</v>
      </c>
      <c r="I46" s="2829">
        <f t="shared" si="16"/>
        <v>42917</v>
      </c>
      <c r="J46" s="2829">
        <f t="shared" si="16"/>
        <v>42887</v>
      </c>
      <c r="K46" s="2829">
        <f t="shared" si="16"/>
        <v>42856</v>
      </c>
      <c r="L46" s="2829">
        <f t="shared" si="16"/>
        <v>42826</v>
      </c>
      <c r="M46" s="2829">
        <f t="shared" si="16"/>
        <v>42795</v>
      </c>
      <c r="N46" s="2829">
        <f t="shared" si="16"/>
        <v>42767</v>
      </c>
      <c r="O46" s="2829">
        <f t="shared" si="16"/>
        <v>42736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2561</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2562</v>
      </c>
      <c r="C65" s="2622" t="s">
        <v>2563</v>
      </c>
      <c r="D65" s="2622" t="s">
        <v>2564</v>
      </c>
      <c r="E65" s="2622" t="s">
        <v>2565</v>
      </c>
      <c r="F65" s="2622" t="s">
        <v>2566</v>
      </c>
      <c r="G65" s="2622" t="s">
        <v>2567</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武汉统建城市开发有限责任公司：</v>
      </c>
    </row>
    <row r="4" spans="1:4" ht="37.5">
      <c r="A4" s="1791" t="str">
        <f>"受贵公司委托，我公司对"&amp;项目基本情况!K2&amp;项目基本情况!B9&amp;"进行了预评估。"</f>
        <v>受贵公司委托，我公司对湖北省武汉市经济技术开发区55R2地块1宗住宅、商业用途出让国有建设用地使用权抵押价格进行了预评估。</v>
      </c>
    </row>
    <row r="5" spans="1:4" ht="18.75">
      <c r="A5" s="1794" t="s">
        <v>1907</v>
      </c>
    </row>
    <row r="6" spans="1:4" ht="1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7" spans="1:4" ht="56.25">
      <c r="A7" s="1795" t="s">
        <v>2751</v>
      </c>
    </row>
    <row r="8" spans="1:4" ht="18.75">
      <c r="A8" s="1794" t="s">
        <v>1908</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2018年1月31日（评估专业人员勘察现场之日）</v>
      </c>
    </row>
    <row r="12" spans="1:4" ht="18.75">
      <c r="A12" s="1797" t="s">
        <v>2027</v>
      </c>
    </row>
    <row r="13" spans="1:4" ht="18.75">
      <c r="A13" s="1791" t="s">
        <v>2945</v>
      </c>
    </row>
    <row r="14" spans="1:4" ht="37.5">
      <c r="A14" s="1791" t="str">
        <f>"根据"&amp;项目基本情况!F12&amp;"，本次评估估价对象证载（地类）用途为"&amp;项目基本情况!B12&amp;"。"</f>
        <v>根据《不动产权证书》[鄂（2017）武汉市经开不动产权第0005412号]，本次评估估价对象证载（地类）用途为城镇住宅用地。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2017）武汉市经开不动产权第0005412号]证载土地终止日期为住宅2087年1月22日。截至估价期日，出让国有建设用地使用权剩余土地使用年限为住宅剩余69.02年。</v>
      </c>
    </row>
    <row r="23" spans="1:1" ht="18.75">
      <c r="A23" s="1791" t="str">
        <f>IF(项目基本情况!B16="出让","本次评估设定估价对象剩余土地使用年限为"&amp;项目基本情况!D20&amp;"。","")</f>
        <v>本次评估设定估价对象剩余土地使用年限为住宅剩余69.02年。</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2305</v>
      </c>
      <c r="C1" s="3808" t="s">
        <v>2306</v>
      </c>
      <c r="D1" s="3809"/>
      <c r="E1" s="3809"/>
      <c r="F1" s="3809"/>
      <c r="G1" s="3809"/>
      <c r="H1" s="3809"/>
      <c r="I1" s="3809"/>
      <c r="J1" s="3809"/>
      <c r="K1" s="3809"/>
      <c r="L1" s="3809"/>
      <c r="M1" s="3809"/>
      <c r="N1" s="3809"/>
      <c r="O1" s="3809"/>
      <c r="P1" s="3809"/>
      <c r="Q1" s="3809"/>
      <c r="R1" s="3809"/>
      <c r="S1" s="3810"/>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5"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7" t="s">
        <v>2929</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7" t="s">
        <v>2928</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5" t="s">
        <v>2943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5"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5"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3805" t="s">
        <v>20</v>
      </c>
      <c r="D22" s="3806"/>
      <c r="E22" s="3806"/>
      <c r="F22" s="3806"/>
      <c r="G22" s="3806"/>
      <c r="H22" s="3806"/>
      <c r="I22" s="3806"/>
      <c r="J22" s="3806"/>
      <c r="K22" s="3806"/>
      <c r="L22" s="3806"/>
      <c r="M22" s="3806"/>
      <c r="N22" s="3806"/>
      <c r="O22" s="3806"/>
      <c r="P22" s="3806"/>
      <c r="Q22" s="3807"/>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2792</v>
      </c>
      <c r="C1" s="3029">
        <f>项目基本情况!D3</f>
        <v>43131</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2823</v>
      </c>
      <c r="C2" s="3030">
        <f>'数据-取费表'!B22</f>
        <v>2</v>
      </c>
      <c r="D2" s="3025" t="s">
        <v>2793</v>
      </c>
      <c r="E2" s="3028">
        <f ca="1">INDIRECT("I"&amp;$I$1)/100</f>
        <v>4.7500000000000001E-2</v>
      </c>
      <c r="G2" s="2965"/>
      <c r="H2" s="2965"/>
      <c r="I2" s="2965" t="s">
        <v>2794</v>
      </c>
      <c r="K2" s="2965"/>
      <c r="L2" s="2965"/>
      <c r="M2" s="2965"/>
      <c r="N2" s="2965" t="s">
        <v>2795</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2825</v>
      </c>
      <c r="C3" s="3027">
        <f>'数据-取费表'!B19</f>
        <v>0</v>
      </c>
      <c r="D3" s="3025" t="s">
        <v>2793</v>
      </c>
      <c r="E3" s="3028">
        <f ca="1">INDIRECT("J"&amp;$J$1)/100</f>
        <v>0</v>
      </c>
      <c r="G3" s="2967" t="s">
        <v>2796</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2824</v>
      </c>
      <c r="C4" s="3028">
        <f ca="1">N4/100</f>
        <v>1.4999999999999999E-2</v>
      </c>
      <c r="G4" s="2973" t="s">
        <v>2797</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2798</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2799</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2800</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2801</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2802</v>
      </c>
      <c r="C10" s="2992"/>
      <c r="D10" s="2992"/>
      <c r="E10" s="2992"/>
      <c r="F10" s="2992"/>
      <c r="G10" s="2992"/>
      <c r="H10" s="2992"/>
      <c r="I10" s="2966"/>
      <c r="J10" s="2966"/>
      <c r="K10" s="2992"/>
      <c r="L10" s="2993" t="s">
        <v>2803</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2804</v>
      </c>
      <c r="C11" s="2997" t="s">
        <v>2805</v>
      </c>
      <c r="D11" s="2998" t="s">
        <v>2806</v>
      </c>
      <c r="E11" s="2999"/>
      <c r="F11" s="2998" t="s">
        <v>2807</v>
      </c>
      <c r="G11" s="3000"/>
      <c r="H11" s="2999"/>
      <c r="I11" s="2998" t="s">
        <v>2808</v>
      </c>
      <c r="J11" s="2999"/>
      <c r="K11" s="2995"/>
      <c r="L11" s="2996" t="s">
        <v>2804</v>
      </c>
      <c r="M11" s="2997" t="s">
        <v>2805</v>
      </c>
      <c r="N11" s="2996" t="s">
        <v>2809</v>
      </c>
      <c r="O11" s="2998" t="s">
        <v>2810</v>
      </c>
      <c r="P11" s="3000"/>
      <c r="Q11" s="3000"/>
      <c r="R11" s="3000"/>
      <c r="S11" s="3000"/>
      <c r="T11" s="2999"/>
      <c r="U11" s="2998" t="s">
        <v>2811</v>
      </c>
      <c r="V11" s="3000"/>
      <c r="W11" s="2999"/>
      <c r="X11" s="2996" t="s">
        <v>2812</v>
      </c>
      <c r="Y11" s="2996" t="s">
        <v>2813</v>
      </c>
      <c r="Z11" s="2996" t="s">
        <v>2814</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2815</v>
      </c>
      <c r="E12" s="3005" t="s">
        <v>2816</v>
      </c>
      <c r="F12" s="3005" t="s">
        <v>2817</v>
      </c>
      <c r="G12" s="3005" t="s">
        <v>2818</v>
      </c>
      <c r="H12" s="3005" t="s">
        <v>2800</v>
      </c>
      <c r="I12" s="3006" t="s">
        <v>2819</v>
      </c>
      <c r="J12" s="3006" t="s">
        <v>2819</v>
      </c>
      <c r="K12" s="3002"/>
      <c r="L12" s="3003"/>
      <c r="M12" s="3004"/>
      <c r="N12" s="3003"/>
      <c r="O12" s="3006" t="s">
        <v>2820</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2821</v>
      </c>
      <c r="C13" s="3010">
        <v>42301</v>
      </c>
      <c r="D13" s="3011">
        <v>4.3499999999999996</v>
      </c>
      <c r="E13" s="3011">
        <v>4.3499999999999996</v>
      </c>
      <c r="F13" s="3011">
        <v>4.75</v>
      </c>
      <c r="G13" s="3011">
        <v>4.75</v>
      </c>
      <c r="H13" s="3011">
        <v>4.9000000000000004</v>
      </c>
      <c r="I13" s="3011">
        <v>2.75</v>
      </c>
      <c r="J13" s="3011">
        <v>3.25</v>
      </c>
      <c r="K13" s="3008"/>
      <c r="L13" s="3009" t="s">
        <v>2821</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2822</v>
      </c>
      <c r="Y42" s="3015" t="s">
        <v>2822</v>
      </c>
      <c r="Z42" s="3015" t="s">
        <v>2822</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2822</v>
      </c>
      <c r="Y43" s="3015" t="s">
        <v>2822</v>
      </c>
      <c r="Z43" s="3015" t="s">
        <v>2822</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2822</v>
      </c>
      <c r="Y44" s="3015" t="s">
        <v>2822</v>
      </c>
      <c r="Z44" s="3015" t="s">
        <v>2822</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2822</v>
      </c>
      <c r="Y45" s="3015" t="s">
        <v>2822</v>
      </c>
      <c r="Z45" s="3015" t="s">
        <v>2822</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2822</v>
      </c>
      <c r="Y46" s="3015" t="s">
        <v>2822</v>
      </c>
      <c r="Z46" s="3015" t="s">
        <v>2822</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2822</v>
      </c>
      <c r="Y47" s="3015" t="s">
        <v>2822</v>
      </c>
      <c r="Z47" s="3015" t="s">
        <v>2822</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2822</v>
      </c>
      <c r="Y48" s="3015" t="s">
        <v>2822</v>
      </c>
      <c r="Z48" s="3015" t="s">
        <v>2822</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2822</v>
      </c>
      <c r="Y49" s="3015" t="s">
        <v>2822</v>
      </c>
      <c r="Z49" s="3015" t="s">
        <v>2822</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2822</v>
      </c>
      <c r="Y50" s="3015" t="s">
        <v>2822</v>
      </c>
      <c r="Z50" s="3015" t="s">
        <v>2822</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2822</v>
      </c>
      <c r="V51" s="3015" t="s">
        <v>2822</v>
      </c>
      <c r="W51" s="3015" t="s">
        <v>2822</v>
      </c>
      <c r="X51" s="3015" t="s">
        <v>2822</v>
      </c>
      <c r="Y51" s="3015" t="s">
        <v>2822</v>
      </c>
      <c r="Z51" s="3015" t="s">
        <v>2822</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2822</v>
      </c>
      <c r="J55" s="3015" t="s">
        <v>2822</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P34"/>
  <sheetViews>
    <sheetView topLeftCell="A10" workbookViewId="0">
      <selection activeCell="L20" sqref="L20"/>
    </sheetView>
  </sheetViews>
  <sheetFormatPr defaultRowHeight="13.5"/>
  <sheetData>
    <row r="2" spans="2:16">
      <c r="B2" s="3482" t="s">
        <v>3264</v>
      </c>
    </row>
    <row r="3" spans="2:16" ht="14.25" thickBot="1">
      <c r="B3" s="3483" t="s">
        <v>3265</v>
      </c>
      <c r="C3" s="3484" t="s">
        <v>3266</v>
      </c>
      <c r="D3" s="3484" t="s">
        <v>3267</v>
      </c>
      <c r="E3" s="3484" t="s">
        <v>3268</v>
      </c>
    </row>
    <row r="4" spans="2:16">
      <c r="B4" s="3485">
        <v>2016.4</v>
      </c>
      <c r="C4" s="3487">
        <v>7029</v>
      </c>
      <c r="D4" s="3487">
        <v>1.05</v>
      </c>
      <c r="E4" s="3486"/>
    </row>
    <row r="5" spans="2:16">
      <c r="B5" s="3488">
        <v>2017.1</v>
      </c>
      <c r="C5" s="3490">
        <v>7080</v>
      </c>
      <c r="D5" s="3490">
        <v>0.73</v>
      </c>
      <c r="E5" s="3489"/>
    </row>
    <row r="6" spans="2:16">
      <c r="B6" s="3485">
        <v>2017.2</v>
      </c>
      <c r="C6" s="3487">
        <v>7218</v>
      </c>
      <c r="D6" s="3487">
        <v>1.95</v>
      </c>
      <c r="E6" s="3486"/>
    </row>
    <row r="7" spans="2:16">
      <c r="B7" s="3488">
        <v>2017.3</v>
      </c>
      <c r="C7" s="3490">
        <v>7370</v>
      </c>
      <c r="D7" s="3490">
        <v>2.11</v>
      </c>
      <c r="E7" s="3489"/>
    </row>
    <row r="8" spans="2:16" ht="14.25">
      <c r="B8" s="3491">
        <v>2017.4</v>
      </c>
      <c r="C8" s="3492">
        <v>7514</v>
      </c>
      <c r="D8" s="3492">
        <v>1.95</v>
      </c>
    </row>
    <row r="9" spans="2:16">
      <c r="D9">
        <f>SUM(D4:D8)</f>
        <v>7.79</v>
      </c>
      <c r="E9">
        <f>D9/4</f>
        <v>1.9475</v>
      </c>
    </row>
    <row r="11" spans="2:16" ht="14.25" thickBot="1"/>
    <row r="12" spans="2:16" ht="14.25" thickBot="1">
      <c r="G12" s="3811" t="s">
        <v>3325</v>
      </c>
      <c r="H12" s="3812"/>
      <c r="I12" s="3817" t="s">
        <v>3326</v>
      </c>
      <c r="J12" s="3818"/>
      <c r="K12" s="3817" t="s">
        <v>3327</v>
      </c>
      <c r="L12" s="3818"/>
      <c r="M12" s="3817" t="s">
        <v>3328</v>
      </c>
      <c r="N12" s="3818"/>
      <c r="O12" s="3817" t="s">
        <v>3329</v>
      </c>
      <c r="P12" s="3818"/>
    </row>
    <row r="13" spans="2:16" ht="23.25" customHeight="1" thickBot="1">
      <c r="G13" s="3813"/>
      <c r="H13" s="3814"/>
      <c r="I13" s="3502" t="s">
        <v>3337</v>
      </c>
      <c r="J13" s="3819" t="s">
        <v>3330</v>
      </c>
      <c r="K13" s="3502" t="s">
        <v>3338</v>
      </c>
      <c r="L13" s="3819" t="s">
        <v>3330</v>
      </c>
      <c r="M13" s="3502" t="s">
        <v>3340</v>
      </c>
      <c r="N13" s="3819" t="s">
        <v>3330</v>
      </c>
      <c r="O13" s="3502" t="s">
        <v>3342</v>
      </c>
      <c r="P13" s="3819" t="s">
        <v>3330</v>
      </c>
    </row>
    <row r="14" spans="2:16" ht="34.5" customHeight="1" thickBot="1">
      <c r="G14" s="3815"/>
      <c r="H14" s="3816"/>
      <c r="I14" s="3502" t="s">
        <v>3382</v>
      </c>
      <c r="J14" s="3820"/>
      <c r="K14" s="3502" t="s">
        <v>3339</v>
      </c>
      <c r="L14" s="3820"/>
      <c r="M14" s="3502" t="s">
        <v>3341</v>
      </c>
      <c r="N14" s="3820"/>
      <c r="O14" s="3502" t="s">
        <v>3343</v>
      </c>
      <c r="P14" s="3820"/>
    </row>
    <row r="15" spans="2:16" ht="14.25" thickBot="1">
      <c r="G15" s="3824" t="s">
        <v>3331</v>
      </c>
      <c r="H15" s="3825"/>
      <c r="I15" s="3503">
        <v>2018.1</v>
      </c>
      <c r="J15" s="3503">
        <v>100</v>
      </c>
      <c r="K15" s="3503">
        <v>2018.1</v>
      </c>
      <c r="L15" s="3503">
        <v>100</v>
      </c>
      <c r="M15" s="3503">
        <v>2018.1</v>
      </c>
      <c r="N15" s="3503">
        <v>100</v>
      </c>
      <c r="O15" s="3503">
        <v>2018.1</v>
      </c>
      <c r="P15" s="3503">
        <v>100</v>
      </c>
    </row>
    <row r="16" spans="2:16" ht="14.25" thickBot="1">
      <c r="G16" s="3824" t="s">
        <v>3332</v>
      </c>
      <c r="H16" s="3825"/>
      <c r="I16" s="3504" t="s">
        <v>3231</v>
      </c>
      <c r="J16" s="3503">
        <v>100</v>
      </c>
      <c r="K16" s="3504" t="s">
        <v>3231</v>
      </c>
      <c r="L16" s="3503">
        <v>100</v>
      </c>
      <c r="M16" s="3504" t="s">
        <v>3231</v>
      </c>
      <c r="N16" s="3503">
        <v>100</v>
      </c>
      <c r="O16" s="3504" t="s">
        <v>3231</v>
      </c>
      <c r="P16" s="3503">
        <v>100</v>
      </c>
    </row>
    <row r="17" spans="7:16" ht="14.25" thickBot="1">
      <c r="G17" s="3817" t="s">
        <v>3333</v>
      </c>
      <c r="H17" s="3818"/>
      <c r="I17" s="3504" t="s">
        <v>3344</v>
      </c>
      <c r="J17" s="3503">
        <v>100</v>
      </c>
      <c r="K17" s="3504" t="s">
        <v>3344</v>
      </c>
      <c r="L17" s="3503">
        <v>100</v>
      </c>
      <c r="M17" s="3504" t="s">
        <v>3344</v>
      </c>
      <c r="N17" s="3503">
        <v>100</v>
      </c>
      <c r="O17" s="3504" t="s">
        <v>3344</v>
      </c>
      <c r="P17" s="3505">
        <v>100</v>
      </c>
    </row>
    <row r="18" spans="7:16" ht="14.25" thickBot="1">
      <c r="G18" s="3817" t="s">
        <v>3334</v>
      </c>
      <c r="H18" s="3818"/>
      <c r="I18" s="3504" t="s">
        <v>3346</v>
      </c>
      <c r="J18" s="3503">
        <v>100</v>
      </c>
      <c r="K18" s="3504" t="s">
        <v>3346</v>
      </c>
      <c r="L18" s="3503">
        <v>100</v>
      </c>
      <c r="M18" s="3504" t="s">
        <v>3346</v>
      </c>
      <c r="N18" s="3503">
        <v>100</v>
      </c>
      <c r="O18" s="3504" t="s">
        <v>3346</v>
      </c>
      <c r="P18" s="3505">
        <v>100</v>
      </c>
    </row>
    <row r="19" spans="7:16" ht="14.25" thickBot="1">
      <c r="G19" s="3817" t="s">
        <v>3345</v>
      </c>
      <c r="H19" s="3818"/>
      <c r="I19" s="3504">
        <v>2.2999999999999998</v>
      </c>
      <c r="J19" s="3503">
        <v>100</v>
      </c>
      <c r="K19" s="3504">
        <v>3.5</v>
      </c>
      <c r="L19" s="3503">
        <v>98</v>
      </c>
      <c r="M19" s="3504">
        <v>2.35</v>
      </c>
      <c r="N19" s="3503">
        <v>100</v>
      </c>
      <c r="O19" s="3504">
        <v>2.63</v>
      </c>
      <c r="P19" s="3505">
        <v>100</v>
      </c>
    </row>
    <row r="20" spans="7:16" ht="14.25" customHeight="1" thickBot="1">
      <c r="G20" s="3826" t="s">
        <v>3335</v>
      </c>
      <c r="H20" s="3507" t="s">
        <v>3349</v>
      </c>
      <c r="I20" s="3504" t="s">
        <v>3347</v>
      </c>
      <c r="J20" s="3503">
        <v>100</v>
      </c>
      <c r="K20" s="3504" t="s">
        <v>3348</v>
      </c>
      <c r="L20" s="3503">
        <v>102</v>
      </c>
      <c r="M20" s="3504" t="s">
        <v>3348</v>
      </c>
      <c r="N20" s="3503">
        <v>102</v>
      </c>
      <c r="O20" s="3504" t="s">
        <v>3347</v>
      </c>
      <c r="P20" s="3505">
        <v>100</v>
      </c>
    </row>
    <row r="21" spans="7:16" ht="14.25" thickBot="1">
      <c r="G21" s="3827"/>
      <c r="H21" s="3506" t="s">
        <v>3350</v>
      </c>
      <c r="I21" s="3504" t="s">
        <v>3355</v>
      </c>
      <c r="J21" s="3503">
        <v>100</v>
      </c>
      <c r="K21" s="3504" t="s">
        <v>3355</v>
      </c>
      <c r="L21" s="3503">
        <v>100</v>
      </c>
      <c r="M21" s="3504" t="s">
        <v>3355</v>
      </c>
      <c r="N21" s="3503">
        <v>100</v>
      </c>
      <c r="O21" s="3504" t="s">
        <v>3355</v>
      </c>
      <c r="P21" s="3505">
        <v>100</v>
      </c>
    </row>
    <row r="22" spans="7:16" ht="14.25" thickBot="1">
      <c r="G22" s="3827"/>
      <c r="H22" s="3506" t="s">
        <v>3351</v>
      </c>
      <c r="I22" s="3504" t="s">
        <v>3347</v>
      </c>
      <c r="J22" s="3503">
        <v>100</v>
      </c>
      <c r="K22" s="3504" t="s">
        <v>3348</v>
      </c>
      <c r="L22" s="3503">
        <v>102</v>
      </c>
      <c r="M22" s="3504" t="s">
        <v>3348</v>
      </c>
      <c r="N22" s="3503">
        <v>102</v>
      </c>
      <c r="O22" s="3504" t="s">
        <v>3347</v>
      </c>
      <c r="P22" s="3505">
        <v>100</v>
      </c>
    </row>
    <row r="23" spans="7:16" ht="14.25" thickBot="1">
      <c r="G23" s="3827"/>
      <c r="H23" s="3506" t="s">
        <v>3352</v>
      </c>
      <c r="I23" s="3504" t="s">
        <v>3356</v>
      </c>
      <c r="J23" s="3503">
        <v>100</v>
      </c>
      <c r="K23" s="3504" t="s">
        <v>3356</v>
      </c>
      <c r="L23" s="3503">
        <v>100</v>
      </c>
      <c r="M23" s="3504" t="s">
        <v>3356</v>
      </c>
      <c r="N23" s="3503">
        <v>100</v>
      </c>
      <c r="O23" s="3504" t="s">
        <v>3356</v>
      </c>
      <c r="P23" s="3505">
        <v>100</v>
      </c>
    </row>
    <row r="24" spans="7:16" ht="14.25" thickBot="1">
      <c r="G24" s="3827"/>
      <c r="H24" s="3506" t="s">
        <v>3353</v>
      </c>
      <c r="I24" s="3504" t="s">
        <v>3355</v>
      </c>
      <c r="J24" s="3503">
        <v>100</v>
      </c>
      <c r="K24" s="3504" t="s">
        <v>3355</v>
      </c>
      <c r="L24" s="3503">
        <v>100</v>
      </c>
      <c r="M24" s="3504" t="s">
        <v>3355</v>
      </c>
      <c r="N24" s="3503">
        <v>100</v>
      </c>
      <c r="O24" s="3504" t="s">
        <v>3355</v>
      </c>
      <c r="P24" s="3505">
        <v>100</v>
      </c>
    </row>
    <row r="25" spans="7:16" ht="14.25" thickBot="1">
      <c r="G25" s="3827"/>
      <c r="H25" s="3506" t="s">
        <v>3354</v>
      </c>
      <c r="I25" s="3504" t="s">
        <v>3357</v>
      </c>
      <c r="J25" s="3503">
        <v>100</v>
      </c>
      <c r="K25" s="3504" t="s">
        <v>3358</v>
      </c>
      <c r="L25" s="3503">
        <v>99</v>
      </c>
      <c r="M25" s="3504" t="s">
        <v>3359</v>
      </c>
      <c r="N25" s="3503">
        <v>98</v>
      </c>
      <c r="O25" s="3504" t="s">
        <v>3357</v>
      </c>
      <c r="P25" s="3505">
        <v>100</v>
      </c>
    </row>
    <row r="26" spans="7:16" ht="14.25" thickBot="1">
      <c r="G26" s="3821" t="s">
        <v>3336</v>
      </c>
      <c r="H26" s="3506" t="s">
        <v>3360</v>
      </c>
      <c r="I26" s="3504" t="s">
        <v>3367</v>
      </c>
      <c r="J26" s="3503">
        <v>100</v>
      </c>
      <c r="K26" s="3504" t="s">
        <v>3368</v>
      </c>
      <c r="L26" s="3503">
        <v>100</v>
      </c>
      <c r="M26" s="3504" t="s">
        <v>3367</v>
      </c>
      <c r="N26" s="3503">
        <v>100</v>
      </c>
      <c r="O26" s="3504" t="s">
        <v>3367</v>
      </c>
      <c r="P26" s="3505">
        <v>100</v>
      </c>
    </row>
    <row r="27" spans="7:16" ht="14.25" thickBot="1">
      <c r="G27" s="3822"/>
      <c r="H27" s="3506" t="s">
        <v>3379</v>
      </c>
      <c r="I27" s="3504">
        <v>146307.88</v>
      </c>
      <c r="J27" s="3503">
        <v>100</v>
      </c>
      <c r="K27" s="3504">
        <v>200970</v>
      </c>
      <c r="L27" s="3503">
        <v>100</v>
      </c>
      <c r="M27" s="3504">
        <v>500000</v>
      </c>
      <c r="N27" s="3503">
        <v>101</v>
      </c>
      <c r="O27" s="3504">
        <v>1500000</v>
      </c>
      <c r="P27" s="3505">
        <v>103</v>
      </c>
    </row>
    <row r="28" spans="7:16" ht="14.25" thickBot="1">
      <c r="G28" s="3822"/>
      <c r="H28" s="3506" t="s">
        <v>3361</v>
      </c>
      <c r="I28" s="3504" t="s">
        <v>3369</v>
      </c>
      <c r="J28" s="3503">
        <v>100</v>
      </c>
      <c r="K28" s="3504" t="s">
        <v>3369</v>
      </c>
      <c r="L28" s="3503">
        <v>100</v>
      </c>
      <c r="M28" s="3504" t="s">
        <v>3369</v>
      </c>
      <c r="N28" s="3503">
        <v>100</v>
      </c>
      <c r="O28" s="3504" t="s">
        <v>3369</v>
      </c>
      <c r="P28" s="3505">
        <v>100</v>
      </c>
    </row>
    <row r="29" spans="7:16" ht="14.25" thickBot="1">
      <c r="G29" s="3822"/>
      <c r="H29" s="3506" t="s">
        <v>3362</v>
      </c>
      <c r="I29" s="3504" t="s">
        <v>3370</v>
      </c>
      <c r="J29" s="3503">
        <v>100</v>
      </c>
      <c r="K29" s="3504" t="s">
        <v>3371</v>
      </c>
      <c r="L29" s="3503">
        <v>100</v>
      </c>
      <c r="M29" s="3504" t="s">
        <v>3371</v>
      </c>
      <c r="N29" s="3503">
        <v>100</v>
      </c>
      <c r="O29" s="3504" t="s">
        <v>3371</v>
      </c>
      <c r="P29" s="3505">
        <v>100</v>
      </c>
    </row>
    <row r="30" spans="7:16" ht="14.25" thickBot="1">
      <c r="G30" s="3822"/>
      <c r="H30" s="3506" t="s">
        <v>3363</v>
      </c>
      <c r="I30" s="3504" t="s">
        <v>3372</v>
      </c>
      <c r="J30" s="3503">
        <v>100</v>
      </c>
      <c r="K30" s="3504" t="s">
        <v>3373</v>
      </c>
      <c r="L30" s="3503">
        <v>100</v>
      </c>
      <c r="M30" s="3504" t="s">
        <v>3373</v>
      </c>
      <c r="N30" s="3503">
        <v>100</v>
      </c>
      <c r="O30" s="3504" t="s">
        <v>3373</v>
      </c>
      <c r="P30" s="3505">
        <v>100</v>
      </c>
    </row>
    <row r="31" spans="7:16" ht="14.25" thickBot="1">
      <c r="G31" s="3822"/>
      <c r="H31" s="3506" t="s">
        <v>3364</v>
      </c>
      <c r="I31" s="3504" t="s">
        <v>3374</v>
      </c>
      <c r="J31" s="3503">
        <v>100</v>
      </c>
      <c r="K31" s="3504" t="s">
        <v>3374</v>
      </c>
      <c r="L31" s="3503">
        <v>100</v>
      </c>
      <c r="M31" s="3504" t="s">
        <v>3374</v>
      </c>
      <c r="N31" s="3503">
        <v>100</v>
      </c>
      <c r="O31" s="3504" t="s">
        <v>3374</v>
      </c>
      <c r="P31" s="3505">
        <v>100</v>
      </c>
    </row>
    <row r="32" spans="7:16" ht="14.25" thickBot="1">
      <c r="G32" s="3822"/>
      <c r="H32" s="3506" t="s">
        <v>3365</v>
      </c>
      <c r="I32" s="3504" t="s">
        <v>3375</v>
      </c>
      <c r="J32" s="3503">
        <v>100</v>
      </c>
      <c r="K32" s="3504" t="s">
        <v>3375</v>
      </c>
      <c r="L32" s="3503">
        <v>100</v>
      </c>
      <c r="M32" s="3504" t="s">
        <v>3375</v>
      </c>
      <c r="N32" s="3503">
        <v>100</v>
      </c>
      <c r="O32" s="3504" t="s">
        <v>3356</v>
      </c>
      <c r="P32" s="3505">
        <v>100</v>
      </c>
    </row>
    <row r="33" spans="7:16" ht="14.25" thickBot="1">
      <c r="G33" s="3822"/>
      <c r="H33" s="3506" t="s">
        <v>3378</v>
      </c>
      <c r="I33" s="3504" t="s">
        <v>3376</v>
      </c>
      <c r="J33" s="3503">
        <v>100</v>
      </c>
      <c r="K33" s="3504" t="s">
        <v>3377</v>
      </c>
      <c r="L33" s="3503">
        <v>100</v>
      </c>
      <c r="M33" s="3504" t="s">
        <v>3377</v>
      </c>
      <c r="N33" s="3503">
        <v>100</v>
      </c>
      <c r="O33" s="3504" t="s">
        <v>3377</v>
      </c>
      <c r="P33" s="3505">
        <v>100</v>
      </c>
    </row>
    <row r="34" spans="7:16" ht="14.25" thickBot="1">
      <c r="G34" s="3823"/>
      <c r="H34" s="3506" t="s">
        <v>3366</v>
      </c>
      <c r="I34" s="3504" t="s">
        <v>3372</v>
      </c>
      <c r="J34" s="3503">
        <v>100</v>
      </c>
      <c r="K34" s="3504" t="s">
        <v>3380</v>
      </c>
      <c r="L34" s="3503">
        <v>100</v>
      </c>
      <c r="M34" s="3504" t="s">
        <v>3372</v>
      </c>
      <c r="N34" s="3503">
        <v>100</v>
      </c>
      <c r="O34" s="3504" t="s">
        <v>3381</v>
      </c>
      <c r="P34" s="3505">
        <v>100</v>
      </c>
    </row>
  </sheetData>
  <mergeCells count="16">
    <mergeCell ref="G26:G34"/>
    <mergeCell ref="G19:H19"/>
    <mergeCell ref="G15:H15"/>
    <mergeCell ref="G16:H16"/>
    <mergeCell ref="G17:H17"/>
    <mergeCell ref="G18:H18"/>
    <mergeCell ref="G20:G25"/>
    <mergeCell ref="G12:H14"/>
    <mergeCell ref="I12:J12"/>
    <mergeCell ref="K12:L12"/>
    <mergeCell ref="M12:N12"/>
    <mergeCell ref="O12:P12"/>
    <mergeCell ref="J13:J14"/>
    <mergeCell ref="L13:L14"/>
    <mergeCell ref="N13:N14"/>
    <mergeCell ref="P13:P1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武汉统建城市开发有限责任公司：</v>
      </c>
    </row>
    <row r="4" spans="1:4" ht="37.5">
      <c r="A4" s="1791" t="str">
        <f>"受贵公司委托，我公司对"&amp;项目基本情况!K2&amp;项目基本情况!B9&amp;"进行了预评估。"</f>
        <v>受贵公司委托，我公司对湖北省武汉市经济技术开发区55R2地块1宗住宅、商业用途出让国有建设用地使用权抵押价格进行了预评估。</v>
      </c>
    </row>
    <row r="5" spans="1:4" ht="18.75">
      <c r="A5" s="1794" t="s">
        <v>1907</v>
      </c>
    </row>
    <row r="6" spans="1:4" ht="1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经济技术开发区55R2地块1宗住宅、商业用途出让国有建设用地使用权。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7" spans="1:4" ht="93.75">
      <c r="A7" s="2898" t="s">
        <v>2752</v>
      </c>
    </row>
    <row r="8" spans="1:4" ht="18.75">
      <c r="A8" s="1794" t="s">
        <v>1908</v>
      </c>
    </row>
    <row r="9" spans="1:4" ht="75">
      <c r="A9" s="179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2018年1月31日（评估专业人员勘察现场之日）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根据《不动产权证书》[鄂（2017）武汉市经开不动产权第0005412号]，本次评估估价对象证载（地类）用途为城镇住宅用地。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2017）武汉市经开不动产权第0005412号]，估价对象（分摊）出让国有建设用地使用权面积为63612.12平方米。根据《国有建设用地使用权出让合同》[合同编号：WH(WJK)-2017-00001]及附件，估价对象规划建筑面积为146307.88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900" t="s">
        <v>2753</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剩余土地使用年限为住宅剩余69.02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7" t="s">
        <v>2040</v>
      </c>
      <c r="B1" s="3517"/>
      <c r="C1" s="3517"/>
      <c r="D1" s="3517"/>
      <c r="E1" s="3517"/>
      <c r="F1" s="3517"/>
      <c r="G1" s="3517"/>
      <c r="H1" s="3517"/>
      <c r="I1" s="3517"/>
      <c r="J1" s="3517"/>
      <c r="K1" s="3517"/>
      <c r="L1" s="3517"/>
      <c r="M1" s="3517"/>
      <c r="N1" s="3517"/>
      <c r="O1" s="3517"/>
      <c r="P1" s="3517"/>
      <c r="Q1" s="3517"/>
      <c r="R1" s="3517"/>
    </row>
    <row r="2" spans="1:18">
      <c r="A2" s="1807" t="s">
        <v>2042</v>
      </c>
      <c r="B2" s="1807"/>
      <c r="C2" s="1807"/>
      <c r="D2" s="1807"/>
      <c r="E2" s="1807"/>
      <c r="F2" s="1807"/>
      <c r="G2" s="1807"/>
      <c r="H2" s="1807"/>
      <c r="I2" s="1808"/>
      <c r="J2" s="1808"/>
      <c r="K2" s="1809" t="str">
        <f>"估价期日："&amp;TEXT(项目基本情况!D3,"yyyy年m月d日;;")</f>
        <v>估价期日：2018年1月31日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18" t="s">
        <v>2031</v>
      </c>
      <c r="B3" s="3518" t="s">
        <v>2735</v>
      </c>
      <c r="C3" s="3519" t="s">
        <v>2032</v>
      </c>
      <c r="D3" s="3518" t="s">
        <v>2739</v>
      </c>
      <c r="E3" s="3521" t="s">
        <v>2033</v>
      </c>
      <c r="F3" s="3521"/>
      <c r="G3" s="3521"/>
      <c r="H3" s="3521" t="s">
        <v>2034</v>
      </c>
      <c r="I3" s="3521"/>
      <c r="J3" s="3521"/>
      <c r="K3" s="3519" t="s">
        <v>2035</v>
      </c>
      <c r="L3" s="3519" t="s">
        <v>2036</v>
      </c>
      <c r="M3" s="3518" t="s">
        <v>2736</v>
      </c>
      <c r="N3" s="3520" t="str">
        <f>"（分摊）"&amp;项目基本情况!B16&amp;"国有建设用地使用权面积/㎡"</f>
        <v>（分摊）出让国有建设用地使用权面积/㎡</v>
      </c>
      <c r="O3" s="3518" t="s">
        <v>2065</v>
      </c>
      <c r="P3" s="3519" t="s">
        <v>2045</v>
      </c>
      <c r="Q3" s="3519" t="s">
        <v>2066</v>
      </c>
      <c r="R3" s="3519" t="s">
        <v>2037</v>
      </c>
    </row>
    <row r="4" spans="1:18" ht="36.75" customHeight="1">
      <c r="A4" s="3518"/>
      <c r="B4" s="3518"/>
      <c r="C4" s="3519"/>
      <c r="D4" s="3518"/>
      <c r="E4" s="2674" t="s">
        <v>2044</v>
      </c>
      <c r="F4" s="2674" t="s">
        <v>2748</v>
      </c>
      <c r="G4" s="2674" t="s">
        <v>2038</v>
      </c>
      <c r="H4" s="2674" t="s">
        <v>2039</v>
      </c>
      <c r="I4" s="2674" t="s">
        <v>2749</v>
      </c>
      <c r="J4" s="2674" t="s">
        <v>2038</v>
      </c>
      <c r="K4" s="3519"/>
      <c r="L4" s="3519"/>
      <c r="M4" s="3518"/>
      <c r="N4" s="3520"/>
      <c r="O4" s="3518"/>
      <c r="P4" s="3519"/>
      <c r="Q4" s="3519"/>
      <c r="R4" s="3519"/>
    </row>
    <row r="5" spans="1:18" ht="135" customHeight="1">
      <c r="A5" s="1943" t="s">
        <v>2659</v>
      </c>
      <c r="B5" s="2892" t="s">
        <v>2657</v>
      </c>
      <c r="C5" s="2673">
        <v>22</v>
      </c>
      <c r="D5" s="2672" t="s">
        <v>2658</v>
      </c>
      <c r="E5" s="1810" t="str">
        <f>项目基本情况!B12</f>
        <v>城镇住宅用地</v>
      </c>
      <c r="F5" s="2672">
        <v>258</v>
      </c>
      <c r="G5" s="1810" t="str">
        <f>项目基本情况!B13</f>
        <v>住宅</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红线外七通、宗地红线内场地平整</v>
      </c>
      <c r="M5" s="1810" t="str">
        <f>IF(项目基本情况!B16="出让",项目基本情况!D20,"——")</f>
        <v>住宅剩余69.02年</v>
      </c>
      <c r="N5" s="1810">
        <f>项目基本情况!C22</f>
        <v>63612.12</v>
      </c>
      <c r="O5" s="1810">
        <f>项目基本情况!C21</f>
        <v>146307.88</v>
      </c>
      <c r="P5" s="1810">
        <f ca="1">结果表!E42</f>
        <v>18008</v>
      </c>
      <c r="Q5" s="1810">
        <f ca="1">结果表!D42</f>
        <v>7830</v>
      </c>
      <c r="R5" s="1811">
        <f ca="1">结果表!C42</f>
        <v>114555</v>
      </c>
    </row>
    <row r="6" spans="1:18">
      <c r="A6" s="3514" t="str">
        <f>IF(项目基本情况!B9="市场价格","——","抵押价格")</f>
        <v>抵押价格</v>
      </c>
      <c r="B6" s="3515"/>
      <c r="C6" s="3515"/>
      <c r="D6" s="3515"/>
      <c r="E6" s="3515"/>
      <c r="F6" s="3515"/>
      <c r="G6" s="3515"/>
      <c r="H6" s="3515"/>
      <c r="I6" s="3515"/>
      <c r="J6" s="3515"/>
      <c r="K6" s="3515"/>
      <c r="L6" s="3515"/>
      <c r="M6" s="3515"/>
      <c r="N6" s="3515"/>
      <c r="O6" s="3515"/>
      <c r="P6" s="3515"/>
      <c r="Q6" s="3516"/>
      <c r="R6" s="1812">
        <f ca="1">结果表!O39</f>
        <v>114555</v>
      </c>
    </row>
    <row r="7" spans="1:18">
      <c r="A7" s="3514" t="str">
        <f>IF(项目基本情况!B9="市场价格","——",IF(项目基本情况!E8="已注销及未注销","抵押担保权已注销时的抵押价格","——"))</f>
        <v>——</v>
      </c>
      <c r="B7" s="3515"/>
      <c r="C7" s="3515"/>
      <c r="D7" s="3515"/>
      <c r="E7" s="3515"/>
      <c r="F7" s="3515"/>
      <c r="G7" s="3515"/>
      <c r="H7" s="3515"/>
      <c r="I7" s="3515"/>
      <c r="J7" s="3515"/>
      <c r="K7" s="3515"/>
      <c r="L7" s="3515"/>
      <c r="M7" s="3515"/>
      <c r="N7" s="3515"/>
      <c r="O7" s="3515"/>
      <c r="P7" s="3515"/>
      <c r="Q7" s="3516"/>
      <c r="R7" s="1812" t="str">
        <f>结果表!O40</f>
        <v>——</v>
      </c>
    </row>
    <row r="8" spans="1:18">
      <c r="A8" s="3514" t="str">
        <f>IF(项目基本情况!B9="市场价格","——",项目基本情况!E9)</f>
        <v>——</v>
      </c>
      <c r="B8" s="3515"/>
      <c r="C8" s="3515"/>
      <c r="D8" s="3515"/>
      <c r="E8" s="3515"/>
      <c r="F8" s="3515"/>
      <c r="G8" s="3515"/>
      <c r="H8" s="3515"/>
      <c r="I8" s="3515"/>
      <c r="J8" s="3515"/>
      <c r="K8" s="3515"/>
      <c r="L8" s="3515"/>
      <c r="M8" s="3515"/>
      <c r="N8" s="3515"/>
      <c r="O8" s="3515"/>
      <c r="P8" s="3515"/>
      <c r="Q8" s="3516"/>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23" t="s">
        <v>2067</v>
      </c>
      <c r="B1" s="3523"/>
      <c r="C1" s="3523"/>
      <c r="D1" s="3523"/>
    </row>
    <row r="2" spans="1:4" ht="47.25" customHeight="1">
      <c r="A2" s="3524" t="str">
        <f>"1.权利限制："&amp;项目基本情况!L24&amp;"未设定租赁等其他他项权利。"</f>
        <v>1.权利限制：根据估价对象《不动产权证书》原件，截至估价期日，估价对象抵押权未见登记。未设定租赁等其他他项权利。</v>
      </c>
      <c r="B2" s="3524"/>
      <c r="C2" s="3524"/>
      <c r="D2" s="3524"/>
    </row>
    <row r="3" spans="1:4" ht="48" customHeight="1">
      <c r="A3" s="35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523"/>
      <c r="C3" s="3523"/>
      <c r="D3" s="3523"/>
    </row>
    <row r="4" spans="1:4" ht="36.75" customHeight="1">
      <c r="A4" s="3523" t="str">
        <f>"3.估价规划限制条件：详见"&amp;项目基本情况!E21&amp;"。"</f>
        <v>3.估价规划限制条件：详见《国有建设用地使用权出让合同》[合同编号：WH(WJK)-2017-00001]及附件。</v>
      </c>
      <c r="B4" s="3523"/>
      <c r="C4" s="3523"/>
      <c r="D4" s="3523"/>
    </row>
    <row r="5" spans="1:4">
      <c r="A5" s="3522" t="s">
        <v>2068</v>
      </c>
      <c r="B5" s="3522"/>
      <c r="C5" s="3522"/>
      <c r="D5" s="3522"/>
    </row>
    <row r="6" spans="1:4">
      <c r="A6" s="3523" t="s">
        <v>2046</v>
      </c>
      <c r="B6" s="3523"/>
      <c r="C6" s="3523"/>
      <c r="D6" s="3523"/>
    </row>
    <row r="7" spans="1:4" ht="33" customHeight="1">
      <c r="A7" s="3523" t="s">
        <v>2579</v>
      </c>
      <c r="B7" s="3523"/>
      <c r="C7" s="3523"/>
      <c r="D7" s="3523"/>
    </row>
    <row r="8" spans="1:4" ht="32.25" customHeight="1">
      <c r="A8" s="35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3"/>
      <c r="C8" s="3523"/>
      <c r="D8" s="3523"/>
    </row>
    <row r="9" spans="1:4" ht="33.75" customHeight="1">
      <c r="A9" s="35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3"/>
      <c r="C9" s="3523"/>
      <c r="D9" s="3523"/>
    </row>
    <row r="10" spans="1:4">
      <c r="A10" s="3523" t="str">
        <f>IF(项目基本情况!B8="抵押","4.估价师所知悉的法定优先受偿款情况为：","——")</f>
        <v>4.估价师所知悉的法定优先受偿款情况为：</v>
      </c>
      <c r="B10" s="3523"/>
      <c r="C10" s="3523"/>
      <c r="D10" s="3523"/>
    </row>
    <row r="11" spans="1:4" ht="37.5" customHeight="1">
      <c r="A11" s="3525" t="str">
        <f>IF(项目基本情况!B8="抵押","（1）"&amp;CONCATENATE(项目基本情况!L24,项目基本情况!L25,项目基本情况!L26),"——")</f>
        <v>（1）根据估价对象《不动产权证书》原件，截至估价期日，估价对象抵押权未见登记。</v>
      </c>
      <c r="B11" s="3525"/>
      <c r="C11" s="3525"/>
      <c r="D11" s="3525"/>
    </row>
    <row r="12" spans="1:4" ht="168" customHeight="1">
      <c r="A12" s="3522" t="s">
        <v>2070</v>
      </c>
      <c r="B12" s="3522"/>
      <c r="C12" s="3522"/>
      <c r="D12" s="3522"/>
    </row>
    <row r="13" spans="1:4">
      <c r="A13" s="3526" t="s">
        <v>2750</v>
      </c>
      <c r="B13" s="3526"/>
      <c r="C13" s="3526"/>
      <c r="D13" s="3526"/>
    </row>
    <row r="14" spans="1:4">
      <c r="A14" s="3525" t="str">
        <f>IF(项目基本情况!B8="抵押","综上，"&amp;结果表!K47,"——")</f>
        <v>综上，本次评估不存在估价师知悉的法定优先受偿款</v>
      </c>
      <c r="B14" s="3525"/>
      <c r="C14" s="3525"/>
      <c r="D14" s="3525"/>
    </row>
    <row r="15" spans="1:4" ht="58.5" customHeight="1">
      <c r="A15" s="35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3"/>
      <c r="C15" s="3523"/>
      <c r="D15" s="3523"/>
    </row>
    <row r="16" spans="1:4" ht="70.5" customHeight="1">
      <c r="A16" s="35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3"/>
      <c r="C16" s="3523"/>
      <c r="D16" s="3523"/>
    </row>
    <row r="17" spans="1:4">
      <c r="A17" s="3523" t="s">
        <v>2706</v>
      </c>
      <c r="B17" s="3523"/>
      <c r="C17" s="3523"/>
      <c r="D17" s="3523"/>
    </row>
    <row r="18" spans="1:4">
      <c r="A18" s="3523" t="s">
        <v>2698</v>
      </c>
      <c r="B18" s="3523"/>
      <c r="C18" s="3523"/>
      <c r="D18" s="3523"/>
    </row>
    <row r="19" spans="1:4">
      <c r="A19" s="2893" t="s">
        <v>2699</v>
      </c>
      <c r="B19" s="2893" t="s">
        <v>2700</v>
      </c>
      <c r="C19" s="2893" t="s">
        <v>2701</v>
      </c>
      <c r="D19" s="2893" t="s">
        <v>2702</v>
      </c>
    </row>
    <row r="20" spans="1:4">
      <c r="A20" s="2893" t="str">
        <f>项目基本情况!B4</f>
        <v>王鹏</v>
      </c>
      <c r="B20" s="2893">
        <f ca="1">项目基本情况!C4</f>
        <v>2002110030</v>
      </c>
      <c r="C20" s="2895"/>
      <c r="D20" s="1800" t="s">
        <v>2707</v>
      </c>
    </row>
    <row r="21" spans="1:4">
      <c r="A21" s="2893" t="str">
        <f>项目基本情况!D4</f>
        <v>郑燚</v>
      </c>
      <c r="B21" s="2893">
        <f>项目基本情况!E4</f>
        <v>2014110011</v>
      </c>
      <c r="C21" s="2895"/>
      <c r="D21" s="1800" t="s">
        <v>2708</v>
      </c>
    </row>
    <row r="23" spans="1:4">
      <c r="A23" s="3523" t="s">
        <v>2703</v>
      </c>
      <c r="B23" s="3523"/>
      <c r="C23" s="3523"/>
      <c r="D23" s="3523"/>
    </row>
    <row r="24" spans="1:4">
      <c r="A24" s="2893" t="s">
        <v>2699</v>
      </c>
      <c r="B24" s="2893" t="s">
        <v>2704</v>
      </c>
      <c r="C24" s="2893" t="s">
        <v>2701</v>
      </c>
      <c r="D24" s="2893" t="s">
        <v>2702</v>
      </c>
    </row>
    <row r="25" spans="1:4">
      <c r="A25" s="2896" t="s">
        <v>2705</v>
      </c>
      <c r="B25" s="2893" t="s">
        <v>953</v>
      </c>
      <c r="C25" s="2895"/>
      <c r="D25" s="1800" t="s">
        <v>2708</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34" t="s">
        <v>53</v>
      </c>
      <c r="B15" s="3535" t="s">
        <v>847</v>
      </c>
      <c r="C15" s="3531"/>
    </row>
    <row r="16" spans="1:7" ht="14.25">
      <c r="A16" s="3534"/>
      <c r="B16" s="3532" t="s">
        <v>54</v>
      </c>
      <c r="C16" s="1171" t="s">
        <v>53</v>
      </c>
    </row>
    <row r="17" spans="1:3" ht="14.25">
      <c r="A17" s="3534"/>
      <c r="B17" s="3532"/>
      <c r="C17" s="1171" t="s">
        <v>55</v>
      </c>
    </row>
    <row r="18" spans="1:3" ht="14.25">
      <c r="A18" s="3534"/>
      <c r="B18" s="3532"/>
      <c r="C18" s="1171" t="s">
        <v>56</v>
      </c>
    </row>
    <row r="19" spans="1:3" ht="14.25">
      <c r="A19" s="3534"/>
      <c r="B19" s="3530" t="s">
        <v>57</v>
      </c>
      <c r="C19" s="3531"/>
    </row>
    <row r="20" spans="1:3" ht="14.25">
      <c r="A20" s="1172" t="s">
        <v>58</v>
      </c>
      <c r="B20" s="1173"/>
      <c r="C20" s="1174"/>
    </row>
    <row r="21" spans="1:3" ht="14.25">
      <c r="A21" s="3533" t="s">
        <v>59</v>
      </c>
      <c r="B21" s="3530" t="s">
        <v>60</v>
      </c>
      <c r="C21" s="3531"/>
    </row>
    <row r="22" spans="1:3" ht="14.25">
      <c r="A22" s="3533"/>
      <c r="B22" s="3530" t="s">
        <v>61</v>
      </c>
      <c r="C22" s="3531"/>
    </row>
    <row r="23" spans="1:3" ht="14.25">
      <c r="A23" s="3533"/>
      <c r="B23" s="3530" t="s">
        <v>62</v>
      </c>
      <c r="C23" s="3531"/>
    </row>
    <row r="24" spans="1:3" ht="14.25">
      <c r="A24" s="3533"/>
      <c r="B24" s="3536" t="s">
        <v>63</v>
      </c>
      <c r="C24" s="1175" t="s">
        <v>838</v>
      </c>
    </row>
    <row r="25" spans="1:3" ht="14.25">
      <c r="A25" s="3533"/>
      <c r="B25" s="3537"/>
      <c r="C25" s="1175" t="s">
        <v>839</v>
      </c>
    </row>
    <row r="26" spans="1:3" ht="14.25">
      <c r="A26" s="3533"/>
      <c r="B26" s="3537"/>
      <c r="C26" s="1175" t="s">
        <v>840</v>
      </c>
    </row>
    <row r="27" spans="1:3" ht="14.25">
      <c r="A27" s="3533"/>
      <c r="B27" s="3537"/>
      <c r="C27" s="1175" t="s">
        <v>841</v>
      </c>
    </row>
    <row r="28" spans="1:3" ht="14.25">
      <c r="A28" s="3533"/>
      <c r="B28" s="3537"/>
      <c r="C28" s="1175" t="s">
        <v>842</v>
      </c>
    </row>
    <row r="29" spans="1:3" ht="14.25">
      <c r="A29" s="3533"/>
      <c r="B29" s="3537"/>
      <c r="C29" s="1175" t="s">
        <v>843</v>
      </c>
    </row>
    <row r="30" spans="1:3" ht="14.25">
      <c r="A30" s="3533"/>
      <c r="B30" s="3537"/>
      <c r="C30" s="1175" t="s">
        <v>844</v>
      </c>
    </row>
    <row r="31" spans="1:3" ht="14.25">
      <c r="A31" s="3533"/>
      <c r="B31" s="3537"/>
      <c r="C31" s="1175" t="s">
        <v>845</v>
      </c>
    </row>
    <row r="32" spans="1:3" ht="14.25">
      <c r="A32" s="3533"/>
      <c r="B32" s="3537"/>
      <c r="C32" s="1175" t="s">
        <v>1648</v>
      </c>
    </row>
    <row r="33" spans="1:3" ht="14.25">
      <c r="A33" s="3533"/>
      <c r="B33" s="3527" t="s">
        <v>1654</v>
      </c>
      <c r="C33" s="1175" t="s">
        <v>1649</v>
      </c>
    </row>
    <row r="34" spans="1:3" ht="14.25">
      <c r="A34" s="3533"/>
      <c r="B34" s="3528"/>
      <c r="C34" s="1180" t="s">
        <v>1650</v>
      </c>
    </row>
    <row r="35" spans="1:3" ht="14.25">
      <c r="A35" s="3533"/>
      <c r="B35" s="3528"/>
      <c r="C35" s="1181" t="s">
        <v>1651</v>
      </c>
    </row>
    <row r="36" spans="1:3" ht="14.25">
      <c r="A36" s="3533"/>
      <c r="B36" s="3528"/>
      <c r="C36" s="1181" t="s">
        <v>1652</v>
      </c>
    </row>
    <row r="37" spans="1:3" ht="14.25">
      <c r="A37" s="3533"/>
      <c r="B37" s="3529"/>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43139</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2578</v>
      </c>
      <c r="B15" s="2343">
        <v>1120070085</v>
      </c>
      <c r="C15" s="3031">
        <v>43814</v>
      </c>
      <c r="D15" s="2343" t="s">
        <v>2578</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2055</v>
      </c>
      <c r="B24" s="2345" t="s">
        <v>2055</v>
      </c>
      <c r="C24" s="3031"/>
      <c r="D24" s="3033" t="s">
        <v>2055</v>
      </c>
      <c r="E24" s="2345" t="s">
        <v>2055</v>
      </c>
      <c r="F24" s="2346"/>
    </row>
    <row r="25" spans="1:7" ht="20.25" customHeight="1">
      <c r="A25" s="3538" t="s">
        <v>1930</v>
      </c>
      <c r="B25" s="3538"/>
      <c r="C25" s="3538"/>
      <c r="D25" s="3538"/>
      <c r="E25" s="3538"/>
      <c r="F25" s="3538"/>
      <c r="G25" s="3538"/>
    </row>
    <row r="26" spans="1:7" ht="20.25" customHeight="1">
      <c r="A26" s="3539" t="s">
        <v>1931</v>
      </c>
      <c r="B26" s="3539"/>
      <c r="C26" s="3539"/>
      <c r="D26" s="3539" t="s">
        <v>1932</v>
      </c>
      <c r="E26" s="3539"/>
      <c r="F26" s="3539"/>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2018-02-08T09:03:12Z</dcterms:modified>
</cp:coreProperties>
</file>